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3945" windowWidth="18615" windowHeight="7530" tabRatio="977"/>
  </bookViews>
  <sheets>
    <sheet name="zał. nr 8" sheetId="1" r:id="rId1"/>
    <sheet name="Nr 8A-Drogi" sheetId="2" r:id="rId2"/>
    <sheet name="Nr 8B-Pol społ i rozwój prz" sheetId="3" r:id="rId3"/>
    <sheet name="Nr 8C-Ochrona zdrowia" sheetId="4" r:id="rId4"/>
    <sheet name="Nr 8D-Oświata" sheetId="5" r:id="rId5"/>
    <sheet name="Nr 8E-Administracja" sheetId="6" r:id="rId6"/>
    <sheet name="Nr 8F-Kultura" sheetId="7" r:id="rId7"/>
    <sheet name="Nr 8G-Rol i och środ" sheetId="8" r:id="rId8"/>
    <sheet name="Nr 8H-Kultura fiz i tur" sheetId="9" r:id="rId9"/>
    <sheet name="Nr 8I-Planow przestrzenne" sheetId="10" r:id="rId10"/>
    <sheet name="Arkusz1" sheetId="14" r:id="rId11"/>
  </sheets>
  <definedNames>
    <definedName name="_xlnm._FilterDatabase" localSheetId="1" hidden="1">'Nr 8A-Drogi'!$A$9:$DT$450</definedName>
    <definedName name="_xlnm._FilterDatabase" localSheetId="7" hidden="1">'Nr 8G-Rol i och środ'!$A$3:$N$157</definedName>
    <definedName name="_xlnm.Print_Area" localSheetId="1">'Nr 8A-Drogi'!$A$1:$N$505</definedName>
    <definedName name="_xlnm.Print_Area" localSheetId="2">'Nr 8B-Pol społ i rozwój prz'!$A$1:$N$203</definedName>
    <definedName name="_xlnm.Print_Area" localSheetId="3">'Nr 8C-Ochrona zdrowia'!$A$1:$N$78</definedName>
    <definedName name="_xlnm.Print_Area" localSheetId="4">'Nr 8D-Oświata'!$A$1:$N$84</definedName>
    <definedName name="_xlnm.Print_Area" localSheetId="5">'Nr 8E-Administracja'!$A$1:$N$136</definedName>
    <definedName name="_xlnm.Print_Area" localSheetId="6">'Nr 8F-Kultura'!$A$1:$N$91</definedName>
    <definedName name="_xlnm.Print_Area" localSheetId="7">'Nr 8G-Rol i och środ'!$A$1:$N$257</definedName>
    <definedName name="_xlnm.Print_Area" localSheetId="8">'Nr 8H-Kultura fiz i tur'!$A$1:$N$93</definedName>
    <definedName name="_xlnm.Print_Area" localSheetId="9">'Nr 8I-Planow przestrzenne'!$A$1:$N$48</definedName>
    <definedName name="_xlnm.Print_Area" localSheetId="0">'zał. nr 8'!$A$1:$L$115</definedName>
    <definedName name="_xlnm.Print_Titles" localSheetId="1">'Nr 8A-Drogi'!$6:$10</definedName>
    <definedName name="_xlnm.Print_Titles" localSheetId="2">'Nr 8B-Pol społ i rozwój prz'!$4:$8</definedName>
    <definedName name="_xlnm.Print_Titles" localSheetId="3">'Nr 8C-Ochrona zdrowia'!$4:$8</definedName>
    <definedName name="_xlnm.Print_Titles" localSheetId="4">'Nr 8D-Oświata'!$6:$9</definedName>
    <definedName name="_xlnm.Print_Titles" localSheetId="5">'Nr 8E-Administracja'!$5:$9</definedName>
    <definedName name="_xlnm.Print_Titles" localSheetId="6">'Nr 8F-Kultura'!$4:$8</definedName>
    <definedName name="_xlnm.Print_Titles" localSheetId="7">'Nr 8G-Rol i och środ'!$4:$8</definedName>
    <definedName name="_xlnm.Print_Titles" localSheetId="8">'Nr 8H-Kultura fiz i tur'!$6:$10</definedName>
    <definedName name="_xlnm.Print_Titles" localSheetId="9">'Nr 8I-Planow przestrzenne'!$6:$10</definedName>
  </definedNames>
  <calcPr calcId="145621"/>
</workbook>
</file>

<file path=xl/calcChain.xml><?xml version="1.0" encoding="utf-8"?>
<calcChain xmlns="http://schemas.openxmlformats.org/spreadsheetml/2006/main">
  <c r="K46" i="4" l="1"/>
  <c r="K82" i="7" l="1"/>
  <c r="K11" i="7"/>
  <c r="G11" i="7"/>
  <c r="I77" i="5" l="1"/>
  <c r="I74" i="5"/>
  <c r="I71" i="5"/>
  <c r="J34" i="2" l="1"/>
  <c r="L34" i="2"/>
  <c r="L23" i="2"/>
  <c r="J23" i="2"/>
  <c r="E23" i="2"/>
  <c r="D24" i="1" s="1"/>
  <c r="F23" i="2"/>
  <c r="E24" i="1" s="1"/>
  <c r="K367" i="2"/>
  <c r="H367" i="2"/>
  <c r="H23" i="2" s="1"/>
  <c r="G24" i="1" s="1"/>
  <c r="G367" i="2"/>
  <c r="G23" i="2" s="1"/>
  <c r="F24" i="1" s="1"/>
  <c r="G389" i="2"/>
  <c r="K374" i="2"/>
  <c r="E374" i="2"/>
  <c r="E34" i="2" s="1"/>
  <c r="D38" i="1" s="1"/>
  <c r="F374" i="2"/>
  <c r="F34" i="2" s="1"/>
  <c r="E38" i="1" s="1"/>
  <c r="G374" i="2"/>
  <c r="G34" i="2" s="1"/>
  <c r="F38" i="1" s="1"/>
  <c r="H374" i="2"/>
  <c r="H34" i="2" s="1"/>
  <c r="G38" i="1" s="1"/>
  <c r="M383" i="2"/>
  <c r="K384" i="2"/>
  <c r="K382" i="2" s="1"/>
  <c r="I383" i="2"/>
  <c r="I367" i="2" s="1"/>
  <c r="I23" i="2" s="1"/>
  <c r="H24" i="1" s="1"/>
  <c r="D383" i="2"/>
  <c r="D367" i="2" s="1"/>
  <c r="D23" i="2" s="1"/>
  <c r="C24" i="1" s="1"/>
  <c r="M390" i="2"/>
  <c r="I390" i="2"/>
  <c r="K391" i="2"/>
  <c r="K389" i="2" s="1"/>
  <c r="D390" i="2"/>
  <c r="D374" i="2" s="1"/>
  <c r="D34" i="2" s="1"/>
  <c r="C38" i="1" s="1"/>
  <c r="M374" i="2" l="1"/>
  <c r="M34" i="2" s="1"/>
  <c r="M367" i="2"/>
  <c r="K23" i="2"/>
  <c r="K34" i="2"/>
  <c r="J38" i="1" s="1"/>
  <c r="I374" i="2"/>
  <c r="I34" i="2" s="1"/>
  <c r="H38" i="1" s="1"/>
  <c r="L38" i="1"/>
  <c r="J24" i="1" l="1"/>
  <c r="L24" i="1" s="1"/>
  <c r="M23" i="2"/>
  <c r="H76" i="4"/>
  <c r="K11" i="4" l="1"/>
  <c r="K39" i="4" l="1"/>
  <c r="K23" i="4"/>
  <c r="K17" i="4"/>
  <c r="I42" i="4"/>
  <c r="I47" i="4"/>
  <c r="I46" i="4" s="1"/>
  <c r="K45" i="4"/>
  <c r="E46" i="4"/>
  <c r="F46" i="4"/>
  <c r="D46" i="4"/>
  <c r="D45" i="4" s="1"/>
  <c r="F195" i="8" l="1"/>
  <c r="F19" i="8"/>
  <c r="F14" i="8"/>
  <c r="K418" i="2"/>
  <c r="K423" i="2"/>
  <c r="K481" i="2"/>
  <c r="K480" i="2" s="1"/>
  <c r="K19" i="8"/>
  <c r="G10" i="4"/>
  <c r="K10" i="4"/>
  <c r="E53" i="4" l="1"/>
  <c r="K22" i="7" l="1"/>
  <c r="K20" i="7"/>
  <c r="K17" i="7"/>
  <c r="M91" i="7"/>
  <c r="M89" i="7"/>
  <c r="M86" i="7"/>
  <c r="M84" i="7"/>
  <c r="M83" i="7"/>
  <c r="M55" i="7"/>
  <c r="M53" i="7"/>
  <c r="M50" i="7"/>
  <c r="M48" i="7"/>
  <c r="M47" i="7"/>
  <c r="M43" i="7"/>
  <c r="M41" i="7"/>
  <c r="M38" i="7"/>
  <c r="M36" i="7"/>
  <c r="M35" i="7"/>
  <c r="M26" i="7"/>
  <c r="M10" i="7"/>
  <c r="K66" i="7"/>
  <c r="K64" i="7"/>
  <c r="I67" i="7"/>
  <c r="G66" i="7"/>
  <c r="M59" i="7"/>
  <c r="M67" i="7"/>
  <c r="M65" i="7"/>
  <c r="M62" i="7"/>
  <c r="I62" i="7"/>
  <c r="M79" i="7"/>
  <c r="M74" i="7"/>
  <c r="M72" i="7"/>
  <c r="M71" i="7"/>
  <c r="K14" i="7"/>
  <c r="H14" i="7"/>
  <c r="G14" i="7"/>
  <c r="D48" i="7"/>
  <c r="I48" i="7"/>
  <c r="K46" i="7"/>
  <c r="M14" i="7" l="1"/>
  <c r="L14" i="7"/>
  <c r="I65" i="4" l="1"/>
  <c r="K65" i="4"/>
  <c r="K64" i="4" s="1"/>
  <c r="K70" i="4"/>
  <c r="M502" i="2" l="1"/>
  <c r="M498" i="2"/>
  <c r="M494" i="2"/>
  <c r="M490" i="2"/>
  <c r="M486" i="2"/>
  <c r="M483" i="2"/>
  <c r="M482" i="2"/>
  <c r="M478" i="2"/>
  <c r="M471" i="2"/>
  <c r="M474" i="2"/>
  <c r="M470" i="2"/>
  <c r="M466" i="2"/>
  <c r="M459" i="2"/>
  <c r="M462" i="2"/>
  <c r="M458" i="2"/>
  <c r="M454" i="2"/>
  <c r="M450" i="2"/>
  <c r="M446" i="2"/>
  <c r="M442" i="2"/>
  <c r="M439" i="2"/>
  <c r="M438" i="2"/>
  <c r="M434" i="2"/>
  <c r="M433" i="2"/>
  <c r="M430" i="2"/>
  <c r="M429" i="2"/>
  <c r="M428" i="2"/>
  <c r="M391" i="2"/>
  <c r="M388" i="2"/>
  <c r="M387" i="2"/>
  <c r="M384" i="2"/>
  <c r="M381" i="2"/>
  <c r="M380" i="2"/>
  <c r="M379" i="2"/>
  <c r="M350" i="2"/>
  <c r="M347" i="2"/>
  <c r="M345" i="2"/>
  <c r="M341" i="2"/>
  <c r="M338" i="2"/>
  <c r="M336" i="2"/>
  <c r="M332" i="2"/>
  <c r="M329" i="2"/>
  <c r="M327" i="2"/>
  <c r="M305" i="2"/>
  <c r="M302" i="2"/>
  <c r="M298" i="2"/>
  <c r="M295" i="2"/>
  <c r="M293" i="2"/>
  <c r="M286" i="2"/>
  <c r="M284" i="2"/>
  <c r="M289" i="2"/>
  <c r="M280" i="2"/>
  <c r="M277" i="2"/>
  <c r="M275" i="2"/>
  <c r="M268" i="2"/>
  <c r="M266" i="2"/>
  <c r="M271" i="2"/>
  <c r="M262" i="2"/>
  <c r="M257" i="2"/>
  <c r="M253" i="2"/>
  <c r="M251" i="2"/>
  <c r="M246" i="2"/>
  <c r="M242" i="2"/>
  <c r="M240" i="2"/>
  <c r="M237" i="2"/>
  <c r="M235" i="2"/>
  <c r="M234" i="2"/>
  <c r="M230" i="2"/>
  <c r="M225" i="2"/>
  <c r="M221" i="2"/>
  <c r="M219" i="2"/>
  <c r="M216" i="2"/>
  <c r="M214" i="2"/>
  <c r="M213" i="2"/>
  <c r="M209" i="2"/>
  <c r="M206" i="2"/>
  <c r="M204" i="2"/>
  <c r="M200" i="2"/>
  <c r="M198" i="2"/>
  <c r="M195" i="2"/>
  <c r="M193" i="2"/>
  <c r="M192" i="2"/>
  <c r="M188" i="2"/>
  <c r="M186" i="2"/>
  <c r="M183" i="2"/>
  <c r="M181" i="2"/>
  <c r="M180" i="2"/>
  <c r="M176" i="2"/>
  <c r="M174" i="2"/>
  <c r="M171" i="2"/>
  <c r="M169" i="2"/>
  <c r="M168" i="2"/>
  <c r="M164" i="2"/>
  <c r="M161" i="2"/>
  <c r="M159" i="2"/>
  <c r="M155" i="2"/>
  <c r="M153" i="2"/>
  <c r="M150" i="2"/>
  <c r="M148" i="2"/>
  <c r="M147" i="2"/>
  <c r="M143" i="2"/>
  <c r="M142" i="2"/>
  <c r="M140" i="2"/>
  <c r="M136" i="2"/>
  <c r="M134" i="2"/>
  <c r="M133" i="2"/>
  <c r="M129" i="2"/>
  <c r="M128" i="2"/>
  <c r="M126" i="2"/>
  <c r="M125" i="2"/>
  <c r="M121" i="2"/>
  <c r="M119" i="2"/>
  <c r="M118" i="2"/>
  <c r="M117" i="2"/>
  <c r="M113" i="2"/>
  <c r="M112" i="2"/>
  <c r="M110" i="2"/>
  <c r="M109" i="2"/>
  <c r="M106" i="2"/>
  <c r="M105" i="2"/>
  <c r="M103" i="2"/>
  <c r="M102" i="2"/>
  <c r="M101" i="2"/>
  <c r="M97" i="2"/>
  <c r="M96" i="2"/>
  <c r="M94" i="2"/>
  <c r="M91" i="2"/>
  <c r="M90" i="2"/>
  <c r="M88" i="2"/>
  <c r="M87" i="2"/>
  <c r="M83" i="2"/>
  <c r="M80" i="2"/>
  <c r="M79" i="2"/>
  <c r="M76" i="2"/>
  <c r="M73" i="2"/>
  <c r="M72" i="2"/>
  <c r="M71" i="2"/>
  <c r="M67" i="2"/>
  <c r="M64" i="2"/>
  <c r="M61" i="2"/>
  <c r="M58" i="2"/>
  <c r="M57" i="2"/>
  <c r="K71" i="6" l="1"/>
  <c r="K78" i="6"/>
  <c r="K166" i="3"/>
  <c r="M389" i="2" l="1"/>
  <c r="I332" i="2"/>
  <c r="K61" i="7" l="1"/>
  <c r="K58" i="7"/>
  <c r="L43" i="7" l="1"/>
  <c r="L35" i="7"/>
  <c r="M29" i="5" l="1"/>
  <c r="M26" i="5"/>
  <c r="M24" i="5"/>
  <c r="I24" i="5"/>
  <c r="M92" i="6"/>
  <c r="M90" i="6"/>
  <c r="M87" i="6"/>
  <c r="M85" i="6"/>
  <c r="L195" i="3"/>
  <c r="M136" i="6"/>
  <c r="L118" i="8" l="1"/>
  <c r="H15" i="7" l="1"/>
  <c r="H22" i="7"/>
  <c r="H20" i="7"/>
  <c r="H17" i="7"/>
  <c r="M191" i="3"/>
  <c r="M186" i="3"/>
  <c r="M179" i="3"/>
  <c r="M174" i="3"/>
  <c r="M167" i="3"/>
  <c r="M165" i="3"/>
  <c r="M162" i="3"/>
  <c r="M160" i="3"/>
  <c r="G22" i="3"/>
  <c r="K17" i="3"/>
  <c r="G17" i="3"/>
  <c r="K14" i="3"/>
  <c r="G14" i="3"/>
  <c r="M198" i="3"/>
  <c r="M195" i="3"/>
  <c r="I195" i="3"/>
  <c r="K203" i="3"/>
  <c r="M203" i="3" s="1"/>
  <c r="I203" i="3"/>
  <c r="K202" i="3"/>
  <c r="I202" i="3" s="1"/>
  <c r="H202" i="3"/>
  <c r="H199" i="3" s="1"/>
  <c r="G202" i="3"/>
  <c r="G199" i="3" s="1"/>
  <c r="I198" i="3"/>
  <c r="K197" i="3"/>
  <c r="I197" i="3"/>
  <c r="H197" i="3"/>
  <c r="G197" i="3"/>
  <c r="K194" i="3"/>
  <c r="I194" i="3"/>
  <c r="H194" i="3"/>
  <c r="H193" i="3" s="1"/>
  <c r="G194" i="3"/>
  <c r="G193" i="3" s="1"/>
  <c r="K193" i="3"/>
  <c r="I193" i="3"/>
  <c r="D203" i="3"/>
  <c r="D202" i="3" s="1"/>
  <c r="D201" i="3"/>
  <c r="D200" i="3" s="1"/>
  <c r="D198" i="3"/>
  <c r="D197" i="3" s="1"/>
  <c r="D196" i="3"/>
  <c r="D195" i="3"/>
  <c r="M193" i="3" l="1"/>
  <c r="M194" i="3"/>
  <c r="M197" i="3"/>
  <c r="J203" i="3"/>
  <c r="J195" i="3"/>
  <c r="L193" i="3"/>
  <c r="M202" i="3"/>
  <c r="K22" i="3"/>
  <c r="L194" i="3"/>
  <c r="K199" i="3"/>
  <c r="M199" i="3" s="1"/>
  <c r="J202" i="3"/>
  <c r="J197" i="3"/>
  <c r="J198" i="3"/>
  <c r="D199" i="3"/>
  <c r="D194" i="3"/>
  <c r="D193" i="3" s="1"/>
  <c r="J193" i="3" s="1"/>
  <c r="J194" i="3" l="1"/>
  <c r="I199" i="3"/>
  <c r="J199" i="3" s="1"/>
  <c r="K18" i="9" l="1"/>
  <c r="F18" i="9"/>
  <c r="E18" i="9"/>
  <c r="G18" i="9"/>
  <c r="H30" i="9"/>
  <c r="K21" i="9"/>
  <c r="G21" i="9"/>
  <c r="F21" i="9"/>
  <c r="H76" i="9"/>
  <c r="H73" i="9"/>
  <c r="H18" i="9" s="1"/>
  <c r="M76" i="9"/>
  <c r="I76" i="9"/>
  <c r="I75" i="9" s="1"/>
  <c r="I74" i="9" s="1"/>
  <c r="D76" i="9"/>
  <c r="K75" i="9"/>
  <c r="K74" i="9" s="1"/>
  <c r="H75" i="9"/>
  <c r="G75" i="9"/>
  <c r="F75" i="9"/>
  <c r="E75" i="9"/>
  <c r="D75" i="9" s="1"/>
  <c r="H74" i="9"/>
  <c r="G74" i="9"/>
  <c r="F74" i="9"/>
  <c r="E74" i="9"/>
  <c r="M73" i="9"/>
  <c r="L73" i="9"/>
  <c r="I73" i="9"/>
  <c r="D73" i="9"/>
  <c r="D72" i="9" s="1"/>
  <c r="D71" i="9" s="1"/>
  <c r="K72" i="9"/>
  <c r="I72" i="9"/>
  <c r="H72" i="9"/>
  <c r="G72" i="9"/>
  <c r="G71" i="9" s="1"/>
  <c r="F72" i="9"/>
  <c r="E72" i="9"/>
  <c r="E71" i="9" s="1"/>
  <c r="K71" i="9"/>
  <c r="I71" i="9"/>
  <c r="H71" i="9"/>
  <c r="F71" i="9"/>
  <c r="E21" i="9"/>
  <c r="K16" i="9"/>
  <c r="H16" i="9"/>
  <c r="G16" i="9"/>
  <c r="M16" i="9" s="1"/>
  <c r="F16" i="9"/>
  <c r="E16" i="9"/>
  <c r="M69" i="9"/>
  <c r="M66" i="9"/>
  <c r="M62" i="9"/>
  <c r="M59" i="9"/>
  <c r="M55" i="9"/>
  <c r="M52" i="9"/>
  <c r="M49" i="9"/>
  <c r="M48" i="9"/>
  <c r="M45" i="9"/>
  <c r="M43" i="9"/>
  <c r="M36" i="9"/>
  <c r="M34" i="9"/>
  <c r="M30" i="9"/>
  <c r="M27" i="9"/>
  <c r="M25" i="9"/>
  <c r="M18" i="9"/>
  <c r="K38" i="9"/>
  <c r="I39" i="9"/>
  <c r="I38" i="9" s="1"/>
  <c r="I37" i="9" s="1"/>
  <c r="K35" i="9"/>
  <c r="K33" i="9"/>
  <c r="I36" i="9"/>
  <c r="I34" i="9"/>
  <c r="I35" i="9"/>
  <c r="H38" i="9"/>
  <c r="H37" i="9" s="1"/>
  <c r="G38" i="9"/>
  <c r="F38" i="9"/>
  <c r="F37" i="9" s="1"/>
  <c r="E38" i="9"/>
  <c r="H33" i="9"/>
  <c r="G33" i="9"/>
  <c r="F33" i="9"/>
  <c r="E33" i="9"/>
  <c r="H35" i="9"/>
  <c r="G35" i="9"/>
  <c r="F35" i="9"/>
  <c r="E35" i="9"/>
  <c r="D39" i="9"/>
  <c r="D38" i="9" s="1"/>
  <c r="D37" i="9" s="1"/>
  <c r="D36" i="9"/>
  <c r="D34" i="9"/>
  <c r="D35" i="9"/>
  <c r="K37" i="9"/>
  <c r="G37" i="9"/>
  <c r="E37" i="9"/>
  <c r="L35" i="9"/>
  <c r="L33" i="9"/>
  <c r="H62" i="9"/>
  <c r="H55" i="9"/>
  <c r="D74" i="9" l="1"/>
  <c r="E32" i="9"/>
  <c r="G32" i="9"/>
  <c r="F32" i="9"/>
  <c r="H32" i="9"/>
  <c r="M33" i="9"/>
  <c r="M21" i="9"/>
  <c r="J76" i="9"/>
  <c r="M71" i="9"/>
  <c r="J72" i="9"/>
  <c r="J71" i="9"/>
  <c r="M72" i="9"/>
  <c r="J73" i="9"/>
  <c r="J74" i="9"/>
  <c r="J75" i="9"/>
  <c r="L71" i="9"/>
  <c r="L72" i="9"/>
  <c r="M74" i="9"/>
  <c r="M75" i="9"/>
  <c r="M37" i="9"/>
  <c r="K32" i="9"/>
  <c r="M32" i="9" s="1"/>
  <c r="J34" i="9"/>
  <c r="M35" i="9"/>
  <c r="M38" i="9"/>
  <c r="I33" i="9"/>
  <c r="J38" i="9"/>
  <c r="J35" i="9"/>
  <c r="D33" i="9"/>
  <c r="D32" i="9" s="1"/>
  <c r="L36" i="9"/>
  <c r="J37" i="9"/>
  <c r="L32" i="9"/>
  <c r="L34" i="9"/>
  <c r="J36" i="9"/>
  <c r="F59" i="8"/>
  <c r="F53" i="8"/>
  <c r="F45" i="8"/>
  <c r="F39" i="8"/>
  <c r="E107" i="8"/>
  <c r="E100" i="8"/>
  <c r="E200" i="8"/>
  <c r="E194" i="8"/>
  <c r="E86" i="8"/>
  <c r="E78" i="8"/>
  <c r="E90" i="8"/>
  <c r="E82" i="8"/>
  <c r="E79" i="8" s="1"/>
  <c r="E59" i="8"/>
  <c r="E53" i="8"/>
  <c r="E45" i="8"/>
  <c r="E39" i="8"/>
  <c r="E37" i="8"/>
  <c r="F37" i="8"/>
  <c r="E19" i="8"/>
  <c r="I80" i="8"/>
  <c r="K79" i="8"/>
  <c r="F79" i="8"/>
  <c r="G79" i="8"/>
  <c r="H79" i="8"/>
  <c r="D80" i="8"/>
  <c r="F42" i="8"/>
  <c r="F51" i="8"/>
  <c r="I257" i="8"/>
  <c r="I254" i="8"/>
  <c r="L257" i="8"/>
  <c r="L254" i="8"/>
  <c r="G241" i="8"/>
  <c r="D254" i="8"/>
  <c r="K225" i="8"/>
  <c r="D201" i="8"/>
  <c r="D196" i="8"/>
  <c r="J80" i="8" l="1"/>
  <c r="J33" i="9"/>
  <c r="I32" i="9"/>
  <c r="J32" i="9" s="1"/>
  <c r="D193" i="8"/>
  <c r="M231" i="8"/>
  <c r="M235" i="8"/>
  <c r="M254" i="8"/>
  <c r="M257" i="8"/>
  <c r="M245" i="8"/>
  <c r="M246" i="8"/>
  <c r="M249" i="8"/>
  <c r="M250" i="8"/>
  <c r="M133" i="8"/>
  <c r="M36" i="8"/>
  <c r="M37" i="8"/>
  <c r="M39" i="8"/>
  <c r="M42" i="8"/>
  <c r="M43" i="8"/>
  <c r="M45" i="8"/>
  <c r="M46" i="8"/>
  <c r="M50" i="8"/>
  <c r="M51" i="8"/>
  <c r="M53" i="8"/>
  <c r="M56" i="8"/>
  <c r="M57" i="8"/>
  <c r="M59" i="8"/>
  <c r="M60" i="8"/>
  <c r="M63" i="8"/>
  <c r="M64" i="8"/>
  <c r="M66" i="8"/>
  <c r="M69" i="8"/>
  <c r="M70" i="8"/>
  <c r="M72" i="8"/>
  <c r="M76" i="8"/>
  <c r="M77" i="8"/>
  <c r="M78" i="8"/>
  <c r="M81" i="8"/>
  <c r="M82" i="8"/>
  <c r="M85" i="8"/>
  <c r="M86" i="8"/>
  <c r="M87" i="8"/>
  <c r="M89" i="8"/>
  <c r="M90" i="8"/>
  <c r="M91" i="8"/>
  <c r="M95" i="8"/>
  <c r="M96" i="8"/>
  <c r="M97" i="8"/>
  <c r="M99" i="8"/>
  <c r="M100" i="8"/>
  <c r="M103" i="8"/>
  <c r="M104" i="8"/>
  <c r="M106" i="8"/>
  <c r="M107" i="8"/>
  <c r="M111" i="8"/>
  <c r="M113" i="8"/>
  <c r="M118" i="8"/>
  <c r="M122" i="8"/>
  <c r="M124" i="8"/>
  <c r="M127" i="8"/>
  <c r="M129" i="8"/>
  <c r="M135" i="8"/>
  <c r="M136" i="8"/>
  <c r="M139" i="8"/>
  <c r="M140" i="8"/>
  <c r="M142" i="8"/>
  <c r="M143" i="8"/>
  <c r="M144" i="8"/>
  <c r="M147" i="8"/>
  <c r="M148" i="8"/>
  <c r="M150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3" i="8"/>
  <c r="M194" i="8"/>
  <c r="M196" i="8"/>
  <c r="M197" i="8"/>
  <c r="M200" i="8"/>
  <c r="M201" i="8"/>
  <c r="M203" i="8"/>
  <c r="M204" i="8"/>
  <c r="M208" i="8"/>
  <c r="M209" i="8"/>
  <c r="M211" i="8"/>
  <c r="M212" i="8"/>
  <c r="M215" i="8"/>
  <c r="M216" i="8"/>
  <c r="M218" i="8"/>
  <c r="M219" i="8"/>
  <c r="M223" i="8"/>
  <c r="M225" i="8"/>
  <c r="M228" i="8"/>
  <c r="H142" i="8"/>
  <c r="H135" i="8"/>
  <c r="H139" i="8"/>
  <c r="H133" i="8"/>
  <c r="I111" i="8"/>
  <c r="I122" i="8"/>
  <c r="G116" i="8"/>
  <c r="M116" i="8" s="1"/>
  <c r="K259" i="2" l="1"/>
  <c r="M259" i="2" s="1"/>
  <c r="K248" i="2"/>
  <c r="M248" i="2" s="1"/>
  <c r="K227" i="2"/>
  <c r="M227" i="2" s="1"/>
  <c r="E15" i="6" l="1"/>
  <c r="F15" i="6"/>
  <c r="F16" i="6"/>
  <c r="F18" i="6"/>
  <c r="F17" i="6" s="1"/>
  <c r="F21" i="6"/>
  <c r="F20" i="6" s="1"/>
  <c r="F23" i="6"/>
  <c r="F22" i="6" s="1"/>
  <c r="F26" i="6"/>
  <c r="E27" i="6"/>
  <c r="F28" i="6"/>
  <c r="E29" i="6"/>
  <c r="F31" i="6"/>
  <c r="E32" i="6"/>
  <c r="F33" i="6"/>
  <c r="E34" i="6"/>
  <c r="E37" i="6"/>
  <c r="F37" i="6"/>
  <c r="E39" i="6"/>
  <c r="F39" i="6"/>
  <c r="E42" i="6"/>
  <c r="F42" i="6"/>
  <c r="E44" i="6"/>
  <c r="F44" i="6"/>
  <c r="E48" i="6"/>
  <c r="F48" i="6"/>
  <c r="E50" i="6"/>
  <c r="F50" i="6"/>
  <c r="E53" i="6"/>
  <c r="F53" i="6"/>
  <c r="E55" i="6"/>
  <c r="F55" i="6"/>
  <c r="E59" i="6"/>
  <c r="F59" i="6"/>
  <c r="E61" i="6"/>
  <c r="F61" i="6"/>
  <c r="E64" i="6"/>
  <c r="F64" i="6"/>
  <c r="E66" i="6"/>
  <c r="F66" i="6"/>
  <c r="F70" i="6"/>
  <c r="F69" i="6" s="1"/>
  <c r="E71" i="6"/>
  <c r="E70" i="6" s="1"/>
  <c r="E69" i="6" s="1"/>
  <c r="F73" i="6"/>
  <c r="F72" i="6" s="1"/>
  <c r="E74" i="6"/>
  <c r="E73" i="6" s="1"/>
  <c r="E72" i="6" s="1"/>
  <c r="F77" i="6"/>
  <c r="F76" i="6" s="1"/>
  <c r="E78" i="6"/>
  <c r="E77" i="6" s="1"/>
  <c r="E76" i="6" s="1"/>
  <c r="F80" i="6"/>
  <c r="F79" i="6" s="1"/>
  <c r="E81" i="6"/>
  <c r="E80" i="6" s="1"/>
  <c r="E79" i="6" s="1"/>
  <c r="F84" i="6"/>
  <c r="E85" i="6"/>
  <c r="F86" i="6"/>
  <c r="E87" i="6"/>
  <c r="E86" i="6" s="1"/>
  <c r="F89" i="6"/>
  <c r="E90" i="6"/>
  <c r="E89" i="6" s="1"/>
  <c r="F91" i="6"/>
  <c r="E92" i="6"/>
  <c r="E91" i="6" s="1"/>
  <c r="E88" i="6" s="1"/>
  <c r="E95" i="6"/>
  <c r="F95" i="6"/>
  <c r="E97" i="6"/>
  <c r="F97" i="6"/>
  <c r="E100" i="6"/>
  <c r="E99" i="6" s="1"/>
  <c r="F100" i="6"/>
  <c r="F99" i="6" s="1"/>
  <c r="F112" i="6"/>
  <c r="F111" i="6" s="1"/>
  <c r="F110" i="6" s="1"/>
  <c r="F115" i="6"/>
  <c r="F114" i="6" s="1"/>
  <c r="E119" i="6"/>
  <c r="E118" i="6" s="1"/>
  <c r="F119" i="6"/>
  <c r="F118" i="6" s="1"/>
  <c r="E123" i="6"/>
  <c r="E122" i="6" s="1"/>
  <c r="F123" i="6"/>
  <c r="F122" i="6" s="1"/>
  <c r="F127" i="6"/>
  <c r="F126" i="6" s="1"/>
  <c r="E128" i="6"/>
  <c r="E112" i="6" s="1"/>
  <c r="E111" i="6" s="1"/>
  <c r="E110" i="6" s="1"/>
  <c r="E131" i="6"/>
  <c r="E130" i="6" s="1"/>
  <c r="F131" i="6"/>
  <c r="F130" i="6" s="1"/>
  <c r="E135" i="6"/>
  <c r="E134" i="6" s="1"/>
  <c r="E108" i="6" s="1"/>
  <c r="F135" i="6"/>
  <c r="F134" i="6" s="1"/>
  <c r="F108" i="6" s="1"/>
  <c r="H101" i="6"/>
  <c r="H98" i="6"/>
  <c r="H96" i="6"/>
  <c r="H81" i="6"/>
  <c r="H78" i="6"/>
  <c r="H74" i="6"/>
  <c r="H71" i="6"/>
  <c r="D71" i="6" l="1"/>
  <c r="F94" i="6"/>
  <c r="E84" i="6"/>
  <c r="E83" i="6" s="1"/>
  <c r="I85" i="6"/>
  <c r="F36" i="6"/>
  <c r="E23" i="6"/>
  <c r="E22" i="6" s="1"/>
  <c r="E21" i="6"/>
  <c r="E20" i="6" s="1"/>
  <c r="E18" i="6"/>
  <c r="E17" i="6" s="1"/>
  <c r="E16" i="6"/>
  <c r="E94" i="6"/>
  <c r="F88" i="6"/>
  <c r="F83" i="6"/>
  <c r="E36" i="6"/>
  <c r="F30" i="6"/>
  <c r="F25" i="6"/>
  <c r="F63" i="6"/>
  <c r="F58" i="6"/>
  <c r="F52" i="6"/>
  <c r="F47" i="6"/>
  <c r="F41" i="6"/>
  <c r="F14" i="6"/>
  <c r="E63" i="6"/>
  <c r="E58" i="6"/>
  <c r="E52" i="6"/>
  <c r="E47" i="6"/>
  <c r="E41" i="6"/>
  <c r="F13" i="6"/>
  <c r="F109" i="6"/>
  <c r="F107" i="6" s="1"/>
  <c r="F11" i="6"/>
  <c r="F19" i="6"/>
  <c r="E14" i="6"/>
  <c r="E13" i="6" s="1"/>
  <c r="E33" i="6"/>
  <c r="E28" i="6"/>
  <c r="E127" i="6"/>
  <c r="E126" i="6" s="1"/>
  <c r="E109" i="6" s="1"/>
  <c r="E107" i="6" s="1"/>
  <c r="E31" i="6"/>
  <c r="E26" i="6"/>
  <c r="H92" i="6"/>
  <c r="D92" i="6" s="1"/>
  <c r="H90" i="6"/>
  <c r="D90" i="6" s="1"/>
  <c r="D87" i="6"/>
  <c r="D85" i="6"/>
  <c r="D78" i="6"/>
  <c r="H136" i="6"/>
  <c r="G22" i="7"/>
  <c r="M22" i="7" s="1"/>
  <c r="F22" i="7"/>
  <c r="E22" i="7"/>
  <c r="G17" i="7"/>
  <c r="F17" i="7"/>
  <c r="H66" i="7"/>
  <c r="M66" i="7"/>
  <c r="F66" i="7"/>
  <c r="E66" i="7"/>
  <c r="D67" i="7"/>
  <c r="G61" i="7"/>
  <c r="M61" i="7" s="1"/>
  <c r="F61" i="7"/>
  <c r="E61" i="7"/>
  <c r="H61" i="7"/>
  <c r="D62" i="7"/>
  <c r="I61" i="7" l="1"/>
  <c r="I66" i="7"/>
  <c r="D61" i="7"/>
  <c r="J61" i="7" s="1"/>
  <c r="J62" i="7"/>
  <c r="D66" i="7"/>
  <c r="J67" i="7"/>
  <c r="E12" i="6"/>
  <c r="E19" i="6"/>
  <c r="E30" i="6"/>
  <c r="F12" i="6"/>
  <c r="F10" i="6" s="1"/>
  <c r="E25" i="6"/>
  <c r="E11" i="6" s="1"/>
  <c r="E10" i="6" s="1"/>
  <c r="L32" i="10"/>
  <c r="L41" i="10"/>
  <c r="M49" i="5"/>
  <c r="M48" i="10"/>
  <c r="M45" i="10"/>
  <c r="M43" i="10"/>
  <c r="M39" i="10"/>
  <c r="M36" i="10"/>
  <c r="M34" i="10"/>
  <c r="M27" i="10"/>
  <c r="M25" i="10"/>
  <c r="K30" i="10"/>
  <c r="M30" i="10" s="1"/>
  <c r="M74" i="5"/>
  <c r="M72" i="5"/>
  <c r="M71" i="5"/>
  <c r="M84" i="5"/>
  <c r="J66" i="7" l="1"/>
  <c r="M56" i="4"/>
  <c r="H53" i="4"/>
  <c r="H54" i="4"/>
  <c r="H61" i="4"/>
  <c r="H23" i="4" s="1"/>
  <c r="H55" i="4"/>
  <c r="H52" i="3" l="1"/>
  <c r="H54" i="3"/>
  <c r="H57" i="3"/>
  <c r="H59" i="3"/>
  <c r="K48" i="4"/>
  <c r="G48" i="4"/>
  <c r="G47" i="4" s="1"/>
  <c r="M47" i="4" l="1"/>
  <c r="M46" i="4" s="1"/>
  <c r="G46" i="4"/>
  <c r="G45" i="4" s="1"/>
  <c r="M71" i="4"/>
  <c r="M72" i="4"/>
  <c r="M67" i="4"/>
  <c r="M62" i="4"/>
  <c r="M61" i="4"/>
  <c r="M55" i="4"/>
  <c r="M54" i="4"/>
  <c r="M53" i="4"/>
  <c r="M49" i="4"/>
  <c r="M44" i="4"/>
  <c r="M41" i="4"/>
  <c r="M40" i="4"/>
  <c r="M36" i="4"/>
  <c r="M33" i="4"/>
  <c r="M31" i="4"/>
  <c r="M30" i="4"/>
  <c r="M70" i="4" l="1"/>
  <c r="M69" i="4" s="1"/>
  <c r="K40" i="2"/>
  <c r="K41" i="2"/>
  <c r="H40" i="2"/>
  <c r="H41" i="2"/>
  <c r="G40" i="2"/>
  <c r="G41" i="2"/>
  <c r="F40" i="2"/>
  <c r="F41" i="2"/>
  <c r="K45" i="2"/>
  <c r="H45" i="2"/>
  <c r="G45" i="2"/>
  <c r="K48" i="2"/>
  <c r="H48" i="2"/>
  <c r="G48" i="2"/>
  <c r="K53" i="2"/>
  <c r="G53" i="2"/>
  <c r="F53" i="2"/>
  <c r="H502" i="2"/>
  <c r="H482" i="2"/>
  <c r="H478" i="2"/>
  <c r="H450" i="2"/>
  <c r="H446" i="2"/>
  <c r="H391" i="2"/>
  <c r="H389" i="2" s="1"/>
  <c r="H384" i="2"/>
  <c r="H381" i="2"/>
  <c r="H379" i="2"/>
  <c r="E347" i="2"/>
  <c r="E345" i="2"/>
  <c r="H271" i="2"/>
  <c r="H53" i="2" s="1"/>
  <c r="E248" i="2"/>
  <c r="M41" i="2" l="1"/>
  <c r="M53" i="2"/>
  <c r="M48" i="2"/>
  <c r="M45" i="2"/>
  <c r="M40" i="2"/>
  <c r="H39" i="10"/>
  <c r="H36" i="10"/>
  <c r="H34" i="10"/>
  <c r="K21" i="10"/>
  <c r="E21" i="10"/>
  <c r="F21" i="10"/>
  <c r="G21" i="10"/>
  <c r="K18" i="10"/>
  <c r="E18" i="10"/>
  <c r="F18" i="10"/>
  <c r="G18" i="10"/>
  <c r="H18" i="10"/>
  <c r="K16" i="10"/>
  <c r="M16" i="10" s="1"/>
  <c r="E16" i="10"/>
  <c r="F16" i="10"/>
  <c r="G16" i="10"/>
  <c r="H16" i="10"/>
  <c r="H30" i="10"/>
  <c r="H21" i="10" s="1"/>
  <c r="L48" i="10"/>
  <c r="I48" i="10"/>
  <c r="D48" i="10"/>
  <c r="D47" i="10" s="1"/>
  <c r="D46" i="10" s="1"/>
  <c r="K47" i="10"/>
  <c r="I47" i="10"/>
  <c r="H47" i="10"/>
  <c r="G47" i="10"/>
  <c r="F47" i="10"/>
  <c r="E47" i="10"/>
  <c r="K46" i="10"/>
  <c r="I46" i="10"/>
  <c r="H46" i="10"/>
  <c r="G46" i="10"/>
  <c r="F46" i="10"/>
  <c r="E46" i="10"/>
  <c r="I45" i="10"/>
  <c r="D45" i="10"/>
  <c r="D44" i="10" s="1"/>
  <c r="K44" i="10"/>
  <c r="I44" i="10"/>
  <c r="H44" i="10"/>
  <c r="G44" i="10"/>
  <c r="F44" i="10"/>
  <c r="E44" i="10"/>
  <c r="E41" i="10" s="1"/>
  <c r="E13" i="10" s="1"/>
  <c r="I43" i="10"/>
  <c r="D43" i="10"/>
  <c r="K42" i="10"/>
  <c r="H42" i="10"/>
  <c r="G42" i="10"/>
  <c r="F42" i="10"/>
  <c r="F41" i="10" s="1"/>
  <c r="F13" i="10" s="1"/>
  <c r="E42" i="10"/>
  <c r="D42" i="10"/>
  <c r="K41" i="10"/>
  <c r="K13" i="10" s="1"/>
  <c r="H41" i="10"/>
  <c r="H13" i="10" s="1"/>
  <c r="L39" i="10"/>
  <c r="I39" i="10"/>
  <c r="I38" i="10" s="1"/>
  <c r="D39" i="10"/>
  <c r="D38" i="10" s="1"/>
  <c r="D37" i="10" s="1"/>
  <c r="K38" i="10"/>
  <c r="K37" i="10" s="1"/>
  <c r="H38" i="10"/>
  <c r="G38" i="10"/>
  <c r="G37" i="10" s="1"/>
  <c r="F38" i="10"/>
  <c r="E38" i="10"/>
  <c r="E37" i="10" s="1"/>
  <c r="H37" i="10"/>
  <c r="F37" i="10"/>
  <c r="I36" i="10"/>
  <c r="I35" i="10" s="1"/>
  <c r="D36" i="10"/>
  <c r="K35" i="10"/>
  <c r="H35" i="10"/>
  <c r="G35" i="10"/>
  <c r="F35" i="10"/>
  <c r="E35" i="10"/>
  <c r="I34" i="10"/>
  <c r="I33" i="10" s="1"/>
  <c r="D34" i="10"/>
  <c r="K33" i="10"/>
  <c r="H33" i="10"/>
  <c r="H32" i="10" s="1"/>
  <c r="G33" i="10"/>
  <c r="G32" i="10" s="1"/>
  <c r="F33" i="10"/>
  <c r="E33" i="10"/>
  <c r="K32" i="10"/>
  <c r="F32" i="10"/>
  <c r="E32" i="10"/>
  <c r="M93" i="9"/>
  <c r="I93" i="9"/>
  <c r="I92" i="9" s="1"/>
  <c r="I91" i="9" s="1"/>
  <c r="I85" i="9" s="1"/>
  <c r="D93" i="9"/>
  <c r="K92" i="9"/>
  <c r="H92" i="9"/>
  <c r="H91" i="9" s="1"/>
  <c r="H85" i="9" s="1"/>
  <c r="G92" i="9"/>
  <c r="F92" i="9"/>
  <c r="F91" i="9" s="1"/>
  <c r="F85" i="9" s="1"/>
  <c r="E92" i="9"/>
  <c r="E91" i="9" s="1"/>
  <c r="E85" i="9" s="1"/>
  <c r="D92" i="9"/>
  <c r="D91" i="9" s="1"/>
  <c r="G91" i="9"/>
  <c r="G85" i="9" s="1"/>
  <c r="K89" i="9"/>
  <c r="H89" i="9"/>
  <c r="G89" i="9"/>
  <c r="F89" i="9"/>
  <c r="F88" i="9" s="1"/>
  <c r="F87" i="9" s="1"/>
  <c r="E89" i="9"/>
  <c r="E88" i="9" s="1"/>
  <c r="E87" i="9" s="1"/>
  <c r="D89" i="9"/>
  <c r="G88" i="9"/>
  <c r="G87" i="9" s="1"/>
  <c r="K86" i="9"/>
  <c r="I86" i="9"/>
  <c r="H86" i="9"/>
  <c r="G86" i="9"/>
  <c r="F86" i="9"/>
  <c r="E86" i="9"/>
  <c r="D86" i="9"/>
  <c r="M128" i="6"/>
  <c r="H128" i="6"/>
  <c r="M12" i="5"/>
  <c r="K20" i="5"/>
  <c r="E20" i="5"/>
  <c r="F20" i="5"/>
  <c r="G20" i="5"/>
  <c r="K17" i="5"/>
  <c r="E17" i="5"/>
  <c r="F17" i="5"/>
  <c r="G17" i="5"/>
  <c r="M45" i="5"/>
  <c r="M42" i="5"/>
  <c r="M38" i="5"/>
  <c r="M35" i="5"/>
  <c r="M33" i="5"/>
  <c r="H42" i="5"/>
  <c r="L45" i="5"/>
  <c r="I45" i="5"/>
  <c r="D45" i="5"/>
  <c r="D44" i="5" s="1"/>
  <c r="D43" i="5" s="1"/>
  <c r="K44" i="5"/>
  <c r="I44" i="5" s="1"/>
  <c r="H44" i="5"/>
  <c r="G44" i="5"/>
  <c r="H43" i="5"/>
  <c r="G43" i="5"/>
  <c r="L42" i="5"/>
  <c r="I42" i="5"/>
  <c r="D42" i="5"/>
  <c r="D41" i="5" s="1"/>
  <c r="D40" i="5" s="1"/>
  <c r="K41" i="5"/>
  <c r="I41" i="5"/>
  <c r="J41" i="5" s="1"/>
  <c r="H41" i="5"/>
  <c r="H40" i="5" s="1"/>
  <c r="G41" i="5"/>
  <c r="G40" i="5" s="1"/>
  <c r="J38" i="10" l="1"/>
  <c r="I37" i="10"/>
  <c r="J37" i="10" s="1"/>
  <c r="J44" i="5"/>
  <c r="M20" i="5"/>
  <c r="M41" i="5"/>
  <c r="D88" i="9"/>
  <c r="D87" i="9" s="1"/>
  <c r="H88" i="9"/>
  <c r="H87" i="9" s="1"/>
  <c r="K88" i="9"/>
  <c r="K87" i="9" s="1"/>
  <c r="K43" i="5"/>
  <c r="M44" i="5"/>
  <c r="G84" i="9"/>
  <c r="M92" i="9"/>
  <c r="I84" i="9"/>
  <c r="E84" i="9"/>
  <c r="F84" i="9"/>
  <c r="H84" i="9"/>
  <c r="M17" i="5"/>
  <c r="M32" i="10"/>
  <c r="M33" i="10"/>
  <c r="M35" i="10"/>
  <c r="M37" i="10"/>
  <c r="M38" i="10"/>
  <c r="M21" i="10"/>
  <c r="I32" i="10"/>
  <c r="M42" i="10"/>
  <c r="M44" i="10"/>
  <c r="M46" i="10"/>
  <c r="M47" i="10"/>
  <c r="M18" i="10"/>
  <c r="K40" i="5"/>
  <c r="G41" i="10"/>
  <c r="D35" i="10"/>
  <c r="J36" i="10"/>
  <c r="D33" i="10"/>
  <c r="D32" i="10" s="1"/>
  <c r="J32" i="10" s="1"/>
  <c r="J44" i="10"/>
  <c r="D41" i="10"/>
  <c r="D13" i="10" s="1"/>
  <c r="J45" i="10"/>
  <c r="I42" i="10"/>
  <c r="I41" i="10" s="1"/>
  <c r="J35" i="10"/>
  <c r="J34" i="10"/>
  <c r="J33" i="10"/>
  <c r="J46" i="10"/>
  <c r="J47" i="10"/>
  <c r="J48" i="10"/>
  <c r="L46" i="10"/>
  <c r="L47" i="10"/>
  <c r="J39" i="10"/>
  <c r="L37" i="10"/>
  <c r="L38" i="10"/>
  <c r="J91" i="9"/>
  <c r="D85" i="9"/>
  <c r="D84" i="9" s="1"/>
  <c r="I89" i="9"/>
  <c r="K91" i="9"/>
  <c r="K85" i="9" s="1"/>
  <c r="K84" i="9" s="1"/>
  <c r="J92" i="9"/>
  <c r="M91" i="9"/>
  <c r="J93" i="9"/>
  <c r="M84" i="9"/>
  <c r="J85" i="9"/>
  <c r="M86" i="9"/>
  <c r="M88" i="9"/>
  <c r="J89" i="9"/>
  <c r="J84" i="9"/>
  <c r="M85" i="9"/>
  <c r="M87" i="9"/>
  <c r="M89" i="9"/>
  <c r="J45" i="5"/>
  <c r="L43" i="5"/>
  <c r="L44" i="5"/>
  <c r="J42" i="5"/>
  <c r="L40" i="5"/>
  <c r="L41" i="5"/>
  <c r="E195" i="2"/>
  <c r="E192" i="2"/>
  <c r="E148" i="2"/>
  <c r="E137" i="2"/>
  <c r="E134" i="2"/>
  <c r="E133" i="2"/>
  <c r="E122" i="2"/>
  <c r="E117" i="2"/>
  <c r="E106" i="2"/>
  <c r="E103" i="2"/>
  <c r="E101" i="2"/>
  <c r="E91" i="2"/>
  <c r="E88" i="2"/>
  <c r="E58" i="2"/>
  <c r="D58" i="2" s="1"/>
  <c r="J41" i="10" l="1"/>
  <c r="I13" i="10"/>
  <c r="M41" i="10"/>
  <c r="M13" i="10" s="1"/>
  <c r="G13" i="10"/>
  <c r="I88" i="9"/>
  <c r="I87" i="9" s="1"/>
  <c r="J87" i="9" s="1"/>
  <c r="M43" i="5"/>
  <c r="I43" i="5"/>
  <c r="J43" i="5" s="1"/>
  <c r="J88" i="9"/>
  <c r="I40" i="5"/>
  <c r="J40" i="5" s="1"/>
  <c r="M40" i="5"/>
  <c r="F22" i="3"/>
  <c r="K20" i="3"/>
  <c r="F20" i="3"/>
  <c r="G20" i="3"/>
  <c r="F17" i="3"/>
  <c r="K15" i="3"/>
  <c r="G15" i="3"/>
  <c r="F14" i="3"/>
  <c r="H95" i="3"/>
  <c r="H94" i="3" s="1"/>
  <c r="H93" i="3"/>
  <c r="H92" i="3" s="1"/>
  <c r="H90" i="3"/>
  <c r="H88" i="3"/>
  <c r="H86" i="3" s="1"/>
  <c r="H87" i="3"/>
  <c r="D88" i="3"/>
  <c r="D87" i="3"/>
  <c r="M95" i="3"/>
  <c r="L95" i="3"/>
  <c r="I95" i="3"/>
  <c r="K94" i="3"/>
  <c r="G94" i="3"/>
  <c r="F94" i="3"/>
  <c r="E94" i="3"/>
  <c r="M93" i="3"/>
  <c r="L93" i="3"/>
  <c r="I93" i="3"/>
  <c r="K92" i="3"/>
  <c r="K91" i="3" s="1"/>
  <c r="G92" i="3"/>
  <c r="F92" i="3"/>
  <c r="F91" i="3" s="1"/>
  <c r="E92" i="3"/>
  <c r="M90" i="3"/>
  <c r="L90" i="3"/>
  <c r="I90" i="3"/>
  <c r="D90" i="3"/>
  <c r="K89" i="3"/>
  <c r="H89" i="3"/>
  <c r="G89" i="3"/>
  <c r="G85" i="3" s="1"/>
  <c r="F89" i="3"/>
  <c r="E89" i="3"/>
  <c r="E85" i="3" s="1"/>
  <c r="D89" i="3"/>
  <c r="M88" i="3"/>
  <c r="L88" i="3"/>
  <c r="I88" i="3"/>
  <c r="J88" i="3" s="1"/>
  <c r="M87" i="3"/>
  <c r="L87" i="3"/>
  <c r="I87" i="3"/>
  <c r="K86" i="3"/>
  <c r="G86" i="3"/>
  <c r="F86" i="3"/>
  <c r="F85" i="3" s="1"/>
  <c r="E86" i="3"/>
  <c r="K85" i="3"/>
  <c r="H143" i="3"/>
  <c r="H138" i="3"/>
  <c r="H135" i="3"/>
  <c r="M155" i="3"/>
  <c r="M150" i="3"/>
  <c r="M147" i="3"/>
  <c r="M143" i="3"/>
  <c r="M141" i="3"/>
  <c r="M138" i="3"/>
  <c r="M136" i="3"/>
  <c r="M135" i="3"/>
  <c r="M131" i="3"/>
  <c r="M129" i="3"/>
  <c r="M126" i="3"/>
  <c r="M124" i="3"/>
  <c r="M119" i="3"/>
  <c r="M117" i="3"/>
  <c r="M114" i="3"/>
  <c r="M112" i="3"/>
  <c r="M111" i="3"/>
  <c r="M107" i="3"/>
  <c r="M105" i="3"/>
  <c r="M102" i="3"/>
  <c r="M100" i="3"/>
  <c r="M99" i="3"/>
  <c r="M83" i="3"/>
  <c r="M81" i="3"/>
  <c r="M78" i="3"/>
  <c r="M76" i="3"/>
  <c r="M75" i="3"/>
  <c r="M71" i="3"/>
  <c r="M69" i="3"/>
  <c r="M66" i="3"/>
  <c r="M64" i="3"/>
  <c r="M59" i="3"/>
  <c r="M57" i="3"/>
  <c r="M54" i="3"/>
  <c r="M52" i="3"/>
  <c r="M47" i="3"/>
  <c r="M42" i="3"/>
  <c r="M33" i="3"/>
  <c r="E91" i="3" l="1"/>
  <c r="G91" i="3"/>
  <c r="M91" i="3" s="1"/>
  <c r="D86" i="3"/>
  <c r="H91" i="3"/>
  <c r="D85" i="3"/>
  <c r="H85" i="3"/>
  <c r="M94" i="3"/>
  <c r="M92" i="3"/>
  <c r="M89" i="3"/>
  <c r="M85" i="3"/>
  <c r="M86" i="3"/>
  <c r="J87" i="3"/>
  <c r="I86" i="3"/>
  <c r="J90" i="3"/>
  <c r="I89" i="3"/>
  <c r="J89" i="3" s="1"/>
  <c r="I92" i="3"/>
  <c r="I94" i="3"/>
  <c r="L85" i="3"/>
  <c r="L86" i="3"/>
  <c r="L89" i="3"/>
  <c r="L92" i="3"/>
  <c r="D93" i="3"/>
  <c r="D92" i="3" s="1"/>
  <c r="L94" i="3"/>
  <c r="D95" i="3"/>
  <c r="D94" i="3" s="1"/>
  <c r="L91" i="3" l="1"/>
  <c r="D91" i="3"/>
  <c r="J94" i="3"/>
  <c r="I91" i="3"/>
  <c r="J91" i="3" s="1"/>
  <c r="J92" i="3"/>
  <c r="I85" i="3"/>
  <c r="J85" i="3" s="1"/>
  <c r="J86" i="3"/>
  <c r="J95" i="3"/>
  <c r="J93" i="3"/>
  <c r="K50" i="2" l="1"/>
  <c r="F50" i="2"/>
  <c r="G50" i="2"/>
  <c r="H50" i="2"/>
  <c r="G36" i="1" s="1"/>
  <c r="E50" i="2"/>
  <c r="D246" i="2"/>
  <c r="F36" i="1" l="1"/>
  <c r="G32" i="2"/>
  <c r="M32" i="2" s="1"/>
  <c r="M50" i="2"/>
  <c r="J36" i="1"/>
  <c r="L50" i="2"/>
  <c r="K55" i="5"/>
  <c r="H55" i="5"/>
  <c r="F55" i="5"/>
  <c r="G55" i="5"/>
  <c r="M22" i="3"/>
  <c r="M20" i="3"/>
  <c r="E143" i="3"/>
  <c r="E138" i="3"/>
  <c r="E135" i="3"/>
  <c r="M55" i="5" l="1"/>
  <c r="L36" i="1"/>
  <c r="K36" i="1"/>
  <c r="M17" i="3"/>
  <c r="M15" i="3"/>
  <c r="L22" i="3"/>
  <c r="K27" i="8" l="1"/>
  <c r="K15" i="5" l="1"/>
  <c r="L55" i="9" l="1"/>
  <c r="I101" i="6" l="1"/>
  <c r="F416" i="2"/>
  <c r="K416" i="2"/>
  <c r="K372" i="2"/>
  <c r="I225" i="2"/>
  <c r="I79" i="2"/>
  <c r="M396" i="2"/>
  <c r="M404" i="2"/>
  <c r="M405" i="2"/>
  <c r="M406" i="2"/>
  <c r="M408" i="2"/>
  <c r="M409" i="2"/>
  <c r="M407" i="2" l="1"/>
  <c r="M400" i="2"/>
  <c r="M402" i="2"/>
  <c r="M399" i="2"/>
  <c r="M394" i="2"/>
  <c r="M403" i="2"/>
  <c r="M397" i="2"/>
  <c r="M395" i="2"/>
  <c r="G416" i="2"/>
  <c r="M416" i="2" l="1"/>
  <c r="M398" i="2"/>
  <c r="M393" i="2"/>
  <c r="K74" i="3"/>
  <c r="L59" i="7" l="1"/>
  <c r="I43" i="7" l="1"/>
  <c r="D293" i="2" l="1"/>
  <c r="L251" i="2" l="1"/>
  <c r="I251" i="2"/>
  <c r="D251" i="2"/>
  <c r="K250" i="2"/>
  <c r="H250" i="2"/>
  <c r="G250" i="2"/>
  <c r="F250" i="2"/>
  <c r="E250" i="2"/>
  <c r="E249" i="2" s="1"/>
  <c r="M250" i="2" l="1"/>
  <c r="I50" i="2"/>
  <c r="H36" i="1" s="1"/>
  <c r="I250" i="2"/>
  <c r="D250" i="2"/>
  <c r="D50" i="2"/>
  <c r="L250" i="2"/>
  <c r="J251" i="2"/>
  <c r="E180" i="2"/>
  <c r="E150" i="2"/>
  <c r="E147" i="2"/>
  <c r="C36" i="1" l="1"/>
  <c r="I36" i="1" s="1"/>
  <c r="D32" i="2"/>
  <c r="J250" i="2"/>
  <c r="J50" i="2"/>
  <c r="E204" i="8"/>
  <c r="D204" i="8" s="1"/>
  <c r="E203" i="8"/>
  <c r="D203" i="8" s="1"/>
  <c r="H202" i="8"/>
  <c r="G202" i="8"/>
  <c r="F202" i="8"/>
  <c r="D200" i="8"/>
  <c r="H199" i="8"/>
  <c r="H198" i="8" s="1"/>
  <c r="G199" i="8"/>
  <c r="F199" i="8"/>
  <c r="F198" i="8" s="1"/>
  <c r="E197" i="8"/>
  <c r="D197" i="8" s="1"/>
  <c r="H195" i="8"/>
  <c r="G195" i="8"/>
  <c r="D194" i="8"/>
  <c r="H192" i="8"/>
  <c r="G192" i="8"/>
  <c r="F192" i="8"/>
  <c r="E195" i="8" l="1"/>
  <c r="F191" i="8"/>
  <c r="E199" i="8"/>
  <c r="E202" i="8"/>
  <c r="G198" i="8"/>
  <c r="D195" i="8"/>
  <c r="D202" i="8"/>
  <c r="D199" i="8"/>
  <c r="G191" i="8"/>
  <c r="D192" i="8"/>
  <c r="E192" i="8"/>
  <c r="E191" i="8" s="1"/>
  <c r="H191" i="8"/>
  <c r="E198" i="8" l="1"/>
  <c r="D198" i="8"/>
  <c r="D191" i="8"/>
  <c r="D84" i="6" l="1"/>
  <c r="I446" i="2" l="1"/>
  <c r="F445" i="2" l="1"/>
  <c r="F444" i="2"/>
  <c r="E444" i="2"/>
  <c r="I92" i="6" l="1"/>
  <c r="I90" i="6"/>
  <c r="I87" i="6"/>
  <c r="L43" i="8" l="1"/>
  <c r="L45" i="8"/>
  <c r="L47" i="6"/>
  <c r="L48" i="4"/>
  <c r="L45" i="4"/>
  <c r="L47" i="3"/>
  <c r="L47" i="7"/>
  <c r="E10" i="4" l="1"/>
  <c r="F10" i="4"/>
  <c r="L83" i="3" l="1"/>
  <c r="L81" i="3"/>
  <c r="F53" i="4" l="1"/>
  <c r="F55" i="4"/>
  <c r="I136" i="6" l="1"/>
  <c r="F14" i="7" l="1"/>
  <c r="D41" i="7"/>
  <c r="D43" i="7"/>
  <c r="K154" i="3" l="1"/>
  <c r="K146" i="3"/>
  <c r="K149" i="3"/>
  <c r="K151" i="3" l="1"/>
  <c r="K145" i="3"/>
  <c r="I52" i="3"/>
  <c r="I54" i="3"/>
  <c r="I59" i="3"/>
  <c r="M76" i="4" l="1"/>
  <c r="M66" i="4"/>
  <c r="L74" i="6" l="1"/>
  <c r="L71" i="6"/>
  <c r="I81" i="6" l="1"/>
  <c r="I174" i="3"/>
  <c r="E162" i="3"/>
  <c r="M159" i="3"/>
  <c r="M171" i="3"/>
  <c r="M172" i="3"/>
  <c r="M177" i="3"/>
  <c r="M183" i="3"/>
  <c r="M184" i="3"/>
  <c r="M189" i="3"/>
  <c r="I430" i="2"/>
  <c r="I381" i="2"/>
  <c r="I293" i="2"/>
  <c r="K267" i="2"/>
  <c r="M75" i="2"/>
  <c r="M82" i="2"/>
  <c r="M122" i="2"/>
  <c r="M137" i="2"/>
  <c r="M315" i="2"/>
  <c r="M316" i="2"/>
  <c r="M317" i="2"/>
  <c r="M318" i="2"/>
  <c r="M319" i="2"/>
  <c r="M320" i="2"/>
  <c r="M321" i="2"/>
  <c r="M322" i="2"/>
  <c r="M323" i="2"/>
  <c r="M351" i="2"/>
  <c r="M352" i="2"/>
  <c r="M353" i="2"/>
  <c r="M354" i="2"/>
  <c r="M355" i="2"/>
  <c r="M356" i="2"/>
  <c r="M357" i="2"/>
  <c r="M358" i="2"/>
  <c r="M359" i="2"/>
  <c r="M60" i="2"/>
  <c r="M66" i="2"/>
  <c r="I57" i="2"/>
  <c r="L502" i="2"/>
  <c r="I502" i="2"/>
  <c r="I501" i="2" s="1"/>
  <c r="K501" i="2"/>
  <c r="G501" i="2"/>
  <c r="G500" i="2" s="1"/>
  <c r="F501" i="2"/>
  <c r="F500" i="2" s="1"/>
  <c r="E501" i="2"/>
  <c r="E500" i="2" s="1"/>
  <c r="H494" i="2"/>
  <c r="I486" i="2"/>
  <c r="I482" i="2"/>
  <c r="G481" i="2"/>
  <c r="M481" i="2" s="1"/>
  <c r="F418" i="2"/>
  <c r="G418" i="2"/>
  <c r="M418" i="2" s="1"/>
  <c r="H418" i="2"/>
  <c r="F423" i="2"/>
  <c r="G423" i="2"/>
  <c r="M423" i="2" s="1"/>
  <c r="H423" i="2"/>
  <c r="L483" i="2"/>
  <c r="L486" i="2"/>
  <c r="D486" i="2"/>
  <c r="K485" i="2"/>
  <c r="H485" i="2"/>
  <c r="H484" i="2" s="1"/>
  <c r="G485" i="2"/>
  <c r="F485" i="2"/>
  <c r="F484" i="2" s="1"/>
  <c r="E485" i="2"/>
  <c r="G484" i="2"/>
  <c r="E484" i="2"/>
  <c r="I483" i="2"/>
  <c r="D483" i="2"/>
  <c r="D446" i="2"/>
  <c r="E442" i="2"/>
  <c r="I481" i="2" l="1"/>
  <c r="K500" i="2"/>
  <c r="M500" i="2" s="1"/>
  <c r="M501" i="2"/>
  <c r="K484" i="2"/>
  <c r="M484" i="2" s="1"/>
  <c r="M485" i="2"/>
  <c r="J483" i="2"/>
  <c r="I442" i="2"/>
  <c r="E423" i="2"/>
  <c r="E441" i="2"/>
  <c r="E440" i="2" s="1"/>
  <c r="J486" i="2"/>
  <c r="D502" i="2"/>
  <c r="D501" i="2" s="1"/>
  <c r="D500" i="2" s="1"/>
  <c r="H501" i="2"/>
  <c r="H500" i="2" s="1"/>
  <c r="L484" i="2"/>
  <c r="I500" i="2"/>
  <c r="J502" i="2"/>
  <c r="L500" i="2"/>
  <c r="L501" i="2"/>
  <c r="D485" i="2"/>
  <c r="L485" i="2"/>
  <c r="I485" i="2"/>
  <c r="F60" i="5"/>
  <c r="K54" i="5"/>
  <c r="E54" i="5"/>
  <c r="F54" i="5"/>
  <c r="G54" i="5"/>
  <c r="H54" i="5"/>
  <c r="L84" i="5"/>
  <c r="I84" i="5"/>
  <c r="D84" i="5"/>
  <c r="K83" i="5"/>
  <c r="H83" i="5"/>
  <c r="G83" i="5"/>
  <c r="F83" i="5"/>
  <c r="E83" i="5"/>
  <c r="D83" i="5"/>
  <c r="K82" i="5"/>
  <c r="H82" i="5"/>
  <c r="G82" i="5"/>
  <c r="F82" i="5"/>
  <c r="E82" i="5"/>
  <c r="D82" i="5"/>
  <c r="L25" i="10"/>
  <c r="L27" i="10"/>
  <c r="L30" i="10"/>
  <c r="M82" i="5" l="1"/>
  <c r="M83" i="5"/>
  <c r="M54" i="5"/>
  <c r="J501" i="2"/>
  <c r="L82" i="5"/>
  <c r="L54" i="5"/>
  <c r="J500" i="2"/>
  <c r="I82" i="5"/>
  <c r="J82" i="5" s="1"/>
  <c r="I83" i="5"/>
  <c r="J83" i="5" s="1"/>
  <c r="D484" i="2"/>
  <c r="J485" i="2"/>
  <c r="I484" i="2"/>
  <c r="J84" i="5"/>
  <c r="L83" i="5"/>
  <c r="F65" i="4"/>
  <c r="G65" i="4"/>
  <c r="E66" i="4"/>
  <c r="E65" i="4" s="1"/>
  <c r="F70" i="4"/>
  <c r="F15" i="4" s="1"/>
  <c r="G70" i="4"/>
  <c r="E71" i="4"/>
  <c r="E70" i="4" s="1"/>
  <c r="M65" i="4"/>
  <c r="H67" i="4"/>
  <c r="I67" i="4"/>
  <c r="E49" i="4"/>
  <c r="F48" i="4"/>
  <c r="E48" i="4"/>
  <c r="E45" i="4" s="1"/>
  <c r="F45" i="4"/>
  <c r="E44" i="4"/>
  <c r="E43" i="4" s="1"/>
  <c r="G43" i="4"/>
  <c r="G42" i="4" s="1"/>
  <c r="M42" i="4" s="1"/>
  <c r="F43" i="4"/>
  <c r="E41" i="4"/>
  <c r="E40" i="4"/>
  <c r="G39" i="4"/>
  <c r="M39" i="4" s="1"/>
  <c r="F39" i="4"/>
  <c r="E39" i="4" l="1"/>
  <c r="F38" i="4"/>
  <c r="D66" i="4"/>
  <c r="G38" i="4"/>
  <c r="E38" i="4"/>
  <c r="J484" i="2"/>
  <c r="D71" i="4"/>
  <c r="H65" i="4"/>
  <c r="E30" i="4"/>
  <c r="L72" i="4" l="1"/>
  <c r="L67" i="4"/>
  <c r="L62" i="4"/>
  <c r="L58" i="4"/>
  <c r="L56" i="4"/>
  <c r="L54" i="4"/>
  <c r="L53" i="4"/>
  <c r="L41" i="4"/>
  <c r="L36" i="4"/>
  <c r="L33" i="4"/>
  <c r="L31" i="4"/>
  <c r="L30" i="4"/>
  <c r="L191" i="3"/>
  <c r="L186" i="3"/>
  <c r="L179" i="3"/>
  <c r="L174" i="3"/>
  <c r="L167" i="3"/>
  <c r="L165" i="3"/>
  <c r="L162" i="3"/>
  <c r="L160" i="3"/>
  <c r="L71" i="3"/>
  <c r="L69" i="3"/>
  <c r="L66" i="3"/>
  <c r="L64" i="3"/>
  <c r="L59" i="3"/>
  <c r="L57" i="3"/>
  <c r="L54" i="3"/>
  <c r="L52" i="3"/>
  <c r="I55" i="9" l="1"/>
  <c r="M22" i="9"/>
  <c r="L66" i="9"/>
  <c r="L69" i="9"/>
  <c r="I66" i="9"/>
  <c r="I65" i="9" s="1"/>
  <c r="I64" i="9" s="1"/>
  <c r="I13" i="9" s="1"/>
  <c r="I69" i="9"/>
  <c r="D69" i="9"/>
  <c r="H68" i="9"/>
  <c r="G68" i="9"/>
  <c r="F68" i="9"/>
  <c r="E68" i="9"/>
  <c r="H67" i="9"/>
  <c r="G67" i="9"/>
  <c r="F67" i="9"/>
  <c r="E67" i="9"/>
  <c r="I43" i="9"/>
  <c r="I27" i="9"/>
  <c r="I25" i="9"/>
  <c r="I62" i="9"/>
  <c r="I59" i="9"/>
  <c r="I58" i="9" s="1"/>
  <c r="I57" i="9" s="1"/>
  <c r="I52" i="9"/>
  <c r="I51" i="9" s="1"/>
  <c r="I50" i="9" s="1"/>
  <c r="I48" i="9"/>
  <c r="I45" i="9"/>
  <c r="I30" i="9"/>
  <c r="F29" i="9"/>
  <c r="F28" i="9" s="1"/>
  <c r="F26" i="9"/>
  <c r="F24" i="9"/>
  <c r="F56" i="8"/>
  <c r="F55" i="8" s="1"/>
  <c r="F49" i="8"/>
  <c r="L250" i="8"/>
  <c r="I250" i="8"/>
  <c r="I249" i="8"/>
  <c r="I246" i="8"/>
  <c r="I245" i="8"/>
  <c r="H227" i="8"/>
  <c r="H226" i="8" s="1"/>
  <c r="G227" i="8"/>
  <c r="G226" i="8" s="1"/>
  <c r="F227" i="8"/>
  <c r="F226" i="8" s="1"/>
  <c r="H224" i="8"/>
  <c r="G224" i="8"/>
  <c r="F224" i="8"/>
  <c r="H222" i="8"/>
  <c r="G222" i="8"/>
  <c r="F222" i="8"/>
  <c r="I228" i="8"/>
  <c r="I225" i="8"/>
  <c r="I223" i="8"/>
  <c r="I218" i="8"/>
  <c r="I215" i="8"/>
  <c r="I212" i="8"/>
  <c r="I209" i="8"/>
  <c r="I208" i="8"/>
  <c r="I201" i="8"/>
  <c r="I197" i="8"/>
  <c r="I196" i="8"/>
  <c r="I19" i="8" s="1"/>
  <c r="H132" i="8"/>
  <c r="I142" i="8"/>
  <c r="I135" i="8"/>
  <c r="I124" i="8"/>
  <c r="H141" i="8"/>
  <c r="G141" i="8"/>
  <c r="F141" i="8"/>
  <c r="H138" i="8"/>
  <c r="G138" i="8"/>
  <c r="F138" i="8"/>
  <c r="H134" i="8"/>
  <c r="G134" i="8"/>
  <c r="F134" i="8"/>
  <c r="G132" i="8"/>
  <c r="F132" i="8"/>
  <c r="G131" i="8"/>
  <c r="F131" i="8"/>
  <c r="L122" i="8"/>
  <c r="I129" i="8"/>
  <c r="I127" i="8"/>
  <c r="H129" i="8"/>
  <c r="H128" i="8" s="1"/>
  <c r="G128" i="8"/>
  <c r="F128" i="8"/>
  <c r="H126" i="8"/>
  <c r="G126" i="8"/>
  <c r="F126" i="8"/>
  <c r="H123" i="8"/>
  <c r="G123" i="8"/>
  <c r="F123" i="8"/>
  <c r="H121" i="8"/>
  <c r="G121" i="8"/>
  <c r="F121" i="8"/>
  <c r="I118" i="8"/>
  <c r="I116" i="8"/>
  <c r="I113" i="8"/>
  <c r="H113" i="8"/>
  <c r="H112" i="8" s="1"/>
  <c r="H117" i="8"/>
  <c r="G117" i="8"/>
  <c r="F117" i="8"/>
  <c r="H115" i="8"/>
  <c r="G115" i="8"/>
  <c r="F115" i="8"/>
  <c r="F114" i="8" s="1"/>
  <c r="G112" i="8"/>
  <c r="F112" i="8"/>
  <c r="D111" i="8"/>
  <c r="G110" i="8"/>
  <c r="F110" i="8"/>
  <c r="I107" i="8"/>
  <c r="I106" i="8"/>
  <c r="I104" i="8"/>
  <c r="I100" i="8"/>
  <c r="I99" i="8"/>
  <c r="I97" i="8"/>
  <c r="F105" i="8"/>
  <c r="E105" i="8"/>
  <c r="F102" i="8"/>
  <c r="F101" i="8" s="1"/>
  <c r="E102" i="8"/>
  <c r="F98" i="8"/>
  <c r="E98" i="8"/>
  <c r="I96" i="8"/>
  <c r="F94" i="8"/>
  <c r="E94" i="8"/>
  <c r="K32" i="8"/>
  <c r="F32" i="8"/>
  <c r="G32" i="8"/>
  <c r="M32" i="8" s="1"/>
  <c r="H32" i="8"/>
  <c r="K28" i="8"/>
  <c r="E28" i="8"/>
  <c r="D34" i="1" s="1"/>
  <c r="F28" i="8"/>
  <c r="E34" i="1" s="1"/>
  <c r="G28" i="8"/>
  <c r="H28" i="8"/>
  <c r="G34" i="1" s="1"/>
  <c r="K88" i="8"/>
  <c r="K84" i="8"/>
  <c r="I91" i="8"/>
  <c r="I87" i="8"/>
  <c r="G84" i="8"/>
  <c r="D87" i="8"/>
  <c r="D91" i="8"/>
  <c r="G88" i="8"/>
  <c r="I76" i="8"/>
  <c r="H88" i="8"/>
  <c r="F88" i="8"/>
  <c r="H84" i="8"/>
  <c r="F84" i="8"/>
  <c r="F83" i="8" s="1"/>
  <c r="I81" i="8"/>
  <c r="G75" i="8"/>
  <c r="I77" i="8"/>
  <c r="H75" i="8"/>
  <c r="F75" i="8"/>
  <c r="G58" i="8"/>
  <c r="F58" i="8"/>
  <c r="G55" i="8"/>
  <c r="G54" i="8" s="1"/>
  <c r="G52" i="8"/>
  <c r="F52" i="8"/>
  <c r="G49" i="8"/>
  <c r="G48" i="8"/>
  <c r="E42" i="8"/>
  <c r="I42" i="8" s="1"/>
  <c r="I21" i="9" l="1"/>
  <c r="I18" i="9"/>
  <c r="I16" i="9"/>
  <c r="G120" i="8"/>
  <c r="G74" i="8"/>
  <c r="F137" i="8"/>
  <c r="F120" i="8"/>
  <c r="F48" i="8"/>
  <c r="G114" i="8"/>
  <c r="H221" i="8"/>
  <c r="M84" i="8"/>
  <c r="F221" i="8"/>
  <c r="M88" i="8"/>
  <c r="F34" i="1"/>
  <c r="M28" i="8"/>
  <c r="H74" i="8"/>
  <c r="F54" i="8"/>
  <c r="G137" i="8"/>
  <c r="J69" i="9"/>
  <c r="G83" i="8"/>
  <c r="D68" i="9"/>
  <c r="F109" i="8"/>
  <c r="G109" i="8"/>
  <c r="F93" i="8"/>
  <c r="E93" i="8"/>
  <c r="F125" i="8"/>
  <c r="G125" i="8"/>
  <c r="E101" i="8"/>
  <c r="D67" i="9"/>
  <c r="F23" i="9"/>
  <c r="H110" i="8"/>
  <c r="H109" i="8" s="1"/>
  <c r="I103" i="8"/>
  <c r="H125" i="8"/>
  <c r="F74" i="8"/>
  <c r="I85" i="8"/>
  <c r="I89" i="8"/>
  <c r="H114" i="8"/>
  <c r="H120" i="8"/>
  <c r="G221" i="8"/>
  <c r="H137" i="8"/>
  <c r="H131" i="8"/>
  <c r="H83" i="8"/>
  <c r="J87" i="8"/>
  <c r="J91" i="8"/>
  <c r="L20" i="3"/>
  <c r="L17" i="3"/>
  <c r="M148" i="3"/>
  <c r="M153" i="3"/>
  <c r="L147" i="3"/>
  <c r="L148" i="3"/>
  <c r="L150" i="3"/>
  <c r="L153" i="3"/>
  <c r="L155" i="3"/>
  <c r="L143" i="3"/>
  <c r="L138" i="3"/>
  <c r="L135" i="3"/>
  <c r="M123" i="3"/>
  <c r="L123" i="3"/>
  <c r="L124" i="3"/>
  <c r="L126" i="3"/>
  <c r="L129" i="3"/>
  <c r="L131" i="3"/>
  <c r="H119" i="3"/>
  <c r="H117" i="3"/>
  <c r="H116" i="3" s="1"/>
  <c r="H114" i="3"/>
  <c r="H112" i="3"/>
  <c r="H110" i="3" s="1"/>
  <c r="H111" i="3"/>
  <c r="H14" i="3" s="1"/>
  <c r="F118" i="3"/>
  <c r="F116" i="3"/>
  <c r="E118" i="3"/>
  <c r="E116" i="3"/>
  <c r="F112" i="3"/>
  <c r="F15" i="3" s="1"/>
  <c r="E112" i="3"/>
  <c r="F110" i="3"/>
  <c r="E110" i="3"/>
  <c r="F109" i="3"/>
  <c r="E109" i="3"/>
  <c r="G110" i="3"/>
  <c r="K110" i="3"/>
  <c r="D111" i="3"/>
  <c r="I111" i="3"/>
  <c r="L111" i="3"/>
  <c r="L112" i="3"/>
  <c r="G113" i="3"/>
  <c r="H113" i="3"/>
  <c r="K113" i="3"/>
  <c r="D114" i="3"/>
  <c r="D113" i="3" s="1"/>
  <c r="I114" i="3"/>
  <c r="I113" i="3" s="1"/>
  <c r="L114" i="3"/>
  <c r="G116" i="3"/>
  <c r="K116" i="3"/>
  <c r="I117" i="3"/>
  <c r="I116" i="3" s="1"/>
  <c r="L117" i="3"/>
  <c r="G118" i="3"/>
  <c r="H118" i="3"/>
  <c r="K118" i="3"/>
  <c r="D119" i="3"/>
  <c r="D118" i="3" s="1"/>
  <c r="I119" i="3"/>
  <c r="I118" i="3" s="1"/>
  <c r="L119" i="3"/>
  <c r="L105" i="3"/>
  <c r="L107" i="3"/>
  <c r="L99" i="3"/>
  <c r="L100" i="3"/>
  <c r="L102" i="3"/>
  <c r="L78" i="3"/>
  <c r="L76" i="3"/>
  <c r="L75" i="3"/>
  <c r="L42" i="3"/>
  <c r="K46" i="3"/>
  <c r="K41" i="3"/>
  <c r="L33" i="3"/>
  <c r="I33" i="3"/>
  <c r="I32" i="3" s="1"/>
  <c r="I31" i="3" s="1"/>
  <c r="M116" i="3" l="1"/>
  <c r="I112" i="3"/>
  <c r="J112" i="3" s="1"/>
  <c r="K43" i="3"/>
  <c r="L118" i="3"/>
  <c r="M118" i="3"/>
  <c r="M110" i="3"/>
  <c r="L113" i="3"/>
  <c r="M113" i="3"/>
  <c r="M14" i="3"/>
  <c r="K38" i="3"/>
  <c r="D112" i="3"/>
  <c r="L14" i="3"/>
  <c r="E115" i="3"/>
  <c r="F115" i="3"/>
  <c r="L116" i="3"/>
  <c r="L15" i="3"/>
  <c r="J113" i="3"/>
  <c r="K115" i="3"/>
  <c r="G115" i="3"/>
  <c r="I110" i="3"/>
  <c r="I109" i="3" s="1"/>
  <c r="K109" i="3"/>
  <c r="G109" i="3"/>
  <c r="D117" i="3"/>
  <c r="D116" i="3" s="1"/>
  <c r="J116" i="3" s="1"/>
  <c r="H115" i="3"/>
  <c r="L110" i="3"/>
  <c r="H109" i="3"/>
  <c r="J118" i="3"/>
  <c r="I115" i="3"/>
  <c r="D110" i="3"/>
  <c r="D109" i="3" s="1"/>
  <c r="J119" i="3"/>
  <c r="J114" i="3"/>
  <c r="J111" i="3"/>
  <c r="H388" i="2"/>
  <c r="E329" i="2"/>
  <c r="E327" i="2"/>
  <c r="E275" i="2"/>
  <c r="L268" i="2"/>
  <c r="E268" i="2"/>
  <c r="E259" i="2"/>
  <c r="E257" i="2"/>
  <c r="E237" i="2"/>
  <c r="E216" i="2"/>
  <c r="E213" i="2"/>
  <c r="E204" i="2"/>
  <c r="E65" i="2"/>
  <c r="I61" i="2"/>
  <c r="L242" i="2"/>
  <c r="L168" i="2"/>
  <c r="L180" i="2"/>
  <c r="L192" i="2"/>
  <c r="L200" i="2"/>
  <c r="L204" i="2"/>
  <c r="L206" i="2"/>
  <c r="L209" i="2"/>
  <c r="L213" i="2"/>
  <c r="L225" i="2"/>
  <c r="L227" i="2"/>
  <c r="L230" i="2"/>
  <c r="L234" i="2"/>
  <c r="L240" i="2"/>
  <c r="L246" i="2"/>
  <c r="L248" i="2"/>
  <c r="L253" i="2"/>
  <c r="L257" i="2"/>
  <c r="L259" i="2"/>
  <c r="L262" i="2"/>
  <c r="L266" i="2"/>
  <c r="L275" i="2"/>
  <c r="L293" i="2"/>
  <c r="L302" i="2"/>
  <c r="L305" i="2"/>
  <c r="L315" i="2"/>
  <c r="L316" i="2"/>
  <c r="L317" i="2"/>
  <c r="L318" i="2"/>
  <c r="L319" i="2"/>
  <c r="L320" i="2"/>
  <c r="L321" i="2"/>
  <c r="L322" i="2"/>
  <c r="L323" i="2"/>
  <c r="L332" i="2"/>
  <c r="L336" i="2"/>
  <c r="L350" i="2"/>
  <c r="L351" i="2"/>
  <c r="L352" i="2"/>
  <c r="L353" i="2"/>
  <c r="L354" i="2"/>
  <c r="L355" i="2"/>
  <c r="L356" i="2"/>
  <c r="L357" i="2"/>
  <c r="L358" i="2"/>
  <c r="L359" i="2"/>
  <c r="L381" i="2"/>
  <c r="L384" i="2"/>
  <c r="L388" i="2"/>
  <c r="L391" i="2"/>
  <c r="L428" i="2"/>
  <c r="L429" i="2"/>
  <c r="L430" i="2"/>
  <c r="L433" i="2"/>
  <c r="L446" i="2"/>
  <c r="L450" i="2"/>
  <c r="L454" i="2"/>
  <c r="L466" i="2"/>
  <c r="L470" i="2"/>
  <c r="L478" i="2"/>
  <c r="L482" i="2"/>
  <c r="L490" i="2"/>
  <c r="L498" i="2"/>
  <c r="L57" i="2"/>
  <c r="L60" i="2"/>
  <c r="L64" i="2"/>
  <c r="L66" i="2"/>
  <c r="L67" i="2"/>
  <c r="L71" i="2"/>
  <c r="L75" i="2"/>
  <c r="L80" i="2"/>
  <c r="L82" i="2"/>
  <c r="L83" i="2"/>
  <c r="L87" i="2"/>
  <c r="L90" i="2"/>
  <c r="L94" i="2"/>
  <c r="L96" i="2"/>
  <c r="L97" i="2"/>
  <c r="L101" i="2"/>
  <c r="L105" i="2"/>
  <c r="L110" i="2"/>
  <c r="L112" i="2"/>
  <c r="L113" i="2"/>
  <c r="L117" i="2"/>
  <c r="L121" i="2"/>
  <c r="L126" i="2"/>
  <c r="L128" i="2"/>
  <c r="L129" i="2"/>
  <c r="L133" i="2"/>
  <c r="L136" i="2"/>
  <c r="L140" i="2"/>
  <c r="L142" i="2"/>
  <c r="L143" i="2"/>
  <c r="L147" i="2"/>
  <c r="L148" i="2"/>
  <c r="L150" i="2"/>
  <c r="M115" i="3" l="1"/>
  <c r="M109" i="3"/>
  <c r="I248" i="2"/>
  <c r="D248" i="2"/>
  <c r="L115" i="3"/>
  <c r="D115" i="3"/>
  <c r="J115" i="3" s="1"/>
  <c r="L109" i="3"/>
  <c r="J117" i="3"/>
  <c r="J109" i="3"/>
  <c r="J110" i="3"/>
  <c r="J351" i="2"/>
  <c r="J354" i="2"/>
  <c r="J356" i="2"/>
  <c r="J359" i="2"/>
  <c r="J315" i="2"/>
  <c r="J316" i="2"/>
  <c r="J317" i="2"/>
  <c r="J318" i="2"/>
  <c r="J319" i="2"/>
  <c r="J320" i="2"/>
  <c r="J321" i="2"/>
  <c r="J322" i="2"/>
  <c r="J323" i="2"/>
  <c r="J60" i="2"/>
  <c r="J66" i="2"/>
  <c r="I118" i="2"/>
  <c r="I240" i="2"/>
  <c r="I338" i="2"/>
  <c r="I429" i="2"/>
  <c r="I64" i="2"/>
  <c r="I132" i="6" l="1"/>
  <c r="I116" i="6"/>
  <c r="I98" i="6"/>
  <c r="I96" i="6"/>
  <c r="I78" i="6"/>
  <c r="I74" i="6"/>
  <c r="I71" i="6"/>
  <c r="I67" i="6"/>
  <c r="I65" i="6"/>
  <c r="I62" i="6"/>
  <c r="I60" i="6"/>
  <c r="I45" i="6"/>
  <c r="I43" i="6"/>
  <c r="I40" i="6"/>
  <c r="I38" i="6"/>
  <c r="M132" i="6"/>
  <c r="M124" i="6"/>
  <c r="M120" i="6"/>
  <c r="M116" i="6"/>
  <c r="M101" i="6"/>
  <c r="M98" i="6"/>
  <c r="M96" i="6"/>
  <c r="M81" i="6"/>
  <c r="M78" i="6"/>
  <c r="M74" i="6"/>
  <c r="M71" i="6"/>
  <c r="M67" i="6"/>
  <c r="M65" i="6"/>
  <c r="M62" i="6"/>
  <c r="M60" i="6"/>
  <c r="M56" i="6"/>
  <c r="M54" i="6"/>
  <c r="M51" i="6"/>
  <c r="M49" i="6"/>
  <c r="M45" i="6"/>
  <c r="M43" i="6"/>
  <c r="M40" i="6"/>
  <c r="M38" i="6"/>
  <c r="M32" i="6"/>
  <c r="M27" i="6"/>
  <c r="I80" i="5"/>
  <c r="I63" i="5" s="1"/>
  <c r="I62" i="5" s="1"/>
  <c r="I78" i="5"/>
  <c r="I61" i="5" s="1"/>
  <c r="I60" i="5"/>
  <c r="I57" i="5"/>
  <c r="I56" i="5" s="1"/>
  <c r="I72" i="5"/>
  <c r="I54" i="5" s="1"/>
  <c r="I53" i="5"/>
  <c r="I38" i="5"/>
  <c r="I35" i="5"/>
  <c r="I33" i="5"/>
  <c r="I29" i="5"/>
  <c r="I26" i="5"/>
  <c r="D65" i="7"/>
  <c r="H11" i="7"/>
  <c r="F11" i="7"/>
  <c r="K15" i="7"/>
  <c r="G15" i="7"/>
  <c r="F15" i="7"/>
  <c r="E47" i="7"/>
  <c r="I47" i="7" s="1"/>
  <c r="I26" i="7"/>
  <c r="M77" i="7"/>
  <c r="M31" i="7"/>
  <c r="M28" i="7"/>
  <c r="I91" i="7"/>
  <c r="I89" i="7"/>
  <c r="I86" i="7"/>
  <c r="I84" i="7"/>
  <c r="I83" i="7"/>
  <c r="I79" i="7"/>
  <c r="I77" i="7"/>
  <c r="I72" i="7"/>
  <c r="I65" i="7"/>
  <c r="I59" i="7"/>
  <c r="I55" i="7"/>
  <c r="I50" i="7"/>
  <c r="I41" i="7"/>
  <c r="I38" i="7"/>
  <c r="L36" i="7"/>
  <c r="E36" i="7"/>
  <c r="E35" i="7"/>
  <c r="I35" i="7" s="1"/>
  <c r="K112" i="6"/>
  <c r="G112" i="6"/>
  <c r="L136" i="6"/>
  <c r="H112" i="6"/>
  <c r="G15" i="5"/>
  <c r="M15" i="5" s="1"/>
  <c r="H33" i="5"/>
  <c r="H15" i="5" s="1"/>
  <c r="H38" i="5"/>
  <c r="H20" i="5" s="1"/>
  <c r="H35" i="5"/>
  <c r="H17" i="5" s="1"/>
  <c r="L38" i="5"/>
  <c r="K37" i="5"/>
  <c r="H37" i="5"/>
  <c r="H36" i="5" s="1"/>
  <c r="G37" i="5"/>
  <c r="K36" i="5"/>
  <c r="M36" i="5" s="1"/>
  <c r="G36" i="5"/>
  <c r="L35" i="5"/>
  <c r="K34" i="5"/>
  <c r="H34" i="5"/>
  <c r="G34" i="5"/>
  <c r="L33" i="5"/>
  <c r="K32" i="5"/>
  <c r="H32" i="5"/>
  <c r="H31" i="5" s="1"/>
  <c r="G32" i="5"/>
  <c r="L32" i="5" s="1"/>
  <c r="G31" i="5"/>
  <c r="D38" i="5"/>
  <c r="D37" i="5" s="1"/>
  <c r="D36" i="5" s="1"/>
  <c r="D35" i="5"/>
  <c r="D34" i="5" s="1"/>
  <c r="D33" i="5"/>
  <c r="D32" i="5" s="1"/>
  <c r="E11" i="7" l="1"/>
  <c r="M112" i="6"/>
  <c r="M37" i="5"/>
  <c r="I20" i="5"/>
  <c r="M15" i="7"/>
  <c r="M11" i="7"/>
  <c r="I32" i="5"/>
  <c r="M32" i="5"/>
  <c r="I34" i="5"/>
  <c r="M34" i="5"/>
  <c r="I17" i="5"/>
  <c r="K31" i="5"/>
  <c r="M31" i="5" s="1"/>
  <c r="I36" i="7"/>
  <c r="I15" i="7" s="1"/>
  <c r="E15" i="7"/>
  <c r="I59" i="5"/>
  <c r="I58" i="5" s="1"/>
  <c r="I36" i="5"/>
  <c r="J36" i="5" s="1"/>
  <c r="J32" i="5"/>
  <c r="L31" i="5"/>
  <c r="I31" i="5"/>
  <c r="I37" i="5"/>
  <c r="J37" i="5" s="1"/>
  <c r="D136" i="6"/>
  <c r="I22" i="7"/>
  <c r="L34" i="5"/>
  <c r="J35" i="5"/>
  <c r="J34" i="5"/>
  <c r="J33" i="5"/>
  <c r="L36" i="5"/>
  <c r="L37" i="5"/>
  <c r="J38" i="5"/>
  <c r="D31" i="5"/>
  <c r="I11" i="7" l="1"/>
  <c r="J31" i="5"/>
  <c r="L27" i="9"/>
  <c r="L25" i="9"/>
  <c r="L30" i="9"/>
  <c r="L43" i="9"/>
  <c r="L45" i="9"/>
  <c r="L48" i="9"/>
  <c r="L52" i="9"/>
  <c r="L59" i="9"/>
  <c r="L62" i="9"/>
  <c r="L246" i="8"/>
  <c r="K241" i="8" l="1"/>
  <c r="K240" i="8"/>
  <c r="K237" i="8"/>
  <c r="K236" i="8"/>
  <c r="J235" i="8"/>
  <c r="L235" i="8"/>
  <c r="L245" i="8"/>
  <c r="L249" i="8"/>
  <c r="J144" i="8"/>
  <c r="J148" i="8"/>
  <c r="J150" i="8"/>
  <c r="J155" i="8"/>
  <c r="J156" i="8"/>
  <c r="J157" i="8"/>
  <c r="J158" i="8"/>
  <c r="J161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L36" i="8"/>
  <c r="L37" i="8"/>
  <c r="L39" i="8"/>
  <c r="L42" i="8"/>
  <c r="L50" i="8"/>
  <c r="L51" i="8"/>
  <c r="L53" i="8"/>
  <c r="L56" i="8"/>
  <c r="L57" i="8"/>
  <c r="L59" i="8"/>
  <c r="L63" i="8"/>
  <c r="L70" i="8"/>
  <c r="L81" i="8"/>
  <c r="L85" i="8"/>
  <c r="L89" i="8"/>
  <c r="L111" i="8"/>
  <c r="L113" i="8"/>
  <c r="L116" i="8"/>
  <c r="L124" i="8"/>
  <c r="L127" i="8"/>
  <c r="L135" i="8"/>
  <c r="L139" i="8"/>
  <c r="L140" i="8"/>
  <c r="L142" i="8"/>
  <c r="L144" i="8"/>
  <c r="L147" i="8"/>
  <c r="L148" i="8"/>
  <c r="L150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3" i="8"/>
  <c r="L194" i="8"/>
  <c r="L197" i="8"/>
  <c r="L200" i="8"/>
  <c r="L203" i="8"/>
  <c r="L208" i="8"/>
  <c r="L216" i="8"/>
  <c r="L223" i="8"/>
  <c r="L225" i="8"/>
  <c r="L228" i="8"/>
  <c r="L38" i="7"/>
  <c r="L41" i="7"/>
  <c r="L50" i="7"/>
  <c r="L53" i="7"/>
  <c r="L55" i="7"/>
  <c r="L77" i="7"/>
  <c r="L84" i="7"/>
  <c r="L86" i="7"/>
  <c r="L89" i="7"/>
  <c r="L27" i="6"/>
  <c r="L32" i="6"/>
  <c r="L78" i="6"/>
  <c r="L81" i="6"/>
  <c r="L85" i="6"/>
  <c r="L87" i="6"/>
  <c r="L90" i="6"/>
  <c r="L92" i="6"/>
  <c r="L96" i="6"/>
  <c r="L98" i="6"/>
  <c r="L101" i="6"/>
  <c r="L128" i="6"/>
  <c r="L71" i="5"/>
  <c r="L72" i="5"/>
  <c r="L74" i="5"/>
  <c r="L77" i="5"/>
  <c r="L78" i="5"/>
  <c r="L80" i="5"/>
  <c r="L24" i="5"/>
  <c r="L26" i="5"/>
  <c r="L29" i="5"/>
  <c r="E478" i="2" l="1"/>
  <c r="I478" i="2" s="1"/>
  <c r="J23" i="3" l="1"/>
  <c r="J24" i="3"/>
  <c r="J25" i="3"/>
  <c r="J26" i="3"/>
  <c r="J27" i="3"/>
  <c r="J28" i="3"/>
  <c r="J29" i="3"/>
  <c r="J51" i="3"/>
  <c r="J63" i="3"/>
  <c r="J172" i="3"/>
  <c r="J184" i="3"/>
  <c r="L23" i="3"/>
  <c r="L24" i="3"/>
  <c r="L25" i="3"/>
  <c r="L26" i="3"/>
  <c r="L27" i="3"/>
  <c r="L28" i="3"/>
  <c r="L29" i="3"/>
  <c r="L40" i="3"/>
  <c r="L51" i="3"/>
  <c r="L63" i="3"/>
  <c r="L159" i="3"/>
  <c r="L171" i="3"/>
  <c r="L172" i="3"/>
  <c r="L177" i="3"/>
  <c r="L183" i="3"/>
  <c r="L184" i="3"/>
  <c r="L189" i="3"/>
  <c r="K88" i="7" l="1"/>
  <c r="I498" i="2" l="1"/>
  <c r="I209" i="2" l="1"/>
  <c r="F265" i="2" l="1"/>
  <c r="F261" i="2"/>
  <c r="F260" i="2" s="1"/>
  <c r="F258" i="2"/>
  <c r="F256" i="2"/>
  <c r="F252" i="2"/>
  <c r="F249" i="2" s="1"/>
  <c r="F247" i="2"/>
  <c r="F245" i="2"/>
  <c r="F241" i="2"/>
  <c r="F239" i="2"/>
  <c r="F236" i="2"/>
  <c r="F233" i="2"/>
  <c r="F229" i="2"/>
  <c r="F228" i="2" s="1"/>
  <c r="F226" i="2"/>
  <c r="F224" i="2"/>
  <c r="F208" i="2"/>
  <c r="F207" i="2" s="1"/>
  <c r="F205" i="2"/>
  <c r="F203" i="2"/>
  <c r="F199" i="2"/>
  <c r="F197" i="2"/>
  <c r="F194" i="2"/>
  <c r="F191" i="2"/>
  <c r="F187" i="2"/>
  <c r="F185" i="2"/>
  <c r="F182" i="2"/>
  <c r="F179" i="2"/>
  <c r="F163" i="2"/>
  <c r="F162" i="2" s="1"/>
  <c r="F160" i="2"/>
  <c r="F158" i="2"/>
  <c r="F157" i="2" s="1"/>
  <c r="F154" i="2"/>
  <c r="F151" i="2" s="1"/>
  <c r="F149" i="2"/>
  <c r="F146" i="2"/>
  <c r="F141" i="2"/>
  <c r="F139" i="2"/>
  <c r="F135" i="2"/>
  <c r="F134" i="2"/>
  <c r="F132" i="2" s="1"/>
  <c r="F127" i="2"/>
  <c r="F124" i="2"/>
  <c r="F120" i="2"/>
  <c r="F116" i="2"/>
  <c r="F111" i="2"/>
  <c r="F109" i="2"/>
  <c r="F104" i="2"/>
  <c r="F95" i="2"/>
  <c r="F93" i="2"/>
  <c r="F89" i="2"/>
  <c r="F88" i="2"/>
  <c r="F86" i="2" s="1"/>
  <c r="F81" i="2"/>
  <c r="F78" i="2"/>
  <c r="F76" i="2"/>
  <c r="F73" i="2"/>
  <c r="F70" i="2" s="1"/>
  <c r="F65" i="2"/>
  <c r="F63" i="2"/>
  <c r="F59" i="2"/>
  <c r="F56" i="2"/>
  <c r="F328" i="2"/>
  <c r="F74" i="2" l="1"/>
  <c r="F108" i="2"/>
  <c r="F48" i="2"/>
  <c r="F138" i="2"/>
  <c r="F238" i="2"/>
  <c r="F202" i="2"/>
  <c r="F223" i="2"/>
  <c r="F178" i="2"/>
  <c r="F184" i="2"/>
  <c r="F196" i="2"/>
  <c r="F232" i="2"/>
  <c r="F255" i="2"/>
  <c r="F131" i="2"/>
  <c r="F123" i="2"/>
  <c r="F115" i="2"/>
  <c r="F69" i="2"/>
  <c r="F62" i="2"/>
  <c r="F77" i="2"/>
  <c r="F85" i="2"/>
  <c r="F92" i="2"/>
  <c r="F55" i="2"/>
  <c r="F100" i="2"/>
  <c r="F99" i="2" s="1"/>
  <c r="F145" i="2"/>
  <c r="F190" i="2"/>
  <c r="F244" i="2"/>
  <c r="F107" i="2"/>
  <c r="L133" i="8"/>
  <c r="E78" i="2" l="1"/>
  <c r="E143" i="8"/>
  <c r="I143" i="8" s="1"/>
  <c r="D142" i="8"/>
  <c r="D28" i="8"/>
  <c r="C34" i="1" s="1"/>
  <c r="I193" i="8"/>
  <c r="D140" i="8"/>
  <c r="E139" i="8"/>
  <c r="I139" i="8" s="1"/>
  <c r="E136" i="8"/>
  <c r="E21" i="8" s="1"/>
  <c r="D135" i="8"/>
  <c r="E133" i="8"/>
  <c r="D101" i="6"/>
  <c r="D100" i="6" s="1"/>
  <c r="D99" i="6" s="1"/>
  <c r="H100" i="6"/>
  <c r="G100" i="6"/>
  <c r="G99" i="6" s="1"/>
  <c r="H99" i="6"/>
  <c r="D98" i="6"/>
  <c r="D97" i="6" s="1"/>
  <c r="H97" i="6"/>
  <c r="G97" i="6"/>
  <c r="D96" i="6"/>
  <c r="D95" i="6" s="1"/>
  <c r="H95" i="6"/>
  <c r="G95" i="6"/>
  <c r="D91" i="6"/>
  <c r="H91" i="6"/>
  <c r="G91" i="6"/>
  <c r="D89" i="6"/>
  <c r="H89" i="6"/>
  <c r="G89" i="6"/>
  <c r="J87" i="6"/>
  <c r="H86" i="6"/>
  <c r="G86" i="6"/>
  <c r="H84" i="6"/>
  <c r="G84" i="6"/>
  <c r="H83" i="6"/>
  <c r="H80" i="6"/>
  <c r="H79" i="6" s="1"/>
  <c r="G80" i="6"/>
  <c r="G79" i="6" s="1"/>
  <c r="H77" i="6"/>
  <c r="G77" i="6"/>
  <c r="H76" i="6"/>
  <c r="G76" i="6"/>
  <c r="H73" i="6"/>
  <c r="H72" i="6" s="1"/>
  <c r="D74" i="6"/>
  <c r="D73" i="6" s="1"/>
  <c r="D72" i="6" s="1"/>
  <c r="G73" i="6"/>
  <c r="G72" i="6" s="1"/>
  <c r="H70" i="6"/>
  <c r="H69" i="6" s="1"/>
  <c r="G70" i="6"/>
  <c r="G69" i="6" s="1"/>
  <c r="D67" i="6"/>
  <c r="D66" i="6" s="1"/>
  <c r="H66" i="6"/>
  <c r="G66" i="6"/>
  <c r="D65" i="6"/>
  <c r="D64" i="6" s="1"/>
  <c r="H64" i="6"/>
  <c r="G64" i="6"/>
  <c r="D62" i="6"/>
  <c r="D61" i="6" s="1"/>
  <c r="H61" i="6"/>
  <c r="G61" i="6"/>
  <c r="D60" i="6"/>
  <c r="D59" i="6" s="1"/>
  <c r="H59" i="6"/>
  <c r="G59" i="6"/>
  <c r="H55" i="6"/>
  <c r="G55" i="6"/>
  <c r="I54" i="6"/>
  <c r="H53" i="6"/>
  <c r="G53" i="6"/>
  <c r="I51" i="6"/>
  <c r="D51" i="6"/>
  <c r="D50" i="6" s="1"/>
  <c r="H50" i="6"/>
  <c r="G50" i="6"/>
  <c r="H48" i="6"/>
  <c r="H47" i="6" s="1"/>
  <c r="G48" i="6"/>
  <c r="D45" i="6"/>
  <c r="D44" i="6" s="1"/>
  <c r="H44" i="6"/>
  <c r="G44" i="6"/>
  <c r="D43" i="6"/>
  <c r="D42" i="6" s="1"/>
  <c r="H42" i="6"/>
  <c r="G42" i="6"/>
  <c r="D40" i="6"/>
  <c r="D39" i="6" s="1"/>
  <c r="H39" i="6"/>
  <c r="G39" i="6"/>
  <c r="D38" i="6"/>
  <c r="D37" i="6" s="1"/>
  <c r="H37" i="6"/>
  <c r="G37" i="6"/>
  <c r="H34" i="6"/>
  <c r="H33" i="6" s="1"/>
  <c r="G34" i="6"/>
  <c r="I34" i="6"/>
  <c r="G33" i="6"/>
  <c r="H32" i="6"/>
  <c r="I32" i="6"/>
  <c r="H31" i="6"/>
  <c r="G31" i="6"/>
  <c r="H29" i="6"/>
  <c r="H28" i="6" s="1"/>
  <c r="G29" i="6"/>
  <c r="G28" i="6" s="1"/>
  <c r="I29" i="6"/>
  <c r="H27" i="6"/>
  <c r="H26" i="6" s="1"/>
  <c r="I27" i="6"/>
  <c r="G26" i="6"/>
  <c r="J85" i="1"/>
  <c r="J76" i="1"/>
  <c r="I133" i="8" l="1"/>
  <c r="E16" i="8"/>
  <c r="H94" i="6"/>
  <c r="G36" i="6"/>
  <c r="H88" i="6"/>
  <c r="H36" i="6"/>
  <c r="G58" i="6"/>
  <c r="G63" i="6"/>
  <c r="D63" i="6"/>
  <c r="D88" i="6"/>
  <c r="L29" i="6"/>
  <c r="M29" i="6"/>
  <c r="L34" i="6"/>
  <c r="M34" i="6"/>
  <c r="D70" i="6"/>
  <c r="D69" i="6" s="1"/>
  <c r="J71" i="6"/>
  <c r="D49" i="6"/>
  <c r="D48" i="6" s="1"/>
  <c r="I49" i="6"/>
  <c r="D56" i="6"/>
  <c r="D55" i="6" s="1"/>
  <c r="I56" i="6"/>
  <c r="G94" i="6"/>
  <c r="D136" i="8"/>
  <c r="I136" i="8"/>
  <c r="I194" i="8"/>
  <c r="I203" i="8"/>
  <c r="I200" i="8"/>
  <c r="E32" i="8"/>
  <c r="I204" i="8"/>
  <c r="D133" i="8"/>
  <c r="D132" i="8" s="1"/>
  <c r="D134" i="8"/>
  <c r="G83" i="6"/>
  <c r="H58" i="6"/>
  <c r="D86" i="6"/>
  <c r="J85" i="6"/>
  <c r="H41" i="6"/>
  <c r="G47" i="6"/>
  <c r="G88" i="6"/>
  <c r="E132" i="8"/>
  <c r="G25" i="6"/>
  <c r="G30" i="6"/>
  <c r="H63" i="6"/>
  <c r="D143" i="8"/>
  <c r="D141" i="8" s="1"/>
  <c r="E141" i="8"/>
  <c r="D54" i="6"/>
  <c r="D53" i="6" s="1"/>
  <c r="D58" i="6"/>
  <c r="D29" i="6"/>
  <c r="D28" i="6" s="1"/>
  <c r="D34" i="6"/>
  <c r="D33" i="6" s="1"/>
  <c r="G52" i="6"/>
  <c r="H52" i="6"/>
  <c r="D81" i="6"/>
  <c r="D80" i="6" s="1"/>
  <c r="D79" i="6" s="1"/>
  <c r="D94" i="6"/>
  <c r="D139" i="8"/>
  <c r="D138" i="8" s="1"/>
  <c r="D36" i="6"/>
  <c r="H25" i="6"/>
  <c r="H30" i="6"/>
  <c r="D27" i="6"/>
  <c r="D26" i="6" s="1"/>
  <c r="D25" i="6" s="1"/>
  <c r="D32" i="6"/>
  <c r="D31" i="6" s="1"/>
  <c r="D30" i="6" s="1"/>
  <c r="G41" i="6"/>
  <c r="D77" i="6"/>
  <c r="D76" i="6" s="1"/>
  <c r="E134" i="8"/>
  <c r="E138" i="8"/>
  <c r="E137" i="8" s="1"/>
  <c r="D41" i="6"/>
  <c r="D47" i="6"/>
  <c r="H167" i="3"/>
  <c r="H22" i="3" s="1"/>
  <c r="E167" i="3"/>
  <c r="I167" i="3" s="1"/>
  <c r="H165" i="3"/>
  <c r="H20" i="3" s="1"/>
  <c r="E165" i="3"/>
  <c r="D52" i="6" l="1"/>
  <c r="D12" i="6"/>
  <c r="E131" i="8"/>
  <c r="D83" i="6"/>
  <c r="D11" i="6" s="1"/>
  <c r="D131" i="8"/>
  <c r="D137" i="8"/>
  <c r="J23" i="1"/>
  <c r="D80" i="5"/>
  <c r="D79" i="5" s="1"/>
  <c r="H79" i="5"/>
  <c r="G79" i="5"/>
  <c r="F79" i="5"/>
  <c r="E79" i="5"/>
  <c r="D78" i="5"/>
  <c r="J78" i="5" s="1"/>
  <c r="D77" i="5"/>
  <c r="H76" i="5"/>
  <c r="H75" i="5" s="1"/>
  <c r="G76" i="5"/>
  <c r="F76" i="5"/>
  <c r="F75" i="5" s="1"/>
  <c r="E76" i="5"/>
  <c r="D74" i="5"/>
  <c r="D73" i="5" s="1"/>
  <c r="H73" i="5"/>
  <c r="G73" i="5"/>
  <c r="F73" i="5"/>
  <c r="E73" i="5"/>
  <c r="D72" i="5"/>
  <c r="D54" i="5" s="1"/>
  <c r="D71" i="5"/>
  <c r="H70" i="5"/>
  <c r="H69" i="5" s="1"/>
  <c r="G70" i="5"/>
  <c r="G69" i="5" s="1"/>
  <c r="F70" i="5"/>
  <c r="F69" i="5" s="1"/>
  <c r="E70" i="5"/>
  <c r="E67" i="5"/>
  <c r="E55" i="5" s="1"/>
  <c r="H66" i="5"/>
  <c r="G66" i="5"/>
  <c r="F66" i="5"/>
  <c r="E66" i="5"/>
  <c r="H65" i="5"/>
  <c r="H50" i="5" s="1"/>
  <c r="G65" i="5"/>
  <c r="G50" i="5" s="1"/>
  <c r="F65" i="5"/>
  <c r="F50" i="5" s="1"/>
  <c r="E65" i="5"/>
  <c r="E50" i="5" s="1"/>
  <c r="H63" i="5"/>
  <c r="H62" i="5" s="1"/>
  <c r="G63" i="5"/>
  <c r="F63" i="5"/>
  <c r="F62" i="5" s="1"/>
  <c r="E63" i="5"/>
  <c r="E62" i="5" s="1"/>
  <c r="E58" i="5" s="1"/>
  <c r="D63" i="5"/>
  <c r="D62" i="5" s="1"/>
  <c r="G62" i="5"/>
  <c r="H61" i="5"/>
  <c r="G61" i="5"/>
  <c r="F61" i="5"/>
  <c r="E61" i="5"/>
  <c r="D61" i="5"/>
  <c r="D60" i="5"/>
  <c r="H59" i="5"/>
  <c r="G59" i="5"/>
  <c r="G58" i="5" s="1"/>
  <c r="F59" i="5"/>
  <c r="F58" i="5" s="1"/>
  <c r="E59" i="5"/>
  <c r="H57" i="5"/>
  <c r="H56" i="5" s="1"/>
  <c r="G57" i="5"/>
  <c r="G56" i="5" s="1"/>
  <c r="F57" i="5"/>
  <c r="F56" i="5" s="1"/>
  <c r="E57" i="5"/>
  <c r="E56" i="5" s="1"/>
  <c r="H53" i="5"/>
  <c r="G75" i="1" s="1"/>
  <c r="G53" i="5"/>
  <c r="F75" i="1" s="1"/>
  <c r="F53" i="5"/>
  <c r="E75" i="1" s="1"/>
  <c r="E53" i="5"/>
  <c r="D75" i="1" s="1"/>
  <c r="F52" i="5"/>
  <c r="F51" i="5" s="1"/>
  <c r="D29" i="5"/>
  <c r="D20" i="5" s="1"/>
  <c r="H28" i="5"/>
  <c r="G28" i="5"/>
  <c r="G27" i="5" s="1"/>
  <c r="F28" i="5"/>
  <c r="F27" i="5" s="1"/>
  <c r="E28" i="5"/>
  <c r="H27" i="5"/>
  <c r="D26" i="5"/>
  <c r="D17" i="5" s="1"/>
  <c r="H25" i="5"/>
  <c r="G25" i="5"/>
  <c r="F25" i="5"/>
  <c r="E25" i="5"/>
  <c r="D24" i="5"/>
  <c r="H23" i="5"/>
  <c r="G23" i="5"/>
  <c r="F23" i="5"/>
  <c r="E23" i="5"/>
  <c r="H19" i="5"/>
  <c r="H18" i="5" s="1"/>
  <c r="G19" i="5"/>
  <c r="G18" i="5" s="1"/>
  <c r="F19" i="5"/>
  <c r="F18" i="5" s="1"/>
  <c r="E19" i="5"/>
  <c r="E18" i="5" s="1"/>
  <c r="H16" i="5"/>
  <c r="F16" i="5"/>
  <c r="E16" i="5"/>
  <c r="G16" i="5"/>
  <c r="H14" i="5"/>
  <c r="H13" i="5" s="1"/>
  <c r="G14" i="5"/>
  <c r="F15" i="5"/>
  <c r="F14" i="5" s="1"/>
  <c r="E15" i="5"/>
  <c r="E14" i="5" s="1"/>
  <c r="G135" i="6"/>
  <c r="G134" i="6" s="1"/>
  <c r="G108" i="6" s="1"/>
  <c r="D132" i="6"/>
  <c r="G131" i="6"/>
  <c r="G130" i="6" s="1"/>
  <c r="D131" i="6"/>
  <c r="D130" i="6" s="1"/>
  <c r="H130" i="6"/>
  <c r="H127" i="6"/>
  <c r="G127" i="6"/>
  <c r="H126" i="6"/>
  <c r="G126" i="6"/>
  <c r="I124" i="6"/>
  <c r="H123" i="6"/>
  <c r="G123" i="6"/>
  <c r="H122" i="6"/>
  <c r="G122" i="6"/>
  <c r="I120" i="6"/>
  <c r="H119" i="6"/>
  <c r="G119" i="6"/>
  <c r="G118" i="6" s="1"/>
  <c r="H118" i="6"/>
  <c r="D116" i="6"/>
  <c r="D115" i="6" s="1"/>
  <c r="D114" i="6" s="1"/>
  <c r="H115" i="6"/>
  <c r="G115" i="6"/>
  <c r="G114" i="6" s="1"/>
  <c r="H114" i="6"/>
  <c r="G111" i="6"/>
  <c r="G110" i="6" s="1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D16" i="6"/>
  <c r="H15" i="6"/>
  <c r="G15" i="6"/>
  <c r="D15" i="6"/>
  <c r="H12" i="6"/>
  <c r="G12" i="6"/>
  <c r="H11" i="6"/>
  <c r="G11" i="6"/>
  <c r="D91" i="7"/>
  <c r="D90" i="7" s="1"/>
  <c r="H90" i="7"/>
  <c r="G90" i="7"/>
  <c r="F90" i="7"/>
  <c r="E90" i="7"/>
  <c r="E87" i="7" s="1"/>
  <c r="D89" i="7"/>
  <c r="D88" i="7" s="1"/>
  <c r="H88" i="7"/>
  <c r="G88" i="7"/>
  <c r="M88" i="7" s="1"/>
  <c r="F88" i="7"/>
  <c r="E88" i="7"/>
  <c r="D86" i="7"/>
  <c r="D85" i="7" s="1"/>
  <c r="H85" i="7"/>
  <c r="G85" i="7"/>
  <c r="F85" i="7"/>
  <c r="E85" i="7"/>
  <c r="D84" i="7"/>
  <c r="D83" i="7"/>
  <c r="H82" i="7"/>
  <c r="H81" i="7" s="1"/>
  <c r="G82" i="7"/>
  <c r="M82" i="7" s="1"/>
  <c r="F82" i="7"/>
  <c r="F81" i="7" s="1"/>
  <c r="E82" i="7"/>
  <c r="D79" i="7"/>
  <c r="H78" i="7"/>
  <c r="G78" i="7"/>
  <c r="G75" i="7" s="1"/>
  <c r="F78" i="7"/>
  <c r="F75" i="7" s="1"/>
  <c r="E78" i="7"/>
  <c r="E75" i="7" s="1"/>
  <c r="D77" i="7"/>
  <c r="D76" i="7" s="1"/>
  <c r="H76" i="7"/>
  <c r="G76" i="7"/>
  <c r="F76" i="7"/>
  <c r="E76" i="7"/>
  <c r="E74" i="7"/>
  <c r="H73" i="7"/>
  <c r="G73" i="7"/>
  <c r="F73" i="7"/>
  <c r="D72" i="7"/>
  <c r="E71" i="7"/>
  <c r="H70" i="7"/>
  <c r="G70" i="7"/>
  <c r="F70" i="7"/>
  <c r="H64" i="7"/>
  <c r="H63" i="7" s="1"/>
  <c r="G64" i="7"/>
  <c r="F64" i="7"/>
  <c r="F63" i="7" s="1"/>
  <c r="E64" i="7"/>
  <c r="D64" i="7"/>
  <c r="D63" i="7" s="1"/>
  <c r="D59" i="7"/>
  <c r="D58" i="7" s="1"/>
  <c r="D57" i="7" s="1"/>
  <c r="H58" i="7"/>
  <c r="H57" i="7" s="1"/>
  <c r="G58" i="7"/>
  <c r="F58" i="7"/>
  <c r="F57" i="7" s="1"/>
  <c r="E58" i="7"/>
  <c r="E57" i="7" s="1"/>
  <c r="D55" i="7"/>
  <c r="D54" i="7" s="1"/>
  <c r="H54" i="7"/>
  <c r="G54" i="7"/>
  <c r="F54" i="7"/>
  <c r="E54" i="7"/>
  <c r="E53" i="7"/>
  <c r="E20" i="7" s="1"/>
  <c r="D84" i="1" s="1"/>
  <c r="H52" i="7"/>
  <c r="G52" i="7"/>
  <c r="F52" i="7"/>
  <c r="E52" i="7"/>
  <c r="D50" i="7"/>
  <c r="D49" i="7" s="1"/>
  <c r="H49" i="7"/>
  <c r="G49" i="7"/>
  <c r="F49" i="7"/>
  <c r="E49" i="7"/>
  <c r="D47" i="7"/>
  <c r="D46" i="7" s="1"/>
  <c r="H46" i="7"/>
  <c r="G46" i="7"/>
  <c r="M46" i="7" s="1"/>
  <c r="F46" i="7"/>
  <c r="E46" i="7"/>
  <c r="H42" i="7"/>
  <c r="G42" i="7"/>
  <c r="F42" i="7"/>
  <c r="E42" i="7"/>
  <c r="E39" i="7" s="1"/>
  <c r="D40" i="7"/>
  <c r="H40" i="7"/>
  <c r="G40" i="7"/>
  <c r="F40" i="7"/>
  <c r="E40" i="7"/>
  <c r="D38" i="7"/>
  <c r="H37" i="7"/>
  <c r="G37" i="7"/>
  <c r="F37" i="7"/>
  <c r="E37" i="7"/>
  <c r="D36" i="7"/>
  <c r="D35" i="7"/>
  <c r="J35" i="7" s="1"/>
  <c r="H34" i="7"/>
  <c r="G34" i="7"/>
  <c r="F34" i="7"/>
  <c r="E34" i="7"/>
  <c r="E33" i="7" s="1"/>
  <c r="D31" i="7"/>
  <c r="D30" i="7" s="1"/>
  <c r="D29" i="7" s="1"/>
  <c r="H30" i="7"/>
  <c r="H29" i="7" s="1"/>
  <c r="G30" i="7"/>
  <c r="F30" i="7"/>
  <c r="F29" i="7" s="1"/>
  <c r="E30" i="7"/>
  <c r="E29" i="7" s="1"/>
  <c r="D28" i="7"/>
  <c r="H27" i="7"/>
  <c r="G27" i="7"/>
  <c r="M27" i="7" s="1"/>
  <c r="F27" i="7"/>
  <c r="E27" i="7"/>
  <c r="D26" i="7"/>
  <c r="H25" i="7"/>
  <c r="G25" i="7"/>
  <c r="F25" i="7"/>
  <c r="E25" i="7"/>
  <c r="H21" i="7"/>
  <c r="G84" i="1"/>
  <c r="G20" i="7"/>
  <c r="G19" i="7" s="1"/>
  <c r="F20" i="7"/>
  <c r="E84" i="1" s="1"/>
  <c r="E19" i="7"/>
  <c r="F16" i="7"/>
  <c r="H16" i="7"/>
  <c r="G13" i="7"/>
  <c r="H9" i="7"/>
  <c r="G9" i="7"/>
  <c r="F9" i="7"/>
  <c r="E9" i="7"/>
  <c r="D250" i="8"/>
  <c r="J250" i="8" s="1"/>
  <c r="D249" i="8"/>
  <c r="H248" i="8"/>
  <c r="G248" i="8"/>
  <c r="G247" i="8" s="1"/>
  <c r="F248" i="8"/>
  <c r="F247" i="8" s="1"/>
  <c r="E248" i="8"/>
  <c r="H247" i="8"/>
  <c r="D246" i="8"/>
  <c r="J246" i="8" s="1"/>
  <c r="D245" i="8"/>
  <c r="J245" i="8" s="1"/>
  <c r="H244" i="8"/>
  <c r="G244" i="8"/>
  <c r="G243" i="8" s="1"/>
  <c r="F244" i="8"/>
  <c r="F243" i="8" s="1"/>
  <c r="E244" i="8"/>
  <c r="H243" i="8"/>
  <c r="H256" i="8"/>
  <c r="G256" i="8"/>
  <c r="F256" i="8"/>
  <c r="E256" i="8"/>
  <c r="H255" i="8"/>
  <c r="G255" i="8"/>
  <c r="F255" i="8"/>
  <c r="E255" i="8"/>
  <c r="H253" i="8"/>
  <c r="G253" i="8"/>
  <c r="F253" i="8"/>
  <c r="H252" i="8"/>
  <c r="H232" i="8" s="1"/>
  <c r="G252" i="8"/>
  <c r="F252" i="8"/>
  <c r="H241" i="8"/>
  <c r="M241" i="8"/>
  <c r="F241" i="8"/>
  <c r="E241" i="8"/>
  <c r="H240" i="8"/>
  <c r="G85" i="1" s="1"/>
  <c r="G240" i="8"/>
  <c r="M240" i="8" s="1"/>
  <c r="F240" i="8"/>
  <c r="E85" i="1" s="1"/>
  <c r="E240" i="8"/>
  <c r="H237" i="8"/>
  <c r="G237" i="8"/>
  <c r="M237" i="8" s="1"/>
  <c r="F237" i="8"/>
  <c r="H236" i="8"/>
  <c r="G76" i="1" s="1"/>
  <c r="G236" i="8"/>
  <c r="M236" i="8" s="1"/>
  <c r="F236" i="8"/>
  <c r="E76" i="1" s="1"/>
  <c r="E236" i="8"/>
  <c r="D236" i="8"/>
  <c r="C76" i="1" s="1"/>
  <c r="D228" i="8"/>
  <c r="D227" i="8" s="1"/>
  <c r="D226" i="8" s="1"/>
  <c r="E227" i="8"/>
  <c r="E226" i="8" s="1"/>
  <c r="D225" i="8"/>
  <c r="E224" i="8"/>
  <c r="D223" i="8"/>
  <c r="D222" i="8" s="1"/>
  <c r="E222" i="8"/>
  <c r="D219" i="8"/>
  <c r="D218" i="8"/>
  <c r="H217" i="8"/>
  <c r="G217" i="8"/>
  <c r="F217" i="8"/>
  <c r="E217" i="8"/>
  <c r="D216" i="8"/>
  <c r="D215" i="8"/>
  <c r="H214" i="8"/>
  <c r="G214" i="8"/>
  <c r="F214" i="8"/>
  <c r="F213" i="8" s="1"/>
  <c r="E214" i="8"/>
  <c r="H213" i="8"/>
  <c r="D212" i="8"/>
  <c r="D211" i="8"/>
  <c r="D19" i="8" s="1"/>
  <c r="H210" i="8"/>
  <c r="G210" i="8"/>
  <c r="F210" i="8"/>
  <c r="E210" i="8"/>
  <c r="D209" i="8"/>
  <c r="D208" i="8"/>
  <c r="H207" i="8"/>
  <c r="H206" i="8" s="1"/>
  <c r="G207" i="8"/>
  <c r="F207" i="8"/>
  <c r="F206" i="8" s="1"/>
  <c r="E207" i="8"/>
  <c r="D163" i="8"/>
  <c r="D160" i="8"/>
  <c r="J160" i="8" s="1"/>
  <c r="D159" i="8"/>
  <c r="J159" i="8" s="1"/>
  <c r="D154" i="8"/>
  <c r="D152" i="8" s="1"/>
  <c r="D151" i="8" s="1"/>
  <c r="D153" i="8"/>
  <c r="J153" i="8" s="1"/>
  <c r="G152" i="8"/>
  <c r="F152" i="8"/>
  <c r="E152" i="8"/>
  <c r="H151" i="8"/>
  <c r="G151" i="8"/>
  <c r="F151" i="8"/>
  <c r="E151" i="8"/>
  <c r="G149" i="8"/>
  <c r="M149" i="8" s="1"/>
  <c r="F149" i="8"/>
  <c r="E149" i="8"/>
  <c r="D149" i="8"/>
  <c r="J149" i="8" s="1"/>
  <c r="D147" i="8"/>
  <c r="G146" i="8"/>
  <c r="F146" i="8"/>
  <c r="E146" i="8"/>
  <c r="D146" i="8"/>
  <c r="H145" i="8"/>
  <c r="D129" i="8"/>
  <c r="E128" i="8"/>
  <c r="D127" i="8"/>
  <c r="D124" i="8"/>
  <c r="E123" i="8"/>
  <c r="D122" i="8"/>
  <c r="E120" i="8"/>
  <c r="D118" i="8"/>
  <c r="E117" i="8"/>
  <c r="D116" i="8"/>
  <c r="J116" i="8" s="1"/>
  <c r="E114" i="8"/>
  <c r="D113" i="8"/>
  <c r="J113" i="8" s="1"/>
  <c r="E112" i="8"/>
  <c r="J111" i="8"/>
  <c r="E109" i="8"/>
  <c r="D107" i="8"/>
  <c r="D106" i="8"/>
  <c r="H105" i="8"/>
  <c r="G105" i="8"/>
  <c r="D104" i="8"/>
  <c r="D103" i="8"/>
  <c r="H102" i="8"/>
  <c r="H101" i="8" s="1"/>
  <c r="G102" i="8"/>
  <c r="D100" i="8"/>
  <c r="D99" i="8"/>
  <c r="H98" i="8"/>
  <c r="G98" i="8"/>
  <c r="D97" i="8"/>
  <c r="D96" i="8"/>
  <c r="D95" i="8"/>
  <c r="H94" i="8"/>
  <c r="G94" i="8"/>
  <c r="D89" i="8"/>
  <c r="D85" i="8"/>
  <c r="D81" i="8"/>
  <c r="L77" i="8"/>
  <c r="D76" i="8"/>
  <c r="D72" i="8"/>
  <c r="D71" i="8" s="1"/>
  <c r="H71" i="8"/>
  <c r="G71" i="8"/>
  <c r="F71" i="8"/>
  <c r="E71" i="8"/>
  <c r="D70" i="8"/>
  <c r="J70" i="8" s="1"/>
  <c r="D69" i="8"/>
  <c r="D68" i="8" s="1"/>
  <c r="H68" i="8"/>
  <c r="G68" i="8"/>
  <c r="G67" i="8" s="1"/>
  <c r="F68" i="8"/>
  <c r="E68" i="8"/>
  <c r="D66" i="8"/>
  <c r="D65" i="8" s="1"/>
  <c r="H65" i="8"/>
  <c r="G65" i="8"/>
  <c r="F65" i="8"/>
  <c r="E65" i="8"/>
  <c r="D64" i="8"/>
  <c r="D63" i="8"/>
  <c r="J63" i="8" s="1"/>
  <c r="H62" i="8"/>
  <c r="H61" i="8" s="1"/>
  <c r="G62" i="8"/>
  <c r="G61" i="8" s="1"/>
  <c r="F62" i="8"/>
  <c r="F61" i="8" s="1"/>
  <c r="E62" i="8"/>
  <c r="D62" i="8"/>
  <c r="H58" i="8"/>
  <c r="D57" i="8"/>
  <c r="J57" i="8" s="1"/>
  <c r="E56" i="8"/>
  <c r="H55" i="8"/>
  <c r="H52" i="8"/>
  <c r="E51" i="8"/>
  <c r="D50" i="8"/>
  <c r="J50" i="8" s="1"/>
  <c r="H49" i="8"/>
  <c r="D46" i="8"/>
  <c r="J46" i="8" s="1"/>
  <c r="E30" i="8"/>
  <c r="H44" i="8"/>
  <c r="G44" i="8"/>
  <c r="F44" i="8"/>
  <c r="D43" i="8"/>
  <c r="J43" i="8" s="1"/>
  <c r="D42" i="8"/>
  <c r="H41" i="8"/>
  <c r="G41" i="8"/>
  <c r="F41" i="8"/>
  <c r="E41" i="8"/>
  <c r="H38" i="8"/>
  <c r="G38" i="8"/>
  <c r="F38" i="8"/>
  <c r="E38" i="8"/>
  <c r="D36" i="8"/>
  <c r="J36" i="8" s="1"/>
  <c r="H35" i="8"/>
  <c r="G35" i="8"/>
  <c r="F35" i="8"/>
  <c r="H31" i="8"/>
  <c r="G39" i="1" s="1"/>
  <c r="G31" i="8"/>
  <c r="F31" i="8"/>
  <c r="E39" i="1" s="1"/>
  <c r="G30" i="8"/>
  <c r="F30" i="8"/>
  <c r="G27" i="8"/>
  <c r="M27" i="8" s="1"/>
  <c r="F27" i="8"/>
  <c r="E27" i="8"/>
  <c r="H26" i="8"/>
  <c r="G31" i="1" s="1"/>
  <c r="G26" i="8"/>
  <c r="F31" i="1" s="1"/>
  <c r="F26" i="8"/>
  <c r="E31" i="1" s="1"/>
  <c r="E26" i="8"/>
  <c r="D31" i="1" s="1"/>
  <c r="H25" i="8"/>
  <c r="G25" i="8"/>
  <c r="F25" i="8"/>
  <c r="E25" i="8"/>
  <c r="F24" i="8"/>
  <c r="E24" i="8"/>
  <c r="G22" i="8"/>
  <c r="F22" i="8"/>
  <c r="E22" i="8"/>
  <c r="H21" i="8"/>
  <c r="G26" i="1" s="1"/>
  <c r="G21" i="8"/>
  <c r="F21" i="8"/>
  <c r="E26" i="1" s="1"/>
  <c r="D26" i="1"/>
  <c r="G20" i="8"/>
  <c r="F20" i="8"/>
  <c r="E20" i="8"/>
  <c r="H19" i="8"/>
  <c r="G19" i="8"/>
  <c r="M19" i="8" s="1"/>
  <c r="H17" i="8"/>
  <c r="G17" i="8"/>
  <c r="F17" i="8"/>
  <c r="E17" i="8"/>
  <c r="H16" i="8"/>
  <c r="G16" i="8"/>
  <c r="F16" i="8"/>
  <c r="H15" i="8"/>
  <c r="G15" i="8"/>
  <c r="F15" i="8"/>
  <c r="H14" i="8"/>
  <c r="G14" i="8"/>
  <c r="D66" i="9"/>
  <c r="D65" i="9" s="1"/>
  <c r="D64" i="9" s="1"/>
  <c r="D13" i="9" s="1"/>
  <c r="H65" i="9"/>
  <c r="G65" i="9"/>
  <c r="F65" i="9"/>
  <c r="F64" i="9" s="1"/>
  <c r="F13" i="9" s="1"/>
  <c r="E65" i="9"/>
  <c r="E64" i="9" s="1"/>
  <c r="E13" i="9" s="1"/>
  <c r="H64" i="9"/>
  <c r="H13" i="9" s="1"/>
  <c r="D62" i="9"/>
  <c r="J62" i="9" s="1"/>
  <c r="H61" i="9"/>
  <c r="G61" i="9"/>
  <c r="F61" i="9"/>
  <c r="E61" i="9"/>
  <c r="H60" i="9"/>
  <c r="G60" i="9"/>
  <c r="F60" i="9"/>
  <c r="E60" i="9"/>
  <c r="D59" i="9"/>
  <c r="H58" i="9"/>
  <c r="G58" i="9"/>
  <c r="F58" i="9"/>
  <c r="F57" i="9" s="1"/>
  <c r="E58" i="9"/>
  <c r="E57" i="9" s="1"/>
  <c r="H57" i="9"/>
  <c r="D55" i="9"/>
  <c r="J55" i="9" s="1"/>
  <c r="H54" i="9"/>
  <c r="G54" i="9"/>
  <c r="F54" i="9"/>
  <c r="E54" i="9"/>
  <c r="H53" i="9"/>
  <c r="G53" i="9"/>
  <c r="F53" i="9"/>
  <c r="E53" i="9"/>
  <c r="D52" i="9"/>
  <c r="H51" i="9"/>
  <c r="G51" i="9"/>
  <c r="F51" i="9"/>
  <c r="F50" i="9" s="1"/>
  <c r="E51" i="9"/>
  <c r="E50" i="9" s="1"/>
  <c r="H50" i="9"/>
  <c r="H48" i="9"/>
  <c r="H21" i="9" s="1"/>
  <c r="G47" i="9"/>
  <c r="F47" i="9"/>
  <c r="F46" i="9" s="1"/>
  <c r="D45" i="9"/>
  <c r="H44" i="9"/>
  <c r="G44" i="9"/>
  <c r="F44" i="9"/>
  <c r="D43" i="9"/>
  <c r="H42" i="9"/>
  <c r="H41" i="9" s="1"/>
  <c r="G42" i="9"/>
  <c r="G41" i="9" s="1"/>
  <c r="F42" i="9"/>
  <c r="F41" i="9" s="1"/>
  <c r="D30" i="9"/>
  <c r="H29" i="9"/>
  <c r="H28" i="9" s="1"/>
  <c r="G29" i="9"/>
  <c r="E29" i="9"/>
  <c r="D29" i="9"/>
  <c r="E28" i="9"/>
  <c r="D27" i="9"/>
  <c r="D18" i="9" s="1"/>
  <c r="H26" i="9"/>
  <c r="G26" i="9"/>
  <c r="E26" i="9"/>
  <c r="D25" i="9"/>
  <c r="H24" i="9"/>
  <c r="G24" i="9"/>
  <c r="E24" i="9"/>
  <c r="E23" i="9" s="1"/>
  <c r="E20" i="9"/>
  <c r="E19" i="9" s="1"/>
  <c r="F20" i="9"/>
  <c r="F19" i="9" s="1"/>
  <c r="G17" i="9"/>
  <c r="F17" i="9"/>
  <c r="E17" i="9"/>
  <c r="H17" i="9"/>
  <c r="H15" i="9"/>
  <c r="G15" i="9"/>
  <c r="F15" i="9"/>
  <c r="E15" i="9"/>
  <c r="K424" i="2"/>
  <c r="K422" i="2"/>
  <c r="E422" i="2"/>
  <c r="F422" i="2"/>
  <c r="G422" i="2"/>
  <c r="H422" i="2"/>
  <c r="E424" i="2"/>
  <c r="F424" i="2"/>
  <c r="G424" i="2"/>
  <c r="H424" i="2"/>
  <c r="K419" i="2"/>
  <c r="E419" i="2"/>
  <c r="F419" i="2"/>
  <c r="G419" i="2"/>
  <c r="H419" i="2"/>
  <c r="K417" i="2"/>
  <c r="E417" i="2"/>
  <c r="F417" i="2"/>
  <c r="G417" i="2"/>
  <c r="H417" i="2"/>
  <c r="H498" i="2"/>
  <c r="L494" i="2"/>
  <c r="H493" i="2"/>
  <c r="H492" i="2" s="1"/>
  <c r="F493" i="2"/>
  <c r="F492" i="2" s="1"/>
  <c r="E493" i="2"/>
  <c r="E492" i="2" s="1"/>
  <c r="H489" i="2"/>
  <c r="H488" i="2" s="1"/>
  <c r="I497" i="2"/>
  <c r="D498" i="2"/>
  <c r="K497" i="2"/>
  <c r="H497" i="2"/>
  <c r="H496" i="2" s="1"/>
  <c r="F497" i="2"/>
  <c r="F496" i="2" s="1"/>
  <c r="E497" i="2"/>
  <c r="E496" i="2" s="1"/>
  <c r="I494" i="2"/>
  <c r="K493" i="2"/>
  <c r="I493" i="2"/>
  <c r="I490" i="2"/>
  <c r="D490" i="2"/>
  <c r="D489" i="2" s="1"/>
  <c r="K489" i="2"/>
  <c r="M489" i="2" s="1"/>
  <c r="G489" i="2"/>
  <c r="F489" i="2"/>
  <c r="E489" i="2"/>
  <c r="E488" i="2" s="1"/>
  <c r="F488" i="2"/>
  <c r="G480" i="2"/>
  <c r="M480" i="2" s="1"/>
  <c r="F481" i="2"/>
  <c r="F480" i="2" s="1"/>
  <c r="E481" i="2"/>
  <c r="E480" i="2" s="1"/>
  <c r="D478" i="2"/>
  <c r="J478" i="2" s="1"/>
  <c r="K477" i="2"/>
  <c r="H477" i="2"/>
  <c r="H476" i="2" s="1"/>
  <c r="G477" i="2"/>
  <c r="F477" i="2"/>
  <c r="F476" i="2" s="1"/>
  <c r="E477" i="2"/>
  <c r="E476" i="2" s="1"/>
  <c r="D477" i="2"/>
  <c r="D476" i="2" s="1"/>
  <c r="G476" i="2"/>
  <c r="D471" i="2"/>
  <c r="D474" i="2"/>
  <c r="D473" i="2" s="1"/>
  <c r="D472" i="2" s="1"/>
  <c r="F469" i="2"/>
  <c r="F468" i="2" s="1"/>
  <c r="E470" i="2"/>
  <c r="I470" i="2" s="1"/>
  <c r="F461" i="2"/>
  <c r="F460" i="2" s="1"/>
  <c r="E457" i="2"/>
  <c r="E456" i="2" s="1"/>
  <c r="E453" i="2"/>
  <c r="E452" i="2" s="1"/>
  <c r="H416" i="2"/>
  <c r="E450" i="2"/>
  <c r="I450" i="2" s="1"/>
  <c r="E445" i="2"/>
  <c r="F441" i="2"/>
  <c r="F440" i="2" s="1"/>
  <c r="F437" i="2"/>
  <c r="F436" i="2" s="1"/>
  <c r="F427" i="2"/>
  <c r="F426" i="2" s="1"/>
  <c r="E426" i="2"/>
  <c r="K432" i="2"/>
  <c r="I384" i="2"/>
  <c r="I382" i="2" s="1"/>
  <c r="I380" i="2"/>
  <c r="I379" i="2"/>
  <c r="K378" i="2"/>
  <c r="E388" i="2"/>
  <c r="I388" i="2" s="1"/>
  <c r="I372" i="2" s="1"/>
  <c r="G349" i="2"/>
  <c r="G348" i="2" s="1"/>
  <c r="E349" i="2"/>
  <c r="E348" i="2" s="1"/>
  <c r="H51" i="7" l="1"/>
  <c r="F51" i="7"/>
  <c r="E51" i="7"/>
  <c r="H24" i="7"/>
  <c r="F24" i="7"/>
  <c r="E45" i="7"/>
  <c r="F45" i="7"/>
  <c r="H45" i="7"/>
  <c r="F69" i="7"/>
  <c r="H69" i="7"/>
  <c r="E12" i="9"/>
  <c r="H34" i="8"/>
  <c r="F18" i="8"/>
  <c r="G34" i="8"/>
  <c r="G45" i="7"/>
  <c r="G69" i="7"/>
  <c r="G33" i="7"/>
  <c r="I74" i="7"/>
  <c r="E17" i="7"/>
  <c r="E16" i="7" s="1"/>
  <c r="F84" i="1"/>
  <c r="M20" i="7"/>
  <c r="G57" i="7"/>
  <c r="M58" i="7"/>
  <c r="I64" i="7"/>
  <c r="E63" i="7"/>
  <c r="M64" i="7"/>
  <c r="G63" i="7"/>
  <c r="I88" i="7"/>
  <c r="M417" i="2"/>
  <c r="M422" i="2"/>
  <c r="M477" i="2"/>
  <c r="M419" i="2"/>
  <c r="M424" i="2"/>
  <c r="H10" i="6"/>
  <c r="D78" i="7"/>
  <c r="D22" i="7"/>
  <c r="J26" i="7"/>
  <c r="D11" i="7"/>
  <c r="F12" i="9"/>
  <c r="J30" i="9"/>
  <c r="J43" i="9"/>
  <c r="D16" i="9"/>
  <c r="D15" i="9" s="1"/>
  <c r="J45" i="9"/>
  <c r="G46" i="9"/>
  <c r="G64" i="9"/>
  <c r="G13" i="9" s="1"/>
  <c r="D60" i="9"/>
  <c r="F34" i="8"/>
  <c r="F11" i="8" s="1"/>
  <c r="J76" i="8"/>
  <c r="D14" i="8"/>
  <c r="D240" i="8"/>
  <c r="C85" i="1" s="1"/>
  <c r="G213" i="8"/>
  <c r="G206" i="8"/>
  <c r="F39" i="1"/>
  <c r="F26" i="1"/>
  <c r="G22" i="5"/>
  <c r="G11" i="5" s="1"/>
  <c r="D87" i="7"/>
  <c r="G51" i="7"/>
  <c r="H39" i="7"/>
  <c r="H109" i="6"/>
  <c r="H14" i="6"/>
  <c r="H13" i="6" s="1"/>
  <c r="F232" i="8"/>
  <c r="F230" i="8" s="1"/>
  <c r="F87" i="7"/>
  <c r="D482" i="2"/>
  <c r="H481" i="2"/>
  <c r="H480" i="2" s="1"/>
  <c r="J83" i="1"/>
  <c r="D48" i="9"/>
  <c r="J48" i="9" s="1"/>
  <c r="E83" i="1"/>
  <c r="G83" i="1"/>
  <c r="F39" i="7"/>
  <c r="I71" i="7"/>
  <c r="I14" i="7" s="1"/>
  <c r="E14" i="7"/>
  <c r="D128" i="6"/>
  <c r="D127" i="6" s="1"/>
  <c r="D126" i="6" s="1"/>
  <c r="I128" i="6"/>
  <c r="L389" i="2"/>
  <c r="L489" i="2"/>
  <c r="J490" i="2"/>
  <c r="L422" i="2"/>
  <c r="D53" i="9"/>
  <c r="F145" i="8"/>
  <c r="E70" i="1"/>
  <c r="G70" i="1"/>
  <c r="F19" i="7"/>
  <c r="H19" i="7"/>
  <c r="D15" i="7"/>
  <c r="G87" i="7"/>
  <c r="D59" i="5"/>
  <c r="H48" i="5"/>
  <c r="E21" i="7"/>
  <c r="E18" i="7" s="1"/>
  <c r="F21" i="7"/>
  <c r="F239" i="8"/>
  <c r="F238" i="8" s="1"/>
  <c r="H40" i="8"/>
  <c r="H54" i="8"/>
  <c r="H93" i="8"/>
  <c r="H239" i="8"/>
  <c r="H238" i="8" s="1"/>
  <c r="D98" i="8"/>
  <c r="E23" i="1"/>
  <c r="G23" i="1"/>
  <c r="E61" i="8"/>
  <c r="E206" i="8"/>
  <c r="E213" i="8"/>
  <c r="D76" i="1"/>
  <c r="L236" i="8"/>
  <c r="F76" i="1"/>
  <c r="L76" i="1" s="1"/>
  <c r="D85" i="1"/>
  <c r="L240" i="8"/>
  <c r="F85" i="1"/>
  <c r="L85" i="1" s="1"/>
  <c r="D83" i="1"/>
  <c r="L241" i="8"/>
  <c r="F83" i="1"/>
  <c r="K83" i="1" s="1"/>
  <c r="H230" i="8"/>
  <c r="E243" i="8"/>
  <c r="H13" i="8"/>
  <c r="D23" i="1"/>
  <c r="F23" i="1"/>
  <c r="E67" i="8"/>
  <c r="G93" i="8"/>
  <c r="D32" i="8"/>
  <c r="E125" i="8"/>
  <c r="D145" i="8"/>
  <c r="L237" i="8"/>
  <c r="F70" i="1"/>
  <c r="E247" i="8"/>
  <c r="D18" i="1"/>
  <c r="F18" i="1"/>
  <c r="L149" i="8"/>
  <c r="E18" i="1"/>
  <c r="G18" i="1"/>
  <c r="G14" i="6"/>
  <c r="G13" i="6" s="1"/>
  <c r="D14" i="6"/>
  <c r="D481" i="2"/>
  <c r="E22" i="5"/>
  <c r="E11" i="5" s="1"/>
  <c r="F13" i="5"/>
  <c r="E27" i="5"/>
  <c r="D67" i="5"/>
  <c r="D55" i="5" s="1"/>
  <c r="I67" i="5"/>
  <c r="E69" i="5"/>
  <c r="E75" i="5"/>
  <c r="D76" i="5"/>
  <c r="D70" i="5"/>
  <c r="D69" i="5" s="1"/>
  <c r="H23" i="9"/>
  <c r="H47" i="9"/>
  <c r="H46" i="9" s="1"/>
  <c r="D54" i="9"/>
  <c r="G57" i="9"/>
  <c r="D58" i="9"/>
  <c r="J59" i="9"/>
  <c r="G50" i="9"/>
  <c r="D51" i="9"/>
  <c r="J52" i="9"/>
  <c r="H14" i="9"/>
  <c r="G20" i="9"/>
  <c r="G28" i="9"/>
  <c r="G23" i="9"/>
  <c r="D24" i="9"/>
  <c r="J25" i="9"/>
  <c r="D26" i="9"/>
  <c r="D28" i="9"/>
  <c r="F13" i="8"/>
  <c r="F12" i="8" s="1"/>
  <c r="E49" i="8"/>
  <c r="I51" i="8"/>
  <c r="F40" i="8"/>
  <c r="H48" i="8"/>
  <c r="D37" i="8"/>
  <c r="D35" i="8" s="1"/>
  <c r="I37" i="8"/>
  <c r="D45" i="8"/>
  <c r="D44" i="8" s="1"/>
  <c r="I45" i="8"/>
  <c r="D56" i="8"/>
  <c r="D55" i="8" s="1"/>
  <c r="I56" i="8"/>
  <c r="D39" i="8"/>
  <c r="D38" i="8" s="1"/>
  <c r="I39" i="8"/>
  <c r="D51" i="8"/>
  <c r="D49" i="8" s="1"/>
  <c r="D53" i="8"/>
  <c r="D52" i="8" s="1"/>
  <c r="I53" i="8"/>
  <c r="D59" i="8"/>
  <c r="D58" i="8" s="1"/>
  <c r="I59" i="8"/>
  <c r="D78" i="8"/>
  <c r="D16" i="8" s="1"/>
  <c r="I78" i="8"/>
  <c r="D82" i="8"/>
  <c r="I82" i="8"/>
  <c r="D86" i="8"/>
  <c r="D84" i="8" s="1"/>
  <c r="E84" i="8"/>
  <c r="I86" i="8"/>
  <c r="D90" i="8"/>
  <c r="D31" i="8" s="1"/>
  <c r="C39" i="1" s="1"/>
  <c r="E88" i="8"/>
  <c r="I90" i="8"/>
  <c r="D94" i="8"/>
  <c r="D93" i="8" s="1"/>
  <c r="D257" i="8"/>
  <c r="D256" i="8" s="1"/>
  <c r="D255" i="8" s="1"/>
  <c r="G13" i="8"/>
  <c r="E52" i="8"/>
  <c r="E55" i="8"/>
  <c r="E145" i="8"/>
  <c r="G145" i="8"/>
  <c r="D67" i="8"/>
  <c r="D128" i="8"/>
  <c r="J129" i="8"/>
  <c r="F234" i="8"/>
  <c r="F233" i="8" s="1"/>
  <c r="H234" i="8"/>
  <c r="H233" i="8" s="1"/>
  <c r="D248" i="8"/>
  <c r="D247" i="8" s="1"/>
  <c r="J249" i="8"/>
  <c r="E35" i="8"/>
  <c r="J118" i="8"/>
  <c r="D121" i="8"/>
  <c r="J122" i="8"/>
  <c r="D123" i="8"/>
  <c r="J124" i="8"/>
  <c r="D126" i="8"/>
  <c r="J127" i="8"/>
  <c r="D162" i="8"/>
  <c r="J162" i="8" s="1"/>
  <c r="J163" i="8"/>
  <c r="D497" i="2"/>
  <c r="D496" i="2" s="1"/>
  <c r="J498" i="2"/>
  <c r="L417" i="2"/>
  <c r="L477" i="2"/>
  <c r="L481" i="2"/>
  <c r="D480" i="2"/>
  <c r="J482" i="2"/>
  <c r="L419" i="2"/>
  <c r="D120" i="6"/>
  <c r="D119" i="6" s="1"/>
  <c r="D118" i="6" s="1"/>
  <c r="I112" i="6"/>
  <c r="D23" i="5"/>
  <c r="D15" i="5"/>
  <c r="D14" i="5" s="1"/>
  <c r="D25" i="5"/>
  <c r="D16" i="5"/>
  <c r="G29" i="7"/>
  <c r="M29" i="7" s="1"/>
  <c r="M30" i="7"/>
  <c r="D53" i="7"/>
  <c r="D20" i="7" s="1"/>
  <c r="C84" i="1" s="1"/>
  <c r="I53" i="7"/>
  <c r="I20" i="7" s="1"/>
  <c r="E81" i="7"/>
  <c r="I82" i="7"/>
  <c r="L88" i="7"/>
  <c r="G21" i="7"/>
  <c r="E24" i="7"/>
  <c r="G24" i="7"/>
  <c r="H13" i="7"/>
  <c r="H12" i="7" s="1"/>
  <c r="D25" i="7"/>
  <c r="H87" i="7"/>
  <c r="G16" i="7"/>
  <c r="D37" i="7"/>
  <c r="F13" i="7"/>
  <c r="F12" i="7" s="1"/>
  <c r="G40" i="8"/>
  <c r="D207" i="8"/>
  <c r="J208" i="8"/>
  <c r="F10" i="8"/>
  <c r="D224" i="8"/>
  <c r="D221" i="8" s="1"/>
  <c r="J225" i="8"/>
  <c r="D214" i="8"/>
  <c r="D217" i="8"/>
  <c r="D210" i="8"/>
  <c r="G29" i="8"/>
  <c r="G101" i="8"/>
  <c r="D105" i="8"/>
  <c r="D102" i="8"/>
  <c r="G24" i="8"/>
  <c r="G81" i="7"/>
  <c r="L82" i="7"/>
  <c r="D82" i="7"/>
  <c r="G75" i="5"/>
  <c r="D53" i="5"/>
  <c r="C75" i="1" s="1"/>
  <c r="D57" i="5"/>
  <c r="D56" i="5" s="1"/>
  <c r="F22" i="5"/>
  <c r="F11" i="5" s="1"/>
  <c r="H22" i="5"/>
  <c r="H11" i="5" s="1"/>
  <c r="G10" i="5"/>
  <c r="H52" i="5"/>
  <c r="H51" i="5" s="1"/>
  <c r="E13" i="5"/>
  <c r="F412" i="2"/>
  <c r="E65" i="1" s="1"/>
  <c r="E94" i="1" s="1"/>
  <c r="H412" i="2"/>
  <c r="K496" i="2"/>
  <c r="I496" i="2"/>
  <c r="J496" i="2" s="1"/>
  <c r="K431" i="2"/>
  <c r="J481" i="2"/>
  <c r="K488" i="2"/>
  <c r="I489" i="2"/>
  <c r="J489" i="2" s="1"/>
  <c r="I492" i="2"/>
  <c r="J70" i="1"/>
  <c r="K421" i="2"/>
  <c r="F14" i="9"/>
  <c r="F29" i="8"/>
  <c r="F23" i="8" s="1"/>
  <c r="E221" i="8"/>
  <c r="F18" i="7"/>
  <c r="G39" i="7"/>
  <c r="G109" i="6"/>
  <c r="G107" i="6" s="1"/>
  <c r="E48" i="5"/>
  <c r="G48" i="5"/>
  <c r="E14" i="9"/>
  <c r="G14" i="9"/>
  <c r="D17" i="9"/>
  <c r="F11" i="9"/>
  <c r="E18" i="8"/>
  <c r="G232" i="8"/>
  <c r="D244" i="8"/>
  <c r="D243" i="8" s="1"/>
  <c r="H18" i="7"/>
  <c r="F33" i="7"/>
  <c r="H33" i="7"/>
  <c r="G10" i="6"/>
  <c r="D58" i="5"/>
  <c r="H58" i="5"/>
  <c r="D75" i="5"/>
  <c r="D41" i="9"/>
  <c r="E239" i="8"/>
  <c r="G239" i="8"/>
  <c r="G238" i="8" s="1"/>
  <c r="D42" i="7"/>
  <c r="D39" i="7" s="1"/>
  <c r="D75" i="7"/>
  <c r="H75" i="7"/>
  <c r="H20" i="9"/>
  <c r="H19" i="9" s="1"/>
  <c r="D42" i="9"/>
  <c r="D44" i="9"/>
  <c r="E14" i="8"/>
  <c r="E15" i="8"/>
  <c r="C23" i="1"/>
  <c r="H20" i="8"/>
  <c r="H22" i="8"/>
  <c r="H27" i="8"/>
  <c r="H30" i="8"/>
  <c r="E31" i="8"/>
  <c r="F67" i="8"/>
  <c r="H67" i="8"/>
  <c r="D77" i="8"/>
  <c r="D117" i="8"/>
  <c r="E253" i="8"/>
  <c r="E252" i="8"/>
  <c r="E237" i="8"/>
  <c r="E234" i="8" s="1"/>
  <c r="E13" i="7"/>
  <c r="D27" i="7"/>
  <c r="D24" i="7" s="1"/>
  <c r="D71" i="7"/>
  <c r="D14" i="7" s="1"/>
  <c r="E70" i="7"/>
  <c r="D74" i="7"/>
  <c r="E73" i="7"/>
  <c r="H111" i="6"/>
  <c r="H110" i="6" s="1"/>
  <c r="D124" i="6"/>
  <c r="D123" i="6" s="1"/>
  <c r="D122" i="6" s="1"/>
  <c r="D109" i="6" s="1"/>
  <c r="D135" i="6"/>
  <c r="D134" i="6" s="1"/>
  <c r="D108" i="6" s="1"/>
  <c r="H135" i="6"/>
  <c r="H134" i="6" s="1"/>
  <c r="H108" i="6" s="1"/>
  <c r="G13" i="5"/>
  <c r="D28" i="5"/>
  <c r="D27" i="5" s="1"/>
  <c r="D19" i="5"/>
  <c r="D18" i="5" s="1"/>
  <c r="E52" i="5"/>
  <c r="E51" i="5" s="1"/>
  <c r="G52" i="5"/>
  <c r="G51" i="5" s="1"/>
  <c r="D45" i="7"/>
  <c r="D112" i="8"/>
  <c r="D22" i="8"/>
  <c r="D66" i="5"/>
  <c r="D65" i="5" s="1"/>
  <c r="D50" i="5" s="1"/>
  <c r="D61" i="9"/>
  <c r="G18" i="8"/>
  <c r="G12" i="8" s="1"/>
  <c r="E58" i="8"/>
  <c r="G234" i="8"/>
  <c r="G233" i="8" s="1"/>
  <c r="E449" i="2"/>
  <c r="E448" i="2" s="1"/>
  <c r="E11" i="9"/>
  <c r="E75" i="8"/>
  <c r="G10" i="8"/>
  <c r="D61" i="8"/>
  <c r="E412" i="2"/>
  <c r="D65" i="1" s="1"/>
  <c r="D94" i="1" s="1"/>
  <c r="G493" i="2"/>
  <c r="G492" i="2" s="1"/>
  <c r="L416" i="2"/>
  <c r="G421" i="2"/>
  <c r="G420" i="2" s="1"/>
  <c r="H421" i="2"/>
  <c r="H420" i="2" s="1"/>
  <c r="F421" i="2"/>
  <c r="F420" i="2" s="1"/>
  <c r="D21" i="6"/>
  <c r="D18" i="6"/>
  <c r="D23" i="6"/>
  <c r="D22" i="6" s="1"/>
  <c r="D34" i="7"/>
  <c r="D241" i="8"/>
  <c r="D115" i="8"/>
  <c r="D27" i="8"/>
  <c r="D41" i="8"/>
  <c r="D110" i="8"/>
  <c r="D17" i="8"/>
  <c r="D125" i="8"/>
  <c r="E44" i="8"/>
  <c r="D23" i="9"/>
  <c r="K492" i="2"/>
  <c r="M492" i="2" s="1"/>
  <c r="D494" i="2"/>
  <c r="D493" i="2" s="1"/>
  <c r="D492" i="2" s="1"/>
  <c r="K476" i="2"/>
  <c r="M476" i="2" s="1"/>
  <c r="I477" i="2"/>
  <c r="G488" i="2"/>
  <c r="G497" i="2"/>
  <c r="G496" i="2" s="1"/>
  <c r="D488" i="2"/>
  <c r="I378" i="2"/>
  <c r="I377" i="2" s="1"/>
  <c r="E335" i="2"/>
  <c r="F340" i="2"/>
  <c r="F339" i="2" s="1"/>
  <c r="E337" i="2"/>
  <c r="G331" i="2"/>
  <c r="F331" i="2"/>
  <c r="F330" i="2" s="1"/>
  <c r="G330" i="2"/>
  <c r="I302" i="2"/>
  <c r="I305" i="2"/>
  <c r="I304" i="2" s="1"/>
  <c r="I303" i="2" s="1"/>
  <c r="K304" i="2"/>
  <c r="K303" i="2" s="1"/>
  <c r="K301" i="2"/>
  <c r="K300" i="2" s="1"/>
  <c r="H304" i="2"/>
  <c r="H303" i="2" s="1"/>
  <c r="G304" i="2"/>
  <c r="F292" i="2"/>
  <c r="E284" i="2"/>
  <c r="G261" i="2"/>
  <c r="I253" i="2"/>
  <c r="I252" i="2" s="1"/>
  <c r="I249" i="2" s="1"/>
  <c r="K252" i="2"/>
  <c r="G252" i="2"/>
  <c r="G249" i="2" s="1"/>
  <c r="E239" i="2"/>
  <c r="E238" i="2" s="1"/>
  <c r="I230" i="2"/>
  <c r="G229" i="2"/>
  <c r="E226" i="2"/>
  <c r="E224" i="2"/>
  <c r="F220" i="2"/>
  <c r="E221" i="2"/>
  <c r="E218" i="2"/>
  <c r="E199" i="2"/>
  <c r="E197" i="2"/>
  <c r="E188" i="2"/>
  <c r="E183" i="2"/>
  <c r="D46" i="9" l="1"/>
  <c r="G11" i="8"/>
  <c r="D25" i="8"/>
  <c r="E48" i="8"/>
  <c r="D54" i="8"/>
  <c r="D52" i="7"/>
  <c r="D51" i="7" s="1"/>
  <c r="E12" i="7"/>
  <c r="M421" i="2"/>
  <c r="M488" i="2"/>
  <c r="M496" i="2"/>
  <c r="K249" i="2"/>
  <c r="M249" i="2" s="1"/>
  <c r="M252" i="2"/>
  <c r="M497" i="2"/>
  <c r="M493" i="2"/>
  <c r="K76" i="1"/>
  <c r="K85" i="1"/>
  <c r="L70" i="1"/>
  <c r="G303" i="2"/>
  <c r="M303" i="2" s="1"/>
  <c r="M304" i="2"/>
  <c r="G228" i="2"/>
  <c r="G260" i="2"/>
  <c r="L83" i="1"/>
  <c r="L23" i="1"/>
  <c r="D73" i="7"/>
  <c r="D17" i="7"/>
  <c r="D9" i="7"/>
  <c r="G18" i="7"/>
  <c r="G12" i="9"/>
  <c r="G11" i="9" s="1"/>
  <c r="H12" i="9"/>
  <c r="H11" i="9" s="1"/>
  <c r="D21" i="9"/>
  <c r="D14" i="9"/>
  <c r="I79" i="8"/>
  <c r="D21" i="8"/>
  <c r="C26" i="1" s="1"/>
  <c r="D79" i="8"/>
  <c r="D20" i="8"/>
  <c r="D18" i="8" s="1"/>
  <c r="C18" i="1"/>
  <c r="D109" i="8"/>
  <c r="D120" i="8"/>
  <c r="D26" i="8"/>
  <c r="C31" i="1" s="1"/>
  <c r="D30" i="8"/>
  <c r="D29" i="8" s="1"/>
  <c r="E74" i="8"/>
  <c r="D101" i="8"/>
  <c r="E54" i="8"/>
  <c r="H18" i="8"/>
  <c r="H12" i="8" s="1"/>
  <c r="D48" i="8"/>
  <c r="D34" i="8"/>
  <c r="D13" i="5"/>
  <c r="I55" i="5"/>
  <c r="I52" i="5" s="1"/>
  <c r="I51" i="5" s="1"/>
  <c r="E10" i="5"/>
  <c r="E223" i="2"/>
  <c r="D48" i="5"/>
  <c r="H10" i="5"/>
  <c r="D412" i="2"/>
  <c r="J497" i="2"/>
  <c r="D21" i="7"/>
  <c r="E40" i="8"/>
  <c r="D40" i="8"/>
  <c r="D239" i="8"/>
  <c r="D238" i="8" s="1"/>
  <c r="E233" i="8"/>
  <c r="E232" i="8"/>
  <c r="H24" i="8"/>
  <c r="E238" i="8"/>
  <c r="G230" i="8"/>
  <c r="E34" i="8"/>
  <c r="I88" i="8"/>
  <c r="D70" i="1"/>
  <c r="H29" i="8"/>
  <c r="I84" i="8"/>
  <c r="K70" i="1"/>
  <c r="E29" i="8"/>
  <c r="E23" i="8" s="1"/>
  <c r="D39" i="1"/>
  <c r="D20" i="6"/>
  <c r="D19" i="6" s="1"/>
  <c r="D17" i="6"/>
  <c r="D13" i="6" s="1"/>
  <c r="D10" i="6"/>
  <c r="L492" i="2"/>
  <c r="L480" i="2"/>
  <c r="L476" i="2"/>
  <c r="F48" i="5"/>
  <c r="D107" i="6"/>
  <c r="D47" i="9"/>
  <c r="D57" i="9"/>
  <c r="D50" i="9"/>
  <c r="G19" i="9"/>
  <c r="D20" i="9"/>
  <c r="D15" i="8"/>
  <c r="D13" i="8" s="1"/>
  <c r="D12" i="8" s="1"/>
  <c r="J37" i="8"/>
  <c r="D75" i="8"/>
  <c r="D74" i="8" s="1"/>
  <c r="J77" i="8"/>
  <c r="E11" i="8"/>
  <c r="D88" i="8"/>
  <c r="D83" i="8" s="1"/>
  <c r="D10" i="8"/>
  <c r="F9" i="8"/>
  <c r="H10" i="8"/>
  <c r="L249" i="2"/>
  <c r="L252" i="2"/>
  <c r="L303" i="2"/>
  <c r="L304" i="2"/>
  <c r="L421" i="2"/>
  <c r="J492" i="2"/>
  <c r="L488" i="2"/>
  <c r="L496" i="2"/>
  <c r="J494" i="2"/>
  <c r="L493" i="2"/>
  <c r="J477" i="2"/>
  <c r="L497" i="2"/>
  <c r="J493" i="2"/>
  <c r="D112" i="6"/>
  <c r="D111" i="6" s="1"/>
  <c r="D110" i="6" s="1"/>
  <c r="F10" i="5"/>
  <c r="D22" i="5"/>
  <c r="D11" i="5" s="1"/>
  <c r="D70" i="7"/>
  <c r="J71" i="7"/>
  <c r="G12" i="7"/>
  <c r="D33" i="7"/>
  <c r="D213" i="8"/>
  <c r="D206" i="8"/>
  <c r="G23" i="8"/>
  <c r="G9" i="8"/>
  <c r="D81" i="7"/>
  <c r="J82" i="7"/>
  <c r="D52" i="5"/>
  <c r="D51" i="5" s="1"/>
  <c r="I229" i="2"/>
  <c r="I488" i="2"/>
  <c r="J488" i="2" s="1"/>
  <c r="I480" i="2"/>
  <c r="J480" i="2" s="1"/>
  <c r="I476" i="2"/>
  <c r="J476" i="2" s="1"/>
  <c r="I301" i="2"/>
  <c r="I300" i="2" s="1"/>
  <c r="K420" i="2"/>
  <c r="M420" i="2" s="1"/>
  <c r="H107" i="6"/>
  <c r="G412" i="2"/>
  <c r="F65" i="1" s="1"/>
  <c r="F94" i="1" s="1"/>
  <c r="E10" i="8"/>
  <c r="D114" i="8"/>
  <c r="E69" i="7"/>
  <c r="D253" i="8"/>
  <c r="D237" i="8"/>
  <c r="D252" i="8"/>
  <c r="D232" i="8" s="1"/>
  <c r="D230" i="8" s="1"/>
  <c r="E83" i="8"/>
  <c r="E13" i="8"/>
  <c r="E12" i="8" s="1"/>
  <c r="D19" i="7"/>
  <c r="D18" i="7" s="1"/>
  <c r="H11" i="8"/>
  <c r="K412" i="2"/>
  <c r="D24" i="8"/>
  <c r="E196" i="2"/>
  <c r="E334" i="2"/>
  <c r="I228" i="2"/>
  <c r="E176" i="2"/>
  <c r="E53" i="2" s="1"/>
  <c r="E174" i="2"/>
  <c r="E171" i="2"/>
  <c r="E169" i="2"/>
  <c r="E168" i="2"/>
  <c r="E163" i="2"/>
  <c r="E162" i="2" s="1"/>
  <c r="E161" i="2"/>
  <c r="E159" i="2"/>
  <c r="E141" i="2"/>
  <c r="E139" i="2"/>
  <c r="E124" i="2"/>
  <c r="E123" i="2" s="1"/>
  <c r="E111" i="2"/>
  <c r="E108" i="2"/>
  <c r="E95" i="2"/>
  <c r="I88" i="2"/>
  <c r="E81" i="2"/>
  <c r="E77" i="2" s="1"/>
  <c r="E76" i="2"/>
  <c r="E73" i="2"/>
  <c r="E63" i="2"/>
  <c r="E62" i="2" s="1"/>
  <c r="E59" i="2"/>
  <c r="I58" i="2"/>
  <c r="D12" i="9" l="1"/>
  <c r="D69" i="7"/>
  <c r="E45" i="2"/>
  <c r="M412" i="2"/>
  <c r="E40" i="2"/>
  <c r="D11" i="8"/>
  <c r="D11" i="9"/>
  <c r="I412" i="2"/>
  <c r="H23" i="8"/>
  <c r="I83" i="8"/>
  <c r="L53" i="2"/>
  <c r="L420" i="2"/>
  <c r="E230" i="8"/>
  <c r="E9" i="8"/>
  <c r="L412" i="2"/>
  <c r="D19" i="9"/>
  <c r="H9" i="8"/>
  <c r="L45" i="2"/>
  <c r="D10" i="5"/>
  <c r="D16" i="7"/>
  <c r="D13" i="7"/>
  <c r="D23" i="8"/>
  <c r="D234" i="8"/>
  <c r="D233" i="8" s="1"/>
  <c r="D9" i="8"/>
  <c r="E107" i="2"/>
  <c r="E138" i="2"/>
  <c r="D12" i="7" l="1"/>
  <c r="J412" i="2"/>
  <c r="E141" i="3"/>
  <c r="E136" i="3"/>
  <c r="F190" i="3"/>
  <c r="F188" i="3"/>
  <c r="F185" i="3"/>
  <c r="F182" i="3"/>
  <c r="F178" i="3"/>
  <c r="F176" i="3"/>
  <c r="F173" i="3"/>
  <c r="F170" i="3"/>
  <c r="H162" i="3"/>
  <c r="H17" i="3" s="1"/>
  <c r="H160" i="3"/>
  <c r="H15" i="3" s="1"/>
  <c r="E160" i="3"/>
  <c r="I160" i="3" s="1"/>
  <c r="D155" i="3"/>
  <c r="E131" i="3"/>
  <c r="E129" i="3"/>
  <c r="E126" i="3"/>
  <c r="E124" i="3"/>
  <c r="E99" i="3"/>
  <c r="E107" i="3"/>
  <c r="E105" i="3"/>
  <c r="H101" i="3"/>
  <c r="E102" i="3"/>
  <c r="E100" i="3"/>
  <c r="E83" i="3"/>
  <c r="E81" i="3"/>
  <c r="E78" i="3"/>
  <c r="E76" i="3"/>
  <c r="E75" i="3"/>
  <c r="E14" i="3" s="1"/>
  <c r="F175" i="3" l="1"/>
  <c r="F181" i="3"/>
  <c r="F187" i="3"/>
  <c r="F169" i="3"/>
  <c r="E71" i="3" l="1"/>
  <c r="E22" i="3" s="1"/>
  <c r="E69" i="3"/>
  <c r="E20" i="3" s="1"/>
  <c r="E66" i="3"/>
  <c r="E17" i="3" s="1"/>
  <c r="E64" i="3"/>
  <c r="E15" i="3" s="1"/>
  <c r="H46" i="3"/>
  <c r="H43" i="3" s="1"/>
  <c r="G46" i="3"/>
  <c r="M46" i="3" s="1"/>
  <c r="H41" i="3"/>
  <c r="H38" i="3" s="1"/>
  <c r="M23" i="3"/>
  <c r="M24" i="3"/>
  <c r="M25" i="3"/>
  <c r="M26" i="3"/>
  <c r="M27" i="3"/>
  <c r="M28" i="3"/>
  <c r="M29" i="3"/>
  <c r="M36" i="3"/>
  <c r="M51" i="3"/>
  <c r="M63" i="3"/>
  <c r="M40" i="3"/>
  <c r="M45" i="3"/>
  <c r="F11" i="4"/>
  <c r="G11" i="4"/>
  <c r="H11" i="4"/>
  <c r="K14" i="4"/>
  <c r="J69" i="1" s="1"/>
  <c r="F14" i="4"/>
  <c r="E69" i="1" s="1"/>
  <c r="G14" i="4"/>
  <c r="F69" i="1" s="1"/>
  <c r="K26" i="4"/>
  <c r="H26" i="4"/>
  <c r="G87" i="1" s="1"/>
  <c r="G26" i="4"/>
  <c r="F26" i="4"/>
  <c r="E87" i="1" s="1"/>
  <c r="K20" i="4"/>
  <c r="H20" i="4"/>
  <c r="G78" i="1" s="1"/>
  <c r="G20" i="4"/>
  <c r="F78" i="1" s="1"/>
  <c r="F20" i="4"/>
  <c r="E78" i="1" s="1"/>
  <c r="K16" i="4"/>
  <c r="J72" i="1" s="1"/>
  <c r="H16" i="4"/>
  <c r="G72" i="1" s="1"/>
  <c r="G16" i="4"/>
  <c r="F72" i="1" s="1"/>
  <c r="F16" i="4"/>
  <c r="E72" i="1" s="1"/>
  <c r="K15" i="4"/>
  <c r="E71" i="1"/>
  <c r="G15" i="4"/>
  <c r="F71" i="1" s="1"/>
  <c r="H15" i="4"/>
  <c r="G71" i="1" s="1"/>
  <c r="H72" i="4"/>
  <c r="H14" i="4" s="1"/>
  <c r="G69" i="1" s="1"/>
  <c r="I76" i="4"/>
  <c r="K75" i="4"/>
  <c r="K74" i="4" s="1"/>
  <c r="H75" i="4"/>
  <c r="H74" i="4" s="1"/>
  <c r="G75" i="4"/>
  <c r="M75" i="4" s="1"/>
  <c r="F75" i="4"/>
  <c r="F74" i="4" s="1"/>
  <c r="E75" i="4"/>
  <c r="E74" i="4" s="1"/>
  <c r="D75" i="4"/>
  <c r="D74" i="4" s="1"/>
  <c r="G74" i="4"/>
  <c r="M74" i="4" s="1"/>
  <c r="G69" i="4"/>
  <c r="F69" i="4"/>
  <c r="G64" i="4"/>
  <c r="H64" i="4"/>
  <c r="F64" i="4"/>
  <c r="E54" i="4"/>
  <c r="E36" i="4"/>
  <c r="E26" i="4" s="1"/>
  <c r="D87" i="1" s="1"/>
  <c r="E33" i="4"/>
  <c r="E20" i="4" s="1"/>
  <c r="D78" i="1" s="1"/>
  <c r="E31" i="4"/>
  <c r="M57" i="4"/>
  <c r="M58" i="4"/>
  <c r="E11" i="4" l="1"/>
  <c r="D72" i="4"/>
  <c r="M14" i="4"/>
  <c r="M11" i="4"/>
  <c r="M15" i="4"/>
  <c r="M16" i="4"/>
  <c r="M20" i="4"/>
  <c r="D70" i="4"/>
  <c r="D69" i="4" s="1"/>
  <c r="F87" i="1"/>
  <c r="M26" i="4"/>
  <c r="H70" i="4"/>
  <c r="H69" i="4" s="1"/>
  <c r="H10" i="4"/>
  <c r="G65" i="1" s="1"/>
  <c r="G94" i="1" s="1"/>
  <c r="L65" i="4"/>
  <c r="J76" i="4"/>
  <c r="L14" i="4"/>
  <c r="L11" i="4"/>
  <c r="L70" i="4"/>
  <c r="L15" i="4"/>
  <c r="L16" i="4"/>
  <c r="L20" i="4"/>
  <c r="L26" i="4"/>
  <c r="E15" i="4"/>
  <c r="D71" i="1" s="1"/>
  <c r="M64" i="4"/>
  <c r="K69" i="4"/>
  <c r="G9" i="4"/>
  <c r="E14" i="4"/>
  <c r="E64" i="4"/>
  <c r="D67" i="4"/>
  <c r="D10" i="4" s="1"/>
  <c r="C65" i="1" s="1"/>
  <c r="C94" i="1" s="1"/>
  <c r="E69" i="4"/>
  <c r="I72" i="4"/>
  <c r="I75" i="4"/>
  <c r="J75" i="4" s="1"/>
  <c r="E16" i="4"/>
  <c r="D72" i="1" s="1"/>
  <c r="K63" i="5"/>
  <c r="K61" i="5"/>
  <c r="K57" i="5"/>
  <c r="M57" i="5" s="1"/>
  <c r="K53" i="5"/>
  <c r="M53" i="5" s="1"/>
  <c r="J61" i="5"/>
  <c r="K76" i="5"/>
  <c r="I76" i="5" s="1"/>
  <c r="J63" i="5"/>
  <c r="J80" i="5"/>
  <c r="K79" i="5"/>
  <c r="K73" i="5"/>
  <c r="M73" i="5" s="1"/>
  <c r="K70" i="5"/>
  <c r="M70" i="5" s="1"/>
  <c r="K28" i="5"/>
  <c r="M28" i="5" s="1"/>
  <c r="K25" i="5"/>
  <c r="K23" i="5"/>
  <c r="I23" i="5" l="1"/>
  <c r="M23" i="5"/>
  <c r="I25" i="5"/>
  <c r="M25" i="5"/>
  <c r="J72" i="4"/>
  <c r="I70" i="4"/>
  <c r="J70" i="4" s="1"/>
  <c r="I10" i="4"/>
  <c r="H9" i="4"/>
  <c r="L53" i="5"/>
  <c r="L69" i="4"/>
  <c r="J67" i="4"/>
  <c r="D65" i="4"/>
  <c r="L64" i="4"/>
  <c r="I28" i="5"/>
  <c r="L70" i="5"/>
  <c r="I70" i="5"/>
  <c r="L79" i="5"/>
  <c r="I79" i="5"/>
  <c r="L73" i="5"/>
  <c r="I73" i="5"/>
  <c r="L76" i="5"/>
  <c r="K52" i="5"/>
  <c r="M52" i="5" s="1"/>
  <c r="L57" i="5"/>
  <c r="M10" i="4"/>
  <c r="I64" i="4"/>
  <c r="I74" i="4"/>
  <c r="J74" i="4" s="1"/>
  <c r="J24" i="5"/>
  <c r="I15" i="5"/>
  <c r="L23" i="5"/>
  <c r="L25" i="5"/>
  <c r="L15" i="5"/>
  <c r="K56" i="5"/>
  <c r="M56" i="5" s="1"/>
  <c r="J25" i="5"/>
  <c r="J26" i="5"/>
  <c r="J29" i="5"/>
  <c r="J59" i="5"/>
  <c r="J60" i="5"/>
  <c r="K59" i="5"/>
  <c r="L61" i="5"/>
  <c r="K27" i="5"/>
  <c r="M27" i="5" s="1"/>
  <c r="L28" i="5"/>
  <c r="K16" i="5"/>
  <c r="M16" i="5" s="1"/>
  <c r="L17" i="5"/>
  <c r="J67" i="5"/>
  <c r="J71" i="5"/>
  <c r="K14" i="5"/>
  <c r="M14" i="5" s="1"/>
  <c r="K19" i="5"/>
  <c r="M19" i="5" s="1"/>
  <c r="L20" i="5"/>
  <c r="J54" i="5"/>
  <c r="J72" i="5"/>
  <c r="J57" i="5"/>
  <c r="J74" i="5"/>
  <c r="J76" i="5"/>
  <c r="J77" i="5"/>
  <c r="J75" i="1"/>
  <c r="L75" i="1" s="1"/>
  <c r="K62" i="5"/>
  <c r="L63" i="5"/>
  <c r="I14" i="4"/>
  <c r="D14" i="4"/>
  <c r="F9" i="4"/>
  <c r="J73" i="5"/>
  <c r="J56" i="5"/>
  <c r="J62" i="5"/>
  <c r="K22" i="5"/>
  <c r="K69" i="5"/>
  <c r="M69" i="5" s="1"/>
  <c r="K75" i="5"/>
  <c r="J79" i="5"/>
  <c r="J70" i="5"/>
  <c r="I19" i="5"/>
  <c r="K135" i="6"/>
  <c r="M135" i="6" s="1"/>
  <c r="K11" i="5" l="1"/>
  <c r="M11" i="5" s="1"/>
  <c r="M22" i="5"/>
  <c r="L52" i="5"/>
  <c r="K9" i="4"/>
  <c r="I22" i="5"/>
  <c r="I27" i="5"/>
  <c r="K75" i="1"/>
  <c r="K13" i="5"/>
  <c r="M13" i="5" s="1"/>
  <c r="I135" i="6"/>
  <c r="K51" i="5"/>
  <c r="M51" i="5" s="1"/>
  <c r="L75" i="5"/>
  <c r="I75" i="5"/>
  <c r="J75" i="5" s="1"/>
  <c r="L69" i="5"/>
  <c r="I69" i="5"/>
  <c r="J69" i="5" s="1"/>
  <c r="L59" i="5"/>
  <c r="L51" i="5"/>
  <c r="L56" i="5"/>
  <c r="D64" i="4"/>
  <c r="J64" i="4" s="1"/>
  <c r="J65" i="4"/>
  <c r="J14" i="4"/>
  <c r="L10" i="4"/>
  <c r="I69" i="4"/>
  <c r="J69" i="4" s="1"/>
  <c r="J15" i="5"/>
  <c r="I14" i="5"/>
  <c r="L22" i="5"/>
  <c r="L16" i="5"/>
  <c r="L14" i="5"/>
  <c r="J17" i="5"/>
  <c r="J20" i="5"/>
  <c r="J51" i="5"/>
  <c r="K134" i="6"/>
  <c r="M134" i="6" s="1"/>
  <c r="L135" i="6"/>
  <c r="J136" i="6"/>
  <c r="K111" i="6"/>
  <c r="M111" i="6" s="1"/>
  <c r="L112" i="6"/>
  <c r="I16" i="5"/>
  <c r="J16" i="5" s="1"/>
  <c r="I18" i="5"/>
  <c r="J18" i="5" s="1"/>
  <c r="J19" i="5"/>
  <c r="K58" i="5"/>
  <c r="L62" i="5"/>
  <c r="J23" i="5"/>
  <c r="K18" i="5"/>
  <c r="M18" i="5" s="1"/>
  <c r="L19" i="5"/>
  <c r="H75" i="1"/>
  <c r="I75" i="1" s="1"/>
  <c r="J53" i="5"/>
  <c r="L27" i="5"/>
  <c r="J28" i="5"/>
  <c r="E9" i="4"/>
  <c r="K23" i="6"/>
  <c r="M23" i="6" s="1"/>
  <c r="K21" i="6"/>
  <c r="M21" i="6" s="1"/>
  <c r="K18" i="6"/>
  <c r="M18" i="6" s="1"/>
  <c r="K16" i="6"/>
  <c r="M16" i="6" s="1"/>
  <c r="K15" i="6"/>
  <c r="M15" i="6" s="1"/>
  <c r="K91" i="6"/>
  <c r="M91" i="6" s="1"/>
  <c r="K89" i="6"/>
  <c r="M89" i="6" s="1"/>
  <c r="K86" i="6"/>
  <c r="M86" i="6" s="1"/>
  <c r="K84" i="6"/>
  <c r="M84" i="6" s="1"/>
  <c r="K80" i="6"/>
  <c r="K77" i="6"/>
  <c r="K73" i="6"/>
  <c r="K70" i="6"/>
  <c r="K66" i="6"/>
  <c r="K64" i="6"/>
  <c r="K61" i="6"/>
  <c r="K59" i="6"/>
  <c r="J56" i="6"/>
  <c r="K55" i="6"/>
  <c r="K53" i="6"/>
  <c r="K50" i="6"/>
  <c r="K48" i="6"/>
  <c r="K44" i="6"/>
  <c r="K42" i="6"/>
  <c r="K39" i="6"/>
  <c r="K37" i="6"/>
  <c r="K58" i="8"/>
  <c r="M58" i="8" s="1"/>
  <c r="I11" i="5" l="1"/>
  <c r="I10" i="5" s="1"/>
  <c r="J22" i="5"/>
  <c r="L9" i="4"/>
  <c r="M9" i="4"/>
  <c r="L13" i="5"/>
  <c r="J11" i="5"/>
  <c r="I37" i="6"/>
  <c r="M37" i="6"/>
  <c r="I42" i="6"/>
  <c r="M42" i="6"/>
  <c r="K47" i="6"/>
  <c r="M48" i="6"/>
  <c r="I48" i="6"/>
  <c r="M53" i="6"/>
  <c r="I53" i="6"/>
  <c r="I61" i="6"/>
  <c r="M61" i="6"/>
  <c r="I66" i="6"/>
  <c r="M66" i="6"/>
  <c r="I39" i="6"/>
  <c r="J39" i="6" s="1"/>
  <c r="M39" i="6"/>
  <c r="I44" i="6"/>
  <c r="M44" i="6"/>
  <c r="M50" i="6"/>
  <c r="I50" i="6"/>
  <c r="M55" i="6"/>
  <c r="I55" i="6"/>
  <c r="I59" i="6"/>
  <c r="M59" i="6"/>
  <c r="K63" i="6"/>
  <c r="I64" i="6"/>
  <c r="M64" i="6"/>
  <c r="M77" i="6"/>
  <c r="I77" i="6"/>
  <c r="I89" i="6"/>
  <c r="M73" i="6"/>
  <c r="I73" i="6"/>
  <c r="M80" i="6"/>
  <c r="I80" i="6"/>
  <c r="I91" i="6"/>
  <c r="J91" i="6" s="1"/>
  <c r="I86" i="6"/>
  <c r="J86" i="6" s="1"/>
  <c r="I84" i="6"/>
  <c r="J84" i="6" s="1"/>
  <c r="I111" i="6"/>
  <c r="K108" i="6"/>
  <c r="I134" i="6"/>
  <c r="M70" i="6"/>
  <c r="I70" i="6"/>
  <c r="I13" i="5"/>
  <c r="J10" i="4"/>
  <c r="L58" i="8"/>
  <c r="J135" i="6"/>
  <c r="K9" i="7"/>
  <c r="K52" i="6"/>
  <c r="L15" i="6"/>
  <c r="L84" i="6"/>
  <c r="L86" i="6"/>
  <c r="L89" i="6"/>
  <c r="L16" i="6"/>
  <c r="L18" i="6"/>
  <c r="L108" i="6"/>
  <c r="L134" i="6"/>
  <c r="L72" i="1"/>
  <c r="L15" i="7"/>
  <c r="L11" i="7"/>
  <c r="J29" i="6"/>
  <c r="J40" i="6"/>
  <c r="J60" i="6"/>
  <c r="J67" i="6"/>
  <c r="J27" i="6"/>
  <c r="K69" i="6"/>
  <c r="L70" i="6"/>
  <c r="K72" i="6"/>
  <c r="L73" i="6"/>
  <c r="J43" i="6"/>
  <c r="J45" i="6"/>
  <c r="J62" i="6"/>
  <c r="J65" i="6"/>
  <c r="J66" i="6"/>
  <c r="K76" i="6"/>
  <c r="L77" i="6"/>
  <c r="K79" i="6"/>
  <c r="L80" i="6"/>
  <c r="J134" i="6"/>
  <c r="K110" i="6"/>
  <c r="M110" i="6" s="1"/>
  <c r="L111" i="6"/>
  <c r="L91" i="6"/>
  <c r="J92" i="6"/>
  <c r="J90" i="6"/>
  <c r="J34" i="6"/>
  <c r="K22" i="6"/>
  <c r="M22" i="6" s="1"/>
  <c r="L23" i="6"/>
  <c r="K20" i="6"/>
  <c r="M20" i="6" s="1"/>
  <c r="L21" i="6"/>
  <c r="J27" i="5"/>
  <c r="L18" i="5"/>
  <c r="K10" i="5"/>
  <c r="L11" i="5"/>
  <c r="L58" i="5"/>
  <c r="J58" i="5"/>
  <c r="J14" i="5"/>
  <c r="K58" i="6"/>
  <c r="J10" i="5"/>
  <c r="K17" i="6"/>
  <c r="M17" i="6" s="1"/>
  <c r="J89" i="6"/>
  <c r="K83" i="6"/>
  <c r="M83" i="6" s="1"/>
  <c r="K88" i="6"/>
  <c r="M88" i="6" s="1"/>
  <c r="J53" i="6"/>
  <c r="K36" i="6"/>
  <c r="K41" i="6"/>
  <c r="J38" i="6"/>
  <c r="I30" i="10"/>
  <c r="I21" i="10" s="1"/>
  <c r="D30" i="10"/>
  <c r="D21" i="10" s="1"/>
  <c r="K29" i="10"/>
  <c r="G29" i="10"/>
  <c r="G28" i="10" s="1"/>
  <c r="F29" i="10"/>
  <c r="F28" i="10" s="1"/>
  <c r="E29" i="10"/>
  <c r="E28" i="10" s="1"/>
  <c r="I27" i="10"/>
  <c r="I18" i="10" s="1"/>
  <c r="D27" i="10"/>
  <c r="D18" i="10" s="1"/>
  <c r="K26" i="10"/>
  <c r="H26" i="10"/>
  <c r="G26" i="10"/>
  <c r="F26" i="10"/>
  <c r="E26" i="10"/>
  <c r="D26" i="10"/>
  <c r="I25" i="10"/>
  <c r="I16" i="10" s="1"/>
  <c r="D25" i="10"/>
  <c r="D16" i="10" s="1"/>
  <c r="K24" i="10"/>
  <c r="K23" i="10" s="1"/>
  <c r="H24" i="10"/>
  <c r="G24" i="10"/>
  <c r="F24" i="10"/>
  <c r="F23" i="10" s="1"/>
  <c r="F12" i="10" s="1"/>
  <c r="E24" i="10"/>
  <c r="D24" i="10"/>
  <c r="K12" i="10"/>
  <c r="G23" i="10"/>
  <c r="G12" i="10" s="1"/>
  <c r="E23" i="10"/>
  <c r="E12" i="10" s="1"/>
  <c r="K20" i="10"/>
  <c r="I20" i="10"/>
  <c r="H20" i="10"/>
  <c r="H19" i="10" s="1"/>
  <c r="G20" i="10"/>
  <c r="G19" i="10" s="1"/>
  <c r="F20" i="10"/>
  <c r="E20" i="10"/>
  <c r="E19" i="10" s="1"/>
  <c r="K19" i="10"/>
  <c r="M19" i="10" s="1"/>
  <c r="I19" i="10"/>
  <c r="F19" i="10"/>
  <c r="H17" i="10"/>
  <c r="F17" i="10"/>
  <c r="D17" i="10"/>
  <c r="G17" i="10"/>
  <c r="E17" i="10"/>
  <c r="H15" i="10"/>
  <c r="G15" i="10"/>
  <c r="D15" i="10"/>
  <c r="F15" i="10"/>
  <c r="G11" i="10"/>
  <c r="E11" i="10"/>
  <c r="K68" i="9"/>
  <c r="M68" i="9" s="1"/>
  <c r="I68" i="9"/>
  <c r="J68" i="9" s="1"/>
  <c r="K65" i="9"/>
  <c r="M65" i="9" s="1"/>
  <c r="K61" i="9"/>
  <c r="M61" i="9" s="1"/>
  <c r="K58" i="9"/>
  <c r="K54" i="9"/>
  <c r="I54" i="9"/>
  <c r="J54" i="9" s="1"/>
  <c r="K53" i="9"/>
  <c r="I53" i="9"/>
  <c r="J53" i="9" s="1"/>
  <c r="K51" i="9"/>
  <c r="K47" i="9"/>
  <c r="M47" i="9" s="1"/>
  <c r="K44" i="9"/>
  <c r="M44" i="9" s="1"/>
  <c r="K42" i="9"/>
  <c r="M42" i="9" s="1"/>
  <c r="K29" i="9"/>
  <c r="M29" i="9" s="1"/>
  <c r="K26" i="9"/>
  <c r="M26" i="9" s="1"/>
  <c r="K24" i="9"/>
  <c r="M24" i="9" s="1"/>
  <c r="I24" i="9"/>
  <c r="J24" i="9" s="1"/>
  <c r="J16" i="9"/>
  <c r="K248" i="8"/>
  <c r="M248" i="8" s="1"/>
  <c r="K244" i="8"/>
  <c r="M244" i="8" s="1"/>
  <c r="K256" i="8"/>
  <c r="K253" i="8"/>
  <c r="K252" i="8"/>
  <c r="I240" i="8"/>
  <c r="I236" i="8"/>
  <c r="K234" i="8"/>
  <c r="M234" i="8" s="1"/>
  <c r="K227" i="8"/>
  <c r="M227" i="8" s="1"/>
  <c r="I227" i="8"/>
  <c r="K224" i="8"/>
  <c r="M224" i="8" s="1"/>
  <c r="I224" i="8"/>
  <c r="J224" i="8" s="1"/>
  <c r="K222" i="8"/>
  <c r="M222" i="8" s="1"/>
  <c r="K217" i="8"/>
  <c r="M217" i="8" s="1"/>
  <c r="K214" i="8"/>
  <c r="M214" i="8" s="1"/>
  <c r="K210" i="8"/>
  <c r="M210" i="8" s="1"/>
  <c r="K207" i="8"/>
  <c r="M207" i="8" s="1"/>
  <c r="K202" i="8"/>
  <c r="M202" i="8" s="1"/>
  <c r="K199" i="8"/>
  <c r="M199" i="8" s="1"/>
  <c r="J196" i="8"/>
  <c r="K195" i="8"/>
  <c r="M195" i="8" s="1"/>
  <c r="K192" i="8"/>
  <c r="M192" i="8" s="1"/>
  <c r="I154" i="8"/>
  <c r="K152" i="8"/>
  <c r="M152" i="8" s="1"/>
  <c r="I147" i="8"/>
  <c r="K146" i="8"/>
  <c r="M146" i="8" s="1"/>
  <c r="I146" i="8"/>
  <c r="J146" i="8" s="1"/>
  <c r="K141" i="8"/>
  <c r="M141" i="8" s="1"/>
  <c r="I140" i="8"/>
  <c r="K138" i="8"/>
  <c r="M138" i="8" s="1"/>
  <c r="J136" i="8"/>
  <c r="K134" i="8"/>
  <c r="M134" i="8" s="1"/>
  <c r="K132" i="8"/>
  <c r="M132" i="8" s="1"/>
  <c r="K128" i="8"/>
  <c r="M128" i="8" s="1"/>
  <c r="I128" i="8"/>
  <c r="J128" i="8" s="1"/>
  <c r="K126" i="8"/>
  <c r="M126" i="8" s="1"/>
  <c r="I126" i="8"/>
  <c r="K123" i="8"/>
  <c r="M123" i="8" s="1"/>
  <c r="I123" i="8"/>
  <c r="J123" i="8" s="1"/>
  <c r="K121" i="8"/>
  <c r="M121" i="8" s="1"/>
  <c r="K117" i="8"/>
  <c r="K115" i="8"/>
  <c r="M115" i="8" s="1"/>
  <c r="I115" i="8"/>
  <c r="J115" i="8" s="1"/>
  <c r="K112" i="8"/>
  <c r="M112" i="8" s="1"/>
  <c r="I112" i="8"/>
  <c r="J112" i="8" s="1"/>
  <c r="K110" i="8"/>
  <c r="M110" i="8" s="1"/>
  <c r="I110" i="8"/>
  <c r="K109" i="8"/>
  <c r="K105" i="8"/>
  <c r="M105" i="8" s="1"/>
  <c r="I105" i="8"/>
  <c r="J105" i="8" s="1"/>
  <c r="K102" i="8"/>
  <c r="M102" i="8" s="1"/>
  <c r="I102" i="8"/>
  <c r="K101" i="8"/>
  <c r="M101" i="8" s="1"/>
  <c r="K98" i="8"/>
  <c r="M98" i="8" s="1"/>
  <c r="J96" i="8"/>
  <c r="K94" i="8"/>
  <c r="M94" i="8" s="1"/>
  <c r="L88" i="8"/>
  <c r="J86" i="8"/>
  <c r="J85" i="8"/>
  <c r="L84" i="8"/>
  <c r="J82" i="8"/>
  <c r="M79" i="8"/>
  <c r="J78" i="8"/>
  <c r="K75" i="8"/>
  <c r="M75" i="8" s="1"/>
  <c r="K71" i="8"/>
  <c r="M71" i="8" s="1"/>
  <c r="I71" i="8"/>
  <c r="J71" i="8" s="1"/>
  <c r="K68" i="8"/>
  <c r="M68" i="8" s="1"/>
  <c r="J66" i="8"/>
  <c r="K65" i="8"/>
  <c r="M65" i="8" s="1"/>
  <c r="J64" i="8"/>
  <c r="K62" i="8"/>
  <c r="M62" i="8" s="1"/>
  <c r="J56" i="8"/>
  <c r="K55" i="8"/>
  <c r="M55" i="8" s="1"/>
  <c r="J53" i="8"/>
  <c r="K52" i="8"/>
  <c r="M52" i="8" s="1"/>
  <c r="K49" i="8"/>
  <c r="M49" i="8" s="1"/>
  <c r="K44" i="8"/>
  <c r="J42" i="8"/>
  <c r="K41" i="8"/>
  <c r="M41" i="8" s="1"/>
  <c r="K38" i="8"/>
  <c r="M38" i="8" s="1"/>
  <c r="K35" i="8"/>
  <c r="M35" i="8" s="1"/>
  <c r="K31" i="8"/>
  <c r="M31" i="8" s="1"/>
  <c r="K30" i="8"/>
  <c r="M30" i="8" s="1"/>
  <c r="J34" i="1"/>
  <c r="L34" i="1" s="1"/>
  <c r="I27" i="8"/>
  <c r="J27" i="8" s="1"/>
  <c r="K26" i="8"/>
  <c r="M26" i="8" s="1"/>
  <c r="K25" i="8"/>
  <c r="M25" i="8" s="1"/>
  <c r="K22" i="8"/>
  <c r="M22" i="8" s="1"/>
  <c r="I22" i="8"/>
  <c r="J22" i="8" s="1"/>
  <c r="K21" i="8"/>
  <c r="M21" i="8" s="1"/>
  <c r="K20" i="8"/>
  <c r="M20" i="8" s="1"/>
  <c r="K17" i="8"/>
  <c r="M17" i="8" s="1"/>
  <c r="I17" i="8"/>
  <c r="J17" i="8" s="1"/>
  <c r="K16" i="8"/>
  <c r="M16" i="8" s="1"/>
  <c r="K15" i="8"/>
  <c r="M15" i="8" s="1"/>
  <c r="K14" i="8"/>
  <c r="M14" i="8" s="1"/>
  <c r="K90" i="7"/>
  <c r="M90" i="7" s="1"/>
  <c r="K85" i="7"/>
  <c r="M85" i="7" s="1"/>
  <c r="J79" i="7"/>
  <c r="K78" i="7"/>
  <c r="M78" i="7" s="1"/>
  <c r="K76" i="7"/>
  <c r="K73" i="7"/>
  <c r="M73" i="7" s="1"/>
  <c r="K70" i="7"/>
  <c r="M70" i="7" s="1"/>
  <c r="J55" i="7"/>
  <c r="K54" i="7"/>
  <c r="M54" i="7" s="1"/>
  <c r="J53" i="7"/>
  <c r="K52" i="7"/>
  <c r="M52" i="7" s="1"/>
  <c r="K49" i="7"/>
  <c r="M49" i="7" s="1"/>
  <c r="J43" i="7"/>
  <c r="K42" i="7"/>
  <c r="M42" i="7" s="1"/>
  <c r="J41" i="7"/>
  <c r="K40" i="7"/>
  <c r="M40" i="7" s="1"/>
  <c r="J38" i="7"/>
  <c r="K37" i="7"/>
  <c r="M37" i="7" s="1"/>
  <c r="K34" i="7"/>
  <c r="M34" i="7" s="1"/>
  <c r="K25" i="7"/>
  <c r="M25" i="7" s="1"/>
  <c r="M17" i="7"/>
  <c r="K33" i="6"/>
  <c r="K31" i="6"/>
  <c r="K28" i="6"/>
  <c r="K26" i="6"/>
  <c r="J132" i="6"/>
  <c r="K131" i="6"/>
  <c r="K100" i="6"/>
  <c r="J98" i="6"/>
  <c r="K97" i="6"/>
  <c r="K95" i="6"/>
  <c r="K127" i="6"/>
  <c r="M127" i="6" s="1"/>
  <c r="K123" i="6"/>
  <c r="K122" i="6" s="1"/>
  <c r="K119" i="6"/>
  <c r="K115" i="6"/>
  <c r="K66" i="5"/>
  <c r="I66" i="5" s="1"/>
  <c r="I62" i="4"/>
  <c r="D62" i="4"/>
  <c r="D60" i="4" s="1"/>
  <c r="D59" i="4" s="1"/>
  <c r="I61" i="4"/>
  <c r="J61" i="4" s="1"/>
  <c r="K60" i="4"/>
  <c r="G60" i="4"/>
  <c r="G59" i="4" s="1"/>
  <c r="F60" i="4"/>
  <c r="F59" i="4" s="1"/>
  <c r="E60" i="4"/>
  <c r="E59" i="4" s="1"/>
  <c r="K59" i="4"/>
  <c r="D58" i="4"/>
  <c r="J58" i="4" s="1"/>
  <c r="F57" i="4"/>
  <c r="E57" i="4"/>
  <c r="I56" i="4"/>
  <c r="I55" i="4"/>
  <c r="I17" i="4" s="1"/>
  <c r="I54" i="4"/>
  <c r="I53" i="4"/>
  <c r="I52" i="4" s="1"/>
  <c r="K52" i="4"/>
  <c r="G52" i="4"/>
  <c r="G51" i="4" s="1"/>
  <c r="F52" i="4"/>
  <c r="E52" i="4"/>
  <c r="D49" i="4"/>
  <c r="M48" i="4"/>
  <c r="H48" i="4"/>
  <c r="H47" i="4" s="1"/>
  <c r="H46" i="4" s="1"/>
  <c r="H45" i="4" s="1"/>
  <c r="M45" i="4"/>
  <c r="D44" i="4"/>
  <c r="D43" i="4" s="1"/>
  <c r="M43" i="4"/>
  <c r="H43" i="4"/>
  <c r="H42" i="4" s="1"/>
  <c r="I41" i="4"/>
  <c r="H39" i="4"/>
  <c r="L39" i="4"/>
  <c r="D36" i="4"/>
  <c r="J36" i="4" s="1"/>
  <c r="K35" i="4"/>
  <c r="H35" i="4"/>
  <c r="H34" i="4" s="1"/>
  <c r="G35" i="4"/>
  <c r="G34" i="4" s="1"/>
  <c r="F35" i="4"/>
  <c r="F34" i="4" s="1"/>
  <c r="E35" i="4"/>
  <c r="E34" i="4" s="1"/>
  <c r="K34" i="4"/>
  <c r="D33" i="4"/>
  <c r="D20" i="4" s="1"/>
  <c r="C78" i="1" s="1"/>
  <c r="K32" i="4"/>
  <c r="H32" i="4"/>
  <c r="G32" i="4"/>
  <c r="F32" i="4"/>
  <c r="E32" i="4"/>
  <c r="I31" i="4"/>
  <c r="K29" i="4"/>
  <c r="H29" i="4"/>
  <c r="G29" i="4"/>
  <c r="F29" i="4"/>
  <c r="H25" i="4"/>
  <c r="G25" i="4"/>
  <c r="F25" i="4"/>
  <c r="E25" i="4"/>
  <c r="K24" i="4"/>
  <c r="H24" i="4"/>
  <c r="G82" i="1" s="1"/>
  <c r="G24" i="4"/>
  <c r="F82" i="1" s="1"/>
  <c r="F24" i="4"/>
  <c r="E82" i="1" s="1"/>
  <c r="E24" i="4"/>
  <c r="D82" i="1" s="1"/>
  <c r="D24" i="4"/>
  <c r="G23" i="4"/>
  <c r="F81" i="1" s="1"/>
  <c r="F23" i="4"/>
  <c r="E81" i="1" s="1"/>
  <c r="E23" i="4"/>
  <c r="D81" i="1" s="1"/>
  <c r="G19" i="4"/>
  <c r="F19" i="4"/>
  <c r="H19" i="4"/>
  <c r="K18" i="4"/>
  <c r="H18" i="4"/>
  <c r="G73" i="1" s="1"/>
  <c r="G18" i="4"/>
  <c r="F73" i="1" s="1"/>
  <c r="F18" i="4"/>
  <c r="E73" i="1" s="1"/>
  <c r="E18" i="4"/>
  <c r="D18" i="4"/>
  <c r="H17" i="4"/>
  <c r="G74" i="1" s="1"/>
  <c r="G17" i="4"/>
  <c r="F74" i="1" s="1"/>
  <c r="F17" i="4"/>
  <c r="E74" i="1" s="1"/>
  <c r="E17" i="4"/>
  <c r="D74" i="1" s="1"/>
  <c r="I191" i="3"/>
  <c r="D191" i="3"/>
  <c r="K190" i="3"/>
  <c r="H190" i="3"/>
  <c r="G190" i="3"/>
  <c r="E190" i="3"/>
  <c r="I189" i="3"/>
  <c r="D189" i="3"/>
  <c r="D188" i="3" s="1"/>
  <c r="K188" i="3"/>
  <c r="H188" i="3"/>
  <c r="G188" i="3"/>
  <c r="E188" i="3"/>
  <c r="E187" i="3" s="1"/>
  <c r="I186" i="3"/>
  <c r="D186" i="3"/>
  <c r="D185" i="3" s="1"/>
  <c r="K185" i="3"/>
  <c r="H185" i="3"/>
  <c r="G185" i="3"/>
  <c r="E185" i="3"/>
  <c r="D184" i="3"/>
  <c r="I183" i="3"/>
  <c r="D183" i="3"/>
  <c r="K182" i="3"/>
  <c r="I182" i="3"/>
  <c r="J182" i="3" s="1"/>
  <c r="H182" i="3"/>
  <c r="G182" i="3"/>
  <c r="E182" i="3"/>
  <c r="I179" i="3"/>
  <c r="D179" i="3"/>
  <c r="K178" i="3"/>
  <c r="H178" i="3"/>
  <c r="G178" i="3"/>
  <c r="E178" i="3"/>
  <c r="I177" i="3"/>
  <c r="D177" i="3"/>
  <c r="D176" i="3" s="1"/>
  <c r="K176" i="3"/>
  <c r="H176" i="3"/>
  <c r="G176" i="3"/>
  <c r="E176" i="3"/>
  <c r="D174" i="3"/>
  <c r="K173" i="3"/>
  <c r="H173" i="3"/>
  <c r="G173" i="3"/>
  <c r="E173" i="3"/>
  <c r="D172" i="3"/>
  <c r="I171" i="3"/>
  <c r="J171" i="3" s="1"/>
  <c r="D171" i="3"/>
  <c r="K170" i="3"/>
  <c r="I170" i="3"/>
  <c r="J170" i="3" s="1"/>
  <c r="H170" i="3"/>
  <c r="G170" i="3"/>
  <c r="E170" i="3"/>
  <c r="H166" i="3"/>
  <c r="E166" i="3"/>
  <c r="G166" i="3"/>
  <c r="M166" i="3" s="1"/>
  <c r="F166" i="3"/>
  <c r="H164" i="3"/>
  <c r="K164" i="3"/>
  <c r="G164" i="3"/>
  <c r="F164" i="3"/>
  <c r="I162" i="3"/>
  <c r="K161" i="3"/>
  <c r="H161" i="3"/>
  <c r="G161" i="3"/>
  <c r="F161" i="3"/>
  <c r="H158" i="3"/>
  <c r="I159" i="3"/>
  <c r="D159" i="3"/>
  <c r="K158" i="3"/>
  <c r="G158" i="3"/>
  <c r="F158" i="3"/>
  <c r="E142" i="3"/>
  <c r="K142" i="3"/>
  <c r="H142" i="3"/>
  <c r="G142" i="3"/>
  <c r="F142" i="3"/>
  <c r="I141" i="3"/>
  <c r="K140" i="3"/>
  <c r="H140" i="3"/>
  <c r="G140" i="3"/>
  <c r="F140" i="3"/>
  <c r="I138" i="3"/>
  <c r="K137" i="3"/>
  <c r="H137" i="3"/>
  <c r="G137" i="3"/>
  <c r="F137" i="3"/>
  <c r="I136" i="3"/>
  <c r="I135" i="3"/>
  <c r="K134" i="3"/>
  <c r="H134" i="3"/>
  <c r="G134" i="3"/>
  <c r="F134" i="3"/>
  <c r="H130" i="3"/>
  <c r="K130" i="3"/>
  <c r="G130" i="3"/>
  <c r="F130" i="3"/>
  <c r="E130" i="3"/>
  <c r="H128" i="3"/>
  <c r="K128" i="3"/>
  <c r="M128" i="3" s="1"/>
  <c r="G128" i="3"/>
  <c r="F128" i="3"/>
  <c r="H125" i="3"/>
  <c r="K125" i="3"/>
  <c r="M125" i="3" s="1"/>
  <c r="G125" i="3"/>
  <c r="F125" i="3"/>
  <c r="E125" i="3"/>
  <c r="H122" i="3"/>
  <c r="D123" i="3"/>
  <c r="J123" i="3" s="1"/>
  <c r="K122" i="3"/>
  <c r="M122" i="3" s="1"/>
  <c r="G122" i="3"/>
  <c r="F122" i="3"/>
  <c r="F46" i="3"/>
  <c r="E46" i="3"/>
  <c r="D45" i="3"/>
  <c r="D44" i="3" s="1"/>
  <c r="K44" i="3"/>
  <c r="G44" i="3"/>
  <c r="E44" i="3"/>
  <c r="E43" i="3" s="1"/>
  <c r="G43" i="3"/>
  <c r="M43" i="3" s="1"/>
  <c r="D42" i="3"/>
  <c r="D41" i="3" s="1"/>
  <c r="G41" i="3"/>
  <c r="M41" i="3" s="1"/>
  <c r="E41" i="3"/>
  <c r="E39" i="3"/>
  <c r="K39" i="3"/>
  <c r="G39" i="3"/>
  <c r="F39" i="3"/>
  <c r="I107" i="3"/>
  <c r="K106" i="3"/>
  <c r="H106" i="3"/>
  <c r="G106" i="3"/>
  <c r="M106" i="3" s="1"/>
  <c r="F106" i="3"/>
  <c r="K104" i="3"/>
  <c r="H104" i="3"/>
  <c r="G104" i="3"/>
  <c r="M104" i="3" s="1"/>
  <c r="F104" i="3"/>
  <c r="I102" i="3"/>
  <c r="K101" i="3"/>
  <c r="G101" i="3"/>
  <c r="M101" i="3" s="1"/>
  <c r="F101" i="3"/>
  <c r="I99" i="3"/>
  <c r="K98" i="3"/>
  <c r="H98" i="3"/>
  <c r="G98" i="3"/>
  <c r="M98" i="3" s="1"/>
  <c r="F98" i="3"/>
  <c r="I83" i="3"/>
  <c r="K82" i="3"/>
  <c r="H82" i="3"/>
  <c r="G82" i="3"/>
  <c r="F82" i="3"/>
  <c r="K80" i="3"/>
  <c r="H80" i="3"/>
  <c r="G80" i="3"/>
  <c r="F80" i="3"/>
  <c r="I78" i="3"/>
  <c r="K77" i="3"/>
  <c r="H77" i="3"/>
  <c r="G77" i="3"/>
  <c r="F77" i="3"/>
  <c r="I75" i="3"/>
  <c r="H74" i="3"/>
  <c r="G74" i="3"/>
  <c r="M74" i="3" s="1"/>
  <c r="F74" i="3"/>
  <c r="E74" i="3"/>
  <c r="I155" i="3"/>
  <c r="J155" i="3" s="1"/>
  <c r="H154" i="3"/>
  <c r="G154" i="3"/>
  <c r="M154" i="3" s="1"/>
  <c r="F154" i="3"/>
  <c r="I153" i="3"/>
  <c r="H152" i="3"/>
  <c r="G152" i="3"/>
  <c r="F152" i="3"/>
  <c r="H149" i="3"/>
  <c r="G149" i="3"/>
  <c r="M149" i="3" s="1"/>
  <c r="F149" i="3"/>
  <c r="I147" i="3"/>
  <c r="H146" i="3"/>
  <c r="G146" i="3"/>
  <c r="M146" i="3" s="1"/>
  <c r="F146" i="3"/>
  <c r="K70" i="3"/>
  <c r="H70" i="3"/>
  <c r="G70" i="3"/>
  <c r="F70" i="3"/>
  <c r="I69" i="3"/>
  <c r="K68" i="3"/>
  <c r="H68" i="3"/>
  <c r="G68" i="3"/>
  <c r="F68" i="3"/>
  <c r="K65" i="3"/>
  <c r="H65" i="3"/>
  <c r="G65" i="3"/>
  <c r="F65" i="3"/>
  <c r="I64" i="3"/>
  <c r="D63" i="3"/>
  <c r="K62" i="3"/>
  <c r="H62" i="3"/>
  <c r="G62" i="3"/>
  <c r="F62" i="3"/>
  <c r="D59" i="3"/>
  <c r="K58" i="3"/>
  <c r="H58" i="3"/>
  <c r="G58" i="3"/>
  <c r="F58" i="3"/>
  <c r="E58" i="3"/>
  <c r="D58" i="3"/>
  <c r="I57" i="3"/>
  <c r="D57" i="3"/>
  <c r="K56" i="3"/>
  <c r="G56" i="3"/>
  <c r="F56" i="3"/>
  <c r="E56" i="3"/>
  <c r="D54" i="3"/>
  <c r="K53" i="3"/>
  <c r="H53" i="3"/>
  <c r="G53" i="3"/>
  <c r="L53" i="3" s="1"/>
  <c r="F53" i="3"/>
  <c r="E53" i="3"/>
  <c r="D53" i="3"/>
  <c r="D52" i="3"/>
  <c r="K50" i="3"/>
  <c r="H50" i="3"/>
  <c r="G50" i="3"/>
  <c r="L50" i="3" s="1"/>
  <c r="F50" i="3"/>
  <c r="E50" i="3"/>
  <c r="I36" i="3"/>
  <c r="D36" i="3"/>
  <c r="K35" i="3"/>
  <c r="K34" i="3" s="1"/>
  <c r="H35" i="3"/>
  <c r="H34" i="3" s="1"/>
  <c r="G35" i="3"/>
  <c r="G34" i="3" s="1"/>
  <c r="F35" i="3"/>
  <c r="F34" i="3" s="1"/>
  <c r="E35" i="3"/>
  <c r="E34" i="3" s="1"/>
  <c r="D35" i="3"/>
  <c r="D34" i="3" s="1"/>
  <c r="D33" i="3"/>
  <c r="J33" i="3" s="1"/>
  <c r="K32" i="3"/>
  <c r="H32" i="3"/>
  <c r="G32" i="3"/>
  <c r="M32" i="3" s="1"/>
  <c r="F32" i="3"/>
  <c r="E32" i="3"/>
  <c r="D32" i="3"/>
  <c r="J32" i="3" s="1"/>
  <c r="K31" i="3"/>
  <c r="H31" i="3"/>
  <c r="G31" i="3"/>
  <c r="F31" i="3"/>
  <c r="E31" i="3"/>
  <c r="D31" i="3"/>
  <c r="H21" i="3"/>
  <c r="G21" i="3"/>
  <c r="F21" i="3"/>
  <c r="E21" i="3"/>
  <c r="G19" i="3"/>
  <c r="F19" i="3"/>
  <c r="H16" i="3"/>
  <c r="G16" i="3"/>
  <c r="F16" i="3"/>
  <c r="E16" i="3"/>
  <c r="I466" i="2"/>
  <c r="D466" i="2"/>
  <c r="D465" i="2" s="1"/>
  <c r="D464" i="2" s="1"/>
  <c r="K465" i="2"/>
  <c r="H465" i="2"/>
  <c r="H464" i="2" s="1"/>
  <c r="G465" i="2"/>
  <c r="G464" i="2" s="1"/>
  <c r="F465" i="2"/>
  <c r="F464" i="2" s="1"/>
  <c r="E465" i="2"/>
  <c r="E464" i="2" s="1"/>
  <c r="I462" i="2"/>
  <c r="D462" i="2"/>
  <c r="D461" i="2" s="1"/>
  <c r="D460" i="2" s="1"/>
  <c r="K461" i="2"/>
  <c r="H461" i="2"/>
  <c r="H460" i="2" s="1"/>
  <c r="G461" i="2"/>
  <c r="G460" i="2" s="1"/>
  <c r="E461" i="2"/>
  <c r="E460" i="2" s="1"/>
  <c r="I459" i="2"/>
  <c r="D459" i="2"/>
  <c r="I458" i="2"/>
  <c r="D458" i="2"/>
  <c r="K457" i="2"/>
  <c r="H457" i="2"/>
  <c r="H456" i="2" s="1"/>
  <c r="G457" i="2"/>
  <c r="G456" i="2" s="1"/>
  <c r="F457" i="2"/>
  <c r="F456" i="2" s="1"/>
  <c r="I454" i="2"/>
  <c r="D454" i="2"/>
  <c r="D453" i="2" s="1"/>
  <c r="D452" i="2" s="1"/>
  <c r="K453" i="2"/>
  <c r="H453" i="2"/>
  <c r="H452" i="2" s="1"/>
  <c r="G453" i="2"/>
  <c r="G452" i="2" s="1"/>
  <c r="F453" i="2"/>
  <c r="F452" i="2" s="1"/>
  <c r="I474" i="2"/>
  <c r="J474" i="2" s="1"/>
  <c r="K473" i="2"/>
  <c r="H473" i="2"/>
  <c r="H472" i="2" s="1"/>
  <c r="G473" i="2"/>
  <c r="G472" i="2" s="1"/>
  <c r="F473" i="2"/>
  <c r="F472" i="2" s="1"/>
  <c r="E473" i="2"/>
  <c r="E472" i="2" s="1"/>
  <c r="I471" i="2"/>
  <c r="J471" i="2" s="1"/>
  <c r="D470" i="2"/>
  <c r="K469" i="2"/>
  <c r="H469" i="2"/>
  <c r="H468" i="2" s="1"/>
  <c r="G469" i="2"/>
  <c r="G468" i="2" s="1"/>
  <c r="E469" i="2"/>
  <c r="E468" i="2" s="1"/>
  <c r="I449" i="2"/>
  <c r="D450" i="2"/>
  <c r="J450" i="2" s="1"/>
  <c r="K449" i="2"/>
  <c r="H449" i="2"/>
  <c r="H448" i="2" s="1"/>
  <c r="G449" i="2"/>
  <c r="F449" i="2"/>
  <c r="F448" i="2" s="1"/>
  <c r="F413" i="2" s="1"/>
  <c r="E66" i="1" s="1"/>
  <c r="G448" i="2"/>
  <c r="I445" i="2"/>
  <c r="J446" i="2"/>
  <c r="K445" i="2"/>
  <c r="H445" i="2"/>
  <c r="H444" i="2" s="1"/>
  <c r="G445" i="2"/>
  <c r="K444" i="2"/>
  <c r="G444" i="2"/>
  <c r="K441" i="2"/>
  <c r="H441" i="2"/>
  <c r="H440" i="2" s="1"/>
  <c r="G441" i="2"/>
  <c r="G440" i="2" s="1"/>
  <c r="E439" i="2"/>
  <c r="E418" i="2" s="1"/>
  <c r="D73" i="1" s="1"/>
  <c r="E438" i="2"/>
  <c r="K437" i="2"/>
  <c r="H437" i="2"/>
  <c r="H436" i="2" s="1"/>
  <c r="G437" i="2"/>
  <c r="I434" i="2"/>
  <c r="D434" i="2"/>
  <c r="D424" i="2" s="1"/>
  <c r="C83" i="1" s="1"/>
  <c r="I433" i="2"/>
  <c r="D433" i="2"/>
  <c r="D422" i="2" s="1"/>
  <c r="H432" i="2"/>
  <c r="H431" i="2" s="1"/>
  <c r="G432" i="2"/>
  <c r="M432" i="2" s="1"/>
  <c r="F432" i="2"/>
  <c r="F431" i="2" s="1"/>
  <c r="E432" i="2"/>
  <c r="E431" i="2" s="1"/>
  <c r="D430" i="2"/>
  <c r="D419" i="2" s="1"/>
  <c r="C70" i="1" s="1"/>
  <c r="D429" i="2"/>
  <c r="J429" i="2" s="1"/>
  <c r="I428" i="2"/>
  <c r="D428" i="2"/>
  <c r="K427" i="2"/>
  <c r="H427" i="2"/>
  <c r="H426" i="2" s="1"/>
  <c r="H413" i="2" s="1"/>
  <c r="G66" i="1" s="1"/>
  <c r="G95" i="1" s="1"/>
  <c r="G427" i="2"/>
  <c r="G426" i="2" s="1"/>
  <c r="I391" i="2"/>
  <c r="D391" i="2"/>
  <c r="D388" i="2"/>
  <c r="D372" i="2" s="1"/>
  <c r="I387" i="2"/>
  <c r="D387" i="2"/>
  <c r="D371" i="2" s="1"/>
  <c r="D28" i="2" s="1"/>
  <c r="K386" i="2"/>
  <c r="H386" i="2"/>
  <c r="H385" i="2" s="1"/>
  <c r="G386" i="2"/>
  <c r="G385" i="2" s="1"/>
  <c r="F386" i="2"/>
  <c r="F385" i="2" s="1"/>
  <c r="E386" i="2"/>
  <c r="E385" i="2" s="1"/>
  <c r="D384" i="2"/>
  <c r="D368" i="2" s="1"/>
  <c r="D366" i="2" s="1"/>
  <c r="H382" i="2"/>
  <c r="G382" i="2"/>
  <c r="M382" i="2" s="1"/>
  <c r="F382" i="2"/>
  <c r="E382" i="2"/>
  <c r="D381" i="2"/>
  <c r="J381" i="2" s="1"/>
  <c r="D380" i="2"/>
  <c r="J380" i="2" s="1"/>
  <c r="D379" i="2"/>
  <c r="J379" i="2" s="1"/>
  <c r="H378" i="2"/>
  <c r="G378" i="2"/>
  <c r="M378" i="2" s="1"/>
  <c r="F378" i="2"/>
  <c r="E378" i="2"/>
  <c r="K375" i="2"/>
  <c r="H375" i="2"/>
  <c r="H373" i="2" s="1"/>
  <c r="G375" i="2"/>
  <c r="G373" i="2" s="1"/>
  <c r="F375" i="2"/>
  <c r="F373" i="2" s="1"/>
  <c r="E375" i="2"/>
  <c r="E373" i="2" s="1"/>
  <c r="H372" i="2"/>
  <c r="G372" i="2"/>
  <c r="M372" i="2" s="1"/>
  <c r="F372" i="2"/>
  <c r="E372" i="2"/>
  <c r="K371" i="2"/>
  <c r="H371" i="2"/>
  <c r="H28" i="2" s="1"/>
  <c r="G30" i="1" s="1"/>
  <c r="G371" i="2"/>
  <c r="G28" i="2" s="1"/>
  <c r="F371" i="2"/>
  <c r="F28" i="2" s="1"/>
  <c r="E30" i="1" s="1"/>
  <c r="E371" i="2"/>
  <c r="E28" i="2" s="1"/>
  <c r="D30" i="1" s="1"/>
  <c r="K368" i="2"/>
  <c r="I368" i="2"/>
  <c r="I366" i="2" s="1"/>
  <c r="H368" i="2"/>
  <c r="H366" i="2" s="1"/>
  <c r="G368" i="2"/>
  <c r="G366" i="2" s="1"/>
  <c r="F368" i="2"/>
  <c r="E368" i="2"/>
  <c r="E366" i="2" s="1"/>
  <c r="K365" i="2"/>
  <c r="I365" i="2"/>
  <c r="H365" i="2"/>
  <c r="G365" i="2"/>
  <c r="F365" i="2"/>
  <c r="F19" i="2" s="1"/>
  <c r="E20" i="1" s="1"/>
  <c r="E365" i="2"/>
  <c r="D365" i="2"/>
  <c r="K364" i="2"/>
  <c r="I364" i="2"/>
  <c r="H364" i="2"/>
  <c r="G364" i="2"/>
  <c r="G17" i="2" s="1"/>
  <c r="F17" i="1" s="1"/>
  <c r="F364" i="2"/>
  <c r="E364" i="2"/>
  <c r="E17" i="2" s="1"/>
  <c r="D17" i="1" s="1"/>
  <c r="K363" i="2"/>
  <c r="I363" i="2"/>
  <c r="H363" i="2"/>
  <c r="G363" i="2"/>
  <c r="F363" i="2"/>
  <c r="E363" i="2"/>
  <c r="I358" i="2"/>
  <c r="E358" i="2"/>
  <c r="E357" i="2" s="1"/>
  <c r="D358" i="2"/>
  <c r="D357" i="2" s="1"/>
  <c r="I355" i="2"/>
  <c r="E355" i="2"/>
  <c r="D355" i="2"/>
  <c r="I353" i="2"/>
  <c r="E353" i="2"/>
  <c r="D353" i="2"/>
  <c r="D352" i="2" s="1"/>
  <c r="I350" i="2"/>
  <c r="D350" i="2"/>
  <c r="D349" i="2" s="1"/>
  <c r="D348" i="2" s="1"/>
  <c r="K349" i="2"/>
  <c r="M349" i="2" s="1"/>
  <c r="H349" i="2"/>
  <c r="H348" i="2" s="1"/>
  <c r="F349" i="2"/>
  <c r="F348" i="2" s="1"/>
  <c r="I347" i="2"/>
  <c r="K346" i="2"/>
  <c r="M346" i="2" s="1"/>
  <c r="G346" i="2"/>
  <c r="F346" i="2"/>
  <c r="K344" i="2"/>
  <c r="H344" i="2"/>
  <c r="H343" i="2" s="1"/>
  <c r="G344" i="2"/>
  <c r="F344" i="2"/>
  <c r="I341" i="2"/>
  <c r="D341" i="2"/>
  <c r="K340" i="2"/>
  <c r="H340" i="2"/>
  <c r="H339" i="2" s="1"/>
  <c r="G340" i="2"/>
  <c r="G339" i="2" s="1"/>
  <c r="D340" i="2"/>
  <c r="D339" i="2" s="1"/>
  <c r="D338" i="2"/>
  <c r="K337" i="2"/>
  <c r="M337" i="2" s="1"/>
  <c r="G337" i="2"/>
  <c r="F337" i="2"/>
  <c r="I336" i="2"/>
  <c r="D336" i="2"/>
  <c r="D335" i="2" s="1"/>
  <c r="K335" i="2"/>
  <c r="G335" i="2"/>
  <c r="F335" i="2"/>
  <c r="D332" i="2"/>
  <c r="J332" i="2" s="1"/>
  <c r="K331" i="2"/>
  <c r="M331" i="2" s="1"/>
  <c r="I331" i="2"/>
  <c r="H331" i="2"/>
  <c r="H330" i="2" s="1"/>
  <c r="E331" i="2"/>
  <c r="E330" i="2" s="1"/>
  <c r="K330" i="2"/>
  <c r="M330" i="2" s="1"/>
  <c r="I329" i="2"/>
  <c r="J329" i="2" s="1"/>
  <c r="D329" i="2"/>
  <c r="D328" i="2" s="1"/>
  <c r="K328" i="2"/>
  <c r="M328" i="2" s="1"/>
  <c r="G328" i="2"/>
  <c r="E328" i="2"/>
  <c r="K326" i="2"/>
  <c r="G326" i="2"/>
  <c r="F326" i="2"/>
  <c r="E326" i="2"/>
  <c r="K314" i="2"/>
  <c r="H314" i="2"/>
  <c r="H35" i="2" s="1"/>
  <c r="G314" i="2"/>
  <c r="G35" i="2" s="1"/>
  <c r="F314" i="2"/>
  <c r="F35" i="2" s="1"/>
  <c r="E40" i="1" s="1"/>
  <c r="E314" i="2"/>
  <c r="K311" i="2"/>
  <c r="H311" i="2"/>
  <c r="H310" i="2" s="1"/>
  <c r="G311" i="2"/>
  <c r="G24" i="2" s="1"/>
  <c r="F25" i="1" s="1"/>
  <c r="F311" i="2"/>
  <c r="F310" i="2" s="1"/>
  <c r="E311" i="2"/>
  <c r="E24" i="2" s="1"/>
  <c r="D25" i="1" s="1"/>
  <c r="K309" i="2"/>
  <c r="H309" i="2"/>
  <c r="H308" i="2" s="1"/>
  <c r="G309" i="2"/>
  <c r="G308" i="2" s="1"/>
  <c r="F309" i="2"/>
  <c r="F308" i="2" s="1"/>
  <c r="E309" i="2"/>
  <c r="E308" i="2" s="1"/>
  <c r="D305" i="2"/>
  <c r="J305" i="2" s="1"/>
  <c r="F304" i="2"/>
  <c r="F303" i="2" s="1"/>
  <c r="E304" i="2"/>
  <c r="E303" i="2" s="1"/>
  <c r="D302" i="2"/>
  <c r="J302" i="2" s="1"/>
  <c r="H301" i="2"/>
  <c r="H300" i="2" s="1"/>
  <c r="G301" i="2"/>
  <c r="M301" i="2" s="1"/>
  <c r="F301" i="2"/>
  <c r="F300" i="2" s="1"/>
  <c r="E301" i="2"/>
  <c r="E300" i="2" s="1"/>
  <c r="I298" i="2"/>
  <c r="D298" i="2"/>
  <c r="D297" i="2" s="1"/>
  <c r="D296" i="2" s="1"/>
  <c r="K297" i="2"/>
  <c r="H297" i="2"/>
  <c r="H296" i="2" s="1"/>
  <c r="G297" i="2"/>
  <c r="F297" i="2"/>
  <c r="F295" i="2"/>
  <c r="F45" i="2" s="1"/>
  <c r="K294" i="2"/>
  <c r="H294" i="2"/>
  <c r="G294" i="2"/>
  <c r="K292" i="2"/>
  <c r="H292" i="2"/>
  <c r="G292" i="2"/>
  <c r="I289" i="2"/>
  <c r="D289" i="2"/>
  <c r="D288" i="2" s="1"/>
  <c r="D287" i="2" s="1"/>
  <c r="K288" i="2"/>
  <c r="H288" i="2"/>
  <c r="H287" i="2" s="1"/>
  <c r="G288" i="2"/>
  <c r="F288" i="2"/>
  <c r="I286" i="2"/>
  <c r="D286" i="2"/>
  <c r="D285" i="2" s="1"/>
  <c r="K285" i="2"/>
  <c r="H285" i="2"/>
  <c r="G285" i="2"/>
  <c r="F285" i="2"/>
  <c r="E285" i="2"/>
  <c r="I284" i="2"/>
  <c r="D284" i="2"/>
  <c r="D283" i="2" s="1"/>
  <c r="K283" i="2"/>
  <c r="H283" i="2"/>
  <c r="G283" i="2"/>
  <c r="F283" i="2"/>
  <c r="E283" i="2"/>
  <c r="I280" i="2"/>
  <c r="D280" i="2"/>
  <c r="D279" i="2" s="1"/>
  <c r="D278" i="2" s="1"/>
  <c r="K279" i="2"/>
  <c r="H279" i="2"/>
  <c r="H278" i="2" s="1"/>
  <c r="G279" i="2"/>
  <c r="F279" i="2"/>
  <c r="F278" i="2" s="1"/>
  <c r="E278" i="2"/>
  <c r="I277" i="2"/>
  <c r="I276" i="2" s="1"/>
  <c r="D277" i="2"/>
  <c r="K276" i="2"/>
  <c r="H276" i="2"/>
  <c r="G276" i="2"/>
  <c r="F276" i="2"/>
  <c r="E276" i="2"/>
  <c r="D276" i="2"/>
  <c r="I275" i="2"/>
  <c r="D275" i="2"/>
  <c r="D274" i="2" s="1"/>
  <c r="K274" i="2"/>
  <c r="H274" i="2"/>
  <c r="G274" i="2"/>
  <c r="F274" i="2"/>
  <c r="E274" i="2"/>
  <c r="I271" i="2"/>
  <c r="D271" i="2"/>
  <c r="D270" i="2" s="1"/>
  <c r="D269" i="2" s="1"/>
  <c r="K270" i="2"/>
  <c r="H270" i="2"/>
  <c r="H269" i="2" s="1"/>
  <c r="G270" i="2"/>
  <c r="M270" i="2" s="1"/>
  <c r="F270" i="2"/>
  <c r="G269" i="2"/>
  <c r="I268" i="2"/>
  <c r="D268" i="2"/>
  <c r="D267" i="2" s="1"/>
  <c r="H267" i="2"/>
  <c r="G267" i="2"/>
  <c r="M267" i="2" s="1"/>
  <c r="F267" i="2"/>
  <c r="F264" i="2" s="1"/>
  <c r="E267" i="2"/>
  <c r="I266" i="2"/>
  <c r="D266" i="2"/>
  <c r="D265" i="2" s="1"/>
  <c r="K265" i="2"/>
  <c r="H265" i="2"/>
  <c r="G265" i="2"/>
  <c r="E265" i="2"/>
  <c r="I262" i="2"/>
  <c r="D262" i="2"/>
  <c r="D261" i="2" s="1"/>
  <c r="D260" i="2" s="1"/>
  <c r="K261" i="2"/>
  <c r="M261" i="2" s="1"/>
  <c r="H261" i="2"/>
  <c r="H260" i="2" s="1"/>
  <c r="I259" i="2"/>
  <c r="D259" i="2"/>
  <c r="D258" i="2" s="1"/>
  <c r="K258" i="2"/>
  <c r="H258" i="2"/>
  <c r="G258" i="2"/>
  <c r="E258" i="2"/>
  <c r="I257" i="2"/>
  <c r="D257" i="2"/>
  <c r="D256" i="2" s="1"/>
  <c r="K256" i="2"/>
  <c r="H256" i="2"/>
  <c r="G256" i="2"/>
  <c r="E256" i="2"/>
  <c r="D253" i="2"/>
  <c r="J253" i="2" s="1"/>
  <c r="H252" i="2"/>
  <c r="H249" i="2" s="1"/>
  <c r="D247" i="2"/>
  <c r="K247" i="2"/>
  <c r="H247" i="2"/>
  <c r="G247" i="2"/>
  <c r="E247" i="2"/>
  <c r="I246" i="2"/>
  <c r="D245" i="2"/>
  <c r="K245" i="2"/>
  <c r="H245" i="2"/>
  <c r="G245" i="2"/>
  <c r="E245" i="2"/>
  <c r="I242" i="2"/>
  <c r="D242" i="2"/>
  <c r="D241" i="2" s="1"/>
  <c r="K241" i="2"/>
  <c r="H241" i="2"/>
  <c r="G241" i="2"/>
  <c r="D240" i="2"/>
  <c r="K239" i="2"/>
  <c r="H239" i="2"/>
  <c r="G239" i="2"/>
  <c r="I237" i="2"/>
  <c r="D237" i="2"/>
  <c r="D236" i="2" s="1"/>
  <c r="K236" i="2"/>
  <c r="H236" i="2"/>
  <c r="G236" i="2"/>
  <c r="E236" i="2"/>
  <c r="I235" i="2"/>
  <c r="D235" i="2"/>
  <c r="I234" i="2"/>
  <c r="D234" i="2"/>
  <c r="K233" i="2"/>
  <c r="H233" i="2"/>
  <c r="H232" i="2" s="1"/>
  <c r="G233" i="2"/>
  <c r="G232" i="2" s="1"/>
  <c r="E233" i="2"/>
  <c r="D230" i="2"/>
  <c r="J230" i="2" s="1"/>
  <c r="K229" i="2"/>
  <c r="M229" i="2" s="1"/>
  <c r="H229" i="2"/>
  <c r="H228" i="2" s="1"/>
  <c r="E229" i="2"/>
  <c r="E228" i="2" s="1"/>
  <c r="I227" i="2"/>
  <c r="D227" i="2"/>
  <c r="D226" i="2" s="1"/>
  <c r="K226" i="2"/>
  <c r="H226" i="2"/>
  <c r="G226" i="2"/>
  <c r="D225" i="2"/>
  <c r="D224" i="2" s="1"/>
  <c r="K224" i="2"/>
  <c r="H224" i="2"/>
  <c r="G224" i="2"/>
  <c r="I221" i="2"/>
  <c r="D221" i="2"/>
  <c r="D220" i="2" s="1"/>
  <c r="K220" i="2"/>
  <c r="H220" i="2"/>
  <c r="G220" i="2"/>
  <c r="G217" i="2" s="1"/>
  <c r="E220" i="2"/>
  <c r="E217" i="2" s="1"/>
  <c r="I219" i="2"/>
  <c r="D219" i="2"/>
  <c r="D218" i="2" s="1"/>
  <c r="K218" i="2"/>
  <c r="M218" i="2" s="1"/>
  <c r="H218" i="2"/>
  <c r="F218" i="2"/>
  <c r="F217" i="2" s="1"/>
  <c r="K215" i="2"/>
  <c r="H215" i="2"/>
  <c r="G215" i="2"/>
  <c r="F215" i="2"/>
  <c r="E215" i="2"/>
  <c r="I214" i="2"/>
  <c r="D214" i="2"/>
  <c r="I213" i="2"/>
  <c r="K212" i="2"/>
  <c r="H212" i="2"/>
  <c r="H211" i="2" s="1"/>
  <c r="G212" i="2"/>
  <c r="G211" i="2" s="1"/>
  <c r="F212" i="2"/>
  <c r="F211" i="2" s="1"/>
  <c r="E212" i="2"/>
  <c r="E211" i="2" s="1"/>
  <c r="D209" i="2"/>
  <c r="K208" i="2"/>
  <c r="H208" i="2"/>
  <c r="H207" i="2" s="1"/>
  <c r="G208" i="2"/>
  <c r="E208" i="2"/>
  <c r="E207" i="2" s="1"/>
  <c r="I206" i="2"/>
  <c r="D206" i="2"/>
  <c r="D205" i="2" s="1"/>
  <c r="K205" i="2"/>
  <c r="H205" i="2"/>
  <c r="G205" i="2"/>
  <c r="E205" i="2"/>
  <c r="I204" i="2"/>
  <c r="D204" i="2"/>
  <c r="K203" i="2"/>
  <c r="H203" i="2"/>
  <c r="G203" i="2"/>
  <c r="E203" i="2"/>
  <c r="I200" i="2"/>
  <c r="D200" i="2"/>
  <c r="D199" i="2" s="1"/>
  <c r="K199" i="2"/>
  <c r="H199" i="2"/>
  <c r="G199" i="2"/>
  <c r="I198" i="2"/>
  <c r="D198" i="2"/>
  <c r="D197" i="2" s="1"/>
  <c r="K197" i="2"/>
  <c r="H197" i="2"/>
  <c r="G197" i="2"/>
  <c r="K194" i="2"/>
  <c r="H194" i="2"/>
  <c r="G194" i="2"/>
  <c r="I193" i="2"/>
  <c r="D193" i="2"/>
  <c r="I192" i="2"/>
  <c r="K191" i="2"/>
  <c r="H191" i="2"/>
  <c r="G191" i="2"/>
  <c r="E191" i="2"/>
  <c r="I188" i="2"/>
  <c r="D188" i="2"/>
  <c r="D187" i="2" s="1"/>
  <c r="K187" i="2"/>
  <c r="H187" i="2"/>
  <c r="G187" i="2"/>
  <c r="E187" i="2"/>
  <c r="E186" i="2"/>
  <c r="E48" i="2" s="1"/>
  <c r="K185" i="2"/>
  <c r="H185" i="2"/>
  <c r="G185" i="2"/>
  <c r="I183" i="2"/>
  <c r="K182" i="2"/>
  <c r="H182" i="2"/>
  <c r="G182" i="2"/>
  <c r="E182" i="2"/>
  <c r="E181" i="2"/>
  <c r="E41" i="2" s="1"/>
  <c r="K179" i="2"/>
  <c r="H179" i="2"/>
  <c r="G179" i="2"/>
  <c r="I176" i="2"/>
  <c r="D176" i="2"/>
  <c r="K175" i="2"/>
  <c r="H175" i="2"/>
  <c r="G175" i="2"/>
  <c r="F175" i="2"/>
  <c r="E175" i="2"/>
  <c r="D175" i="2"/>
  <c r="I174" i="2"/>
  <c r="D174" i="2"/>
  <c r="K173" i="2"/>
  <c r="H173" i="2"/>
  <c r="G173" i="2"/>
  <c r="F173" i="2"/>
  <c r="E173" i="2"/>
  <c r="H172" i="2"/>
  <c r="I171" i="2"/>
  <c r="K170" i="2"/>
  <c r="H170" i="2"/>
  <c r="G170" i="2"/>
  <c r="F170" i="2"/>
  <c r="E170" i="2"/>
  <c r="I169" i="2"/>
  <c r="D169" i="2"/>
  <c r="K167" i="2"/>
  <c r="H167" i="2"/>
  <c r="G167" i="2"/>
  <c r="F167" i="2"/>
  <c r="I164" i="2"/>
  <c r="D164" i="2"/>
  <c r="K163" i="2"/>
  <c r="H163" i="2"/>
  <c r="G163" i="2"/>
  <c r="H162" i="2"/>
  <c r="I161" i="2"/>
  <c r="K160" i="2"/>
  <c r="H160" i="2"/>
  <c r="G160" i="2"/>
  <c r="K158" i="2"/>
  <c r="H158" i="2"/>
  <c r="G158" i="2"/>
  <c r="I155" i="2"/>
  <c r="D155" i="2"/>
  <c r="D154" i="2" s="1"/>
  <c r="K154" i="2"/>
  <c r="H154" i="2"/>
  <c r="G154" i="2"/>
  <c r="E154" i="2"/>
  <c r="I153" i="2"/>
  <c r="D153" i="2"/>
  <c r="D152" i="2" s="1"/>
  <c r="I152" i="2"/>
  <c r="H152" i="2"/>
  <c r="G152" i="2"/>
  <c r="M152" i="2" s="1"/>
  <c r="E152" i="2"/>
  <c r="I150" i="2"/>
  <c r="D150" i="2"/>
  <c r="D149" i="2" s="1"/>
  <c r="K149" i="2"/>
  <c r="G149" i="2"/>
  <c r="E149" i="2"/>
  <c r="I148" i="2"/>
  <c r="D148" i="2"/>
  <c r="I147" i="2"/>
  <c r="D147" i="2"/>
  <c r="K146" i="2"/>
  <c r="G146" i="2"/>
  <c r="E146" i="2"/>
  <c r="I143" i="2"/>
  <c r="D143" i="2"/>
  <c r="I142" i="2"/>
  <c r="D142" i="2"/>
  <c r="K141" i="2"/>
  <c r="H141" i="2"/>
  <c r="G141" i="2"/>
  <c r="I140" i="2"/>
  <c r="D140" i="2"/>
  <c r="D139" i="2" s="1"/>
  <c r="K139" i="2"/>
  <c r="H139" i="2"/>
  <c r="G139" i="2"/>
  <c r="I137" i="2"/>
  <c r="D137" i="2"/>
  <c r="I136" i="2"/>
  <c r="D136" i="2"/>
  <c r="K135" i="2"/>
  <c r="H135" i="2"/>
  <c r="G135" i="2"/>
  <c r="E135" i="2"/>
  <c r="D134" i="2"/>
  <c r="I133" i="2"/>
  <c r="H132" i="2"/>
  <c r="G132" i="2"/>
  <c r="E132" i="2"/>
  <c r="I129" i="2"/>
  <c r="D129" i="2"/>
  <c r="I128" i="2"/>
  <c r="D128" i="2"/>
  <c r="K127" i="2"/>
  <c r="H127" i="2"/>
  <c r="G127" i="2"/>
  <c r="I126" i="2"/>
  <c r="D126" i="2"/>
  <c r="I125" i="2"/>
  <c r="D125" i="2"/>
  <c r="K124" i="2"/>
  <c r="H124" i="2"/>
  <c r="G124" i="2"/>
  <c r="I122" i="2"/>
  <c r="I121" i="2"/>
  <c r="D121" i="2"/>
  <c r="K120" i="2"/>
  <c r="H120" i="2"/>
  <c r="G120" i="2"/>
  <c r="E120" i="2"/>
  <c r="D119" i="2"/>
  <c r="D118" i="2"/>
  <c r="J118" i="2" s="1"/>
  <c r="I117" i="2"/>
  <c r="D117" i="2"/>
  <c r="H116" i="2"/>
  <c r="G116" i="2"/>
  <c r="E116" i="2"/>
  <c r="I113" i="2"/>
  <c r="D113" i="2"/>
  <c r="I112" i="2"/>
  <c r="D112" i="2"/>
  <c r="K111" i="2"/>
  <c r="H111" i="2"/>
  <c r="G111" i="2"/>
  <c r="I110" i="2"/>
  <c r="D110" i="2"/>
  <c r="D109" i="2"/>
  <c r="H108" i="2"/>
  <c r="G108" i="2"/>
  <c r="I105" i="2"/>
  <c r="D105" i="2"/>
  <c r="K104" i="2"/>
  <c r="H104" i="2"/>
  <c r="G104" i="2"/>
  <c r="E104" i="2"/>
  <c r="D103" i="2"/>
  <c r="I102" i="2"/>
  <c r="D102" i="2"/>
  <c r="H100" i="2"/>
  <c r="G100" i="2"/>
  <c r="I97" i="2"/>
  <c r="D97" i="2"/>
  <c r="I96" i="2"/>
  <c r="D96" i="2"/>
  <c r="K95" i="2"/>
  <c r="H95" i="2"/>
  <c r="G95" i="2"/>
  <c r="I94" i="2"/>
  <c r="D94" i="2"/>
  <c r="D93" i="2" s="1"/>
  <c r="K93" i="2"/>
  <c r="H93" i="2"/>
  <c r="G93" i="2"/>
  <c r="E93" i="2"/>
  <c r="E92" i="2" s="1"/>
  <c r="I90" i="2"/>
  <c r="D90" i="2"/>
  <c r="K89" i="2"/>
  <c r="H89" i="2"/>
  <c r="G89" i="2"/>
  <c r="E89" i="2"/>
  <c r="I87" i="2"/>
  <c r="D87" i="2"/>
  <c r="H86" i="2"/>
  <c r="G86" i="2"/>
  <c r="E86" i="2"/>
  <c r="I83" i="2"/>
  <c r="D83" i="2"/>
  <c r="I82" i="2"/>
  <c r="D82" i="2"/>
  <c r="K81" i="2"/>
  <c r="H81" i="2"/>
  <c r="G81" i="2"/>
  <c r="I80" i="2"/>
  <c r="D80" i="2"/>
  <c r="D79" i="2"/>
  <c r="J79" i="2" s="1"/>
  <c r="K78" i="2"/>
  <c r="H78" i="2"/>
  <c r="G78" i="2"/>
  <c r="I75" i="2"/>
  <c r="D75" i="2"/>
  <c r="H74" i="2"/>
  <c r="G74" i="2"/>
  <c r="I72" i="2"/>
  <c r="D72" i="2"/>
  <c r="I71" i="2"/>
  <c r="D71" i="2"/>
  <c r="H70" i="2"/>
  <c r="H69" i="2" s="1"/>
  <c r="G70" i="2"/>
  <c r="I67" i="2"/>
  <c r="D67" i="2"/>
  <c r="K65" i="2"/>
  <c r="H65" i="2"/>
  <c r="G65" i="2"/>
  <c r="D64" i="2"/>
  <c r="K63" i="2"/>
  <c r="H63" i="2"/>
  <c r="G63" i="2"/>
  <c r="D61" i="2"/>
  <c r="J61" i="2" s="1"/>
  <c r="K59" i="2"/>
  <c r="H59" i="2"/>
  <c r="G59" i="2"/>
  <c r="D57" i="2"/>
  <c r="J57" i="2" s="1"/>
  <c r="K56" i="2"/>
  <c r="H56" i="2"/>
  <c r="G56" i="2"/>
  <c r="K52" i="2"/>
  <c r="H52" i="2"/>
  <c r="H51" i="2" s="1"/>
  <c r="G52" i="2"/>
  <c r="F52" i="2"/>
  <c r="F51" i="2" s="1"/>
  <c r="E52" i="2"/>
  <c r="E51" i="2" s="1"/>
  <c r="K49" i="2"/>
  <c r="H49" i="2"/>
  <c r="G49" i="2"/>
  <c r="G47" i="2" s="1"/>
  <c r="F49" i="2"/>
  <c r="E35" i="1" s="1"/>
  <c r="E49" i="2"/>
  <c r="D35" i="1" s="1"/>
  <c r="H29" i="2"/>
  <c r="G32" i="1" s="1"/>
  <c r="K44" i="2"/>
  <c r="H44" i="2"/>
  <c r="G44" i="2"/>
  <c r="F44" i="2"/>
  <c r="E44" i="2"/>
  <c r="H43" i="2"/>
  <c r="H42" i="2"/>
  <c r="G21" i="1" s="1"/>
  <c r="G42" i="2"/>
  <c r="F42" i="2"/>
  <c r="E21" i="1" s="1"/>
  <c r="G18" i="2"/>
  <c r="F19" i="1" s="1"/>
  <c r="F18" i="2"/>
  <c r="E19" i="1" s="1"/>
  <c r="F16" i="2"/>
  <c r="E16" i="1" s="1"/>
  <c r="H36" i="2"/>
  <c r="G41" i="1" s="1"/>
  <c r="F36" i="2"/>
  <c r="J39" i="1"/>
  <c r="J26" i="1"/>
  <c r="L26" i="1" s="1"/>
  <c r="M117" i="8" l="1"/>
  <c r="L117" i="8"/>
  <c r="M109" i="8"/>
  <c r="L109" i="8"/>
  <c r="K19" i="6"/>
  <c r="M19" i="6" s="1"/>
  <c r="M108" i="6"/>
  <c r="L65" i="1" s="1"/>
  <c r="J65" i="1"/>
  <c r="J94" i="1" s="1"/>
  <c r="D19" i="4"/>
  <c r="I23" i="4"/>
  <c r="M59" i="4"/>
  <c r="F22" i="4"/>
  <c r="I14" i="3"/>
  <c r="M164" i="3"/>
  <c r="M53" i="3"/>
  <c r="M62" i="3"/>
  <c r="M65" i="3"/>
  <c r="M68" i="3"/>
  <c r="M80" i="3"/>
  <c r="M82" i="3"/>
  <c r="M134" i="3"/>
  <c r="M137" i="3"/>
  <c r="M142" i="3"/>
  <c r="M158" i="3"/>
  <c r="M173" i="3"/>
  <c r="M31" i="3"/>
  <c r="M50" i="3"/>
  <c r="M56" i="3"/>
  <c r="M58" i="3"/>
  <c r="M70" i="3"/>
  <c r="M77" i="3"/>
  <c r="M130" i="3"/>
  <c r="M140" i="3"/>
  <c r="M161" i="3"/>
  <c r="M178" i="3"/>
  <c r="M185" i="3"/>
  <c r="M190" i="3"/>
  <c r="M146" i="2"/>
  <c r="M49" i="2"/>
  <c r="M56" i="2"/>
  <c r="M59" i="2"/>
  <c r="M63" i="2"/>
  <c r="M65" i="2"/>
  <c r="M89" i="2"/>
  <c r="M93" i="2"/>
  <c r="M104" i="2"/>
  <c r="M111" i="2"/>
  <c r="M127" i="2"/>
  <c r="M139" i="2"/>
  <c r="M158" i="2"/>
  <c r="M167" i="2"/>
  <c r="M173" i="2"/>
  <c r="M175" i="2"/>
  <c r="M182" i="2"/>
  <c r="M185" i="2"/>
  <c r="M197" i="2"/>
  <c r="M220" i="2"/>
  <c r="M239" i="2"/>
  <c r="M241" i="2"/>
  <c r="M245" i="2"/>
  <c r="M247" i="2"/>
  <c r="M285" i="2"/>
  <c r="M294" i="2"/>
  <c r="M309" i="2"/>
  <c r="M311" i="2"/>
  <c r="G40" i="1"/>
  <c r="H33" i="2"/>
  <c r="M368" i="2"/>
  <c r="K366" i="2"/>
  <c r="M366" i="2" s="1"/>
  <c r="I375" i="2"/>
  <c r="I373" i="2" s="1"/>
  <c r="I389" i="2"/>
  <c r="M441" i="2"/>
  <c r="M444" i="2"/>
  <c r="M449" i="2"/>
  <c r="M469" i="2"/>
  <c r="M453" i="2"/>
  <c r="M457" i="2"/>
  <c r="M461" i="2"/>
  <c r="M78" i="2"/>
  <c r="M81" i="2"/>
  <c r="M95" i="2"/>
  <c r="M120" i="2"/>
  <c r="M124" i="2"/>
  <c r="M135" i="2"/>
  <c r="M141" i="2"/>
  <c r="M149" i="2"/>
  <c r="M154" i="2"/>
  <c r="M160" i="2"/>
  <c r="D163" i="2"/>
  <c r="D53" i="2"/>
  <c r="M170" i="2"/>
  <c r="M179" i="2"/>
  <c r="M187" i="2"/>
  <c r="M191" i="2"/>
  <c r="M194" i="2"/>
  <c r="M199" i="2"/>
  <c r="M203" i="2"/>
  <c r="M205" i="2"/>
  <c r="M212" i="2"/>
  <c r="M215" i="2"/>
  <c r="M224" i="2"/>
  <c r="M226" i="2"/>
  <c r="M233" i="2"/>
  <c r="M236" i="2"/>
  <c r="M256" i="2"/>
  <c r="M258" i="2"/>
  <c r="M265" i="2"/>
  <c r="M274" i="2"/>
  <c r="M276" i="2"/>
  <c r="M283" i="2"/>
  <c r="M292" i="2"/>
  <c r="G310" i="2"/>
  <c r="F40" i="1"/>
  <c r="M314" i="2"/>
  <c r="M326" i="2"/>
  <c r="M335" i="2"/>
  <c r="M340" i="2"/>
  <c r="I314" i="2"/>
  <c r="M344" i="2"/>
  <c r="I352" i="2"/>
  <c r="M386" i="2"/>
  <c r="K385" i="2"/>
  <c r="D389" i="2"/>
  <c r="D375" i="2"/>
  <c r="D373" i="2" s="1"/>
  <c r="M427" i="2"/>
  <c r="M437" i="2"/>
  <c r="M445" i="2"/>
  <c r="M473" i="2"/>
  <c r="M465" i="2"/>
  <c r="E64" i="1"/>
  <c r="E93" i="1" s="1"/>
  <c r="E95" i="1"/>
  <c r="E80" i="1"/>
  <c r="D90" i="1"/>
  <c r="D96" i="1" s="1"/>
  <c r="D99" i="1" s="1"/>
  <c r="F90" i="1"/>
  <c r="F96" i="1" s="1"/>
  <c r="F99" i="1" s="1"/>
  <c r="D80" i="1"/>
  <c r="F80" i="1"/>
  <c r="E90" i="1"/>
  <c r="E96" i="1" s="1"/>
  <c r="E99" i="1" s="1"/>
  <c r="L39" i="1"/>
  <c r="G37" i="1"/>
  <c r="M9" i="7"/>
  <c r="M375" i="2"/>
  <c r="K373" i="2"/>
  <c r="M373" i="2" s="1"/>
  <c r="J387" i="2"/>
  <c r="G207" i="2"/>
  <c r="M208" i="2"/>
  <c r="G287" i="2"/>
  <c r="M288" i="2"/>
  <c r="G296" i="2"/>
  <c r="M297" i="2"/>
  <c r="M363" i="2"/>
  <c r="M364" i="2"/>
  <c r="F30" i="1"/>
  <c r="M371" i="2"/>
  <c r="G162" i="2"/>
  <c r="M163" i="2"/>
  <c r="G278" i="2"/>
  <c r="M279" i="2"/>
  <c r="M365" i="2"/>
  <c r="M17" i="4"/>
  <c r="M18" i="4"/>
  <c r="M10" i="5"/>
  <c r="I53" i="2"/>
  <c r="M51" i="9"/>
  <c r="L53" i="9"/>
  <c r="M53" i="9"/>
  <c r="L54" i="9"/>
  <c r="M54" i="9"/>
  <c r="M58" i="9"/>
  <c r="M256" i="8"/>
  <c r="L256" i="8"/>
  <c r="M252" i="8"/>
  <c r="L252" i="8"/>
  <c r="M253" i="8"/>
  <c r="L253" i="8"/>
  <c r="J31" i="1"/>
  <c r="L44" i="8"/>
  <c r="M44" i="8"/>
  <c r="M20" i="10"/>
  <c r="K11" i="10"/>
  <c r="M23" i="10"/>
  <c r="M24" i="10"/>
  <c r="M26" i="10"/>
  <c r="K28" i="10"/>
  <c r="M28" i="10" s="1"/>
  <c r="M29" i="10"/>
  <c r="J62" i="4"/>
  <c r="M29" i="4"/>
  <c r="M32" i="4"/>
  <c r="M35" i="4"/>
  <c r="M60" i="4"/>
  <c r="M23" i="4"/>
  <c r="M24" i="4"/>
  <c r="M34" i="4"/>
  <c r="M52" i="4"/>
  <c r="J49" i="4"/>
  <c r="J462" i="2"/>
  <c r="J458" i="2"/>
  <c r="G313" i="2"/>
  <c r="G312" i="2" s="1"/>
  <c r="J82" i="2"/>
  <c r="J102" i="2"/>
  <c r="J137" i="2"/>
  <c r="J142" i="2"/>
  <c r="J30" i="10"/>
  <c r="L18" i="10"/>
  <c r="J16" i="10"/>
  <c r="J200" i="2"/>
  <c r="F29" i="2"/>
  <c r="E32" i="1" s="1"/>
  <c r="F47" i="2"/>
  <c r="J176" i="2"/>
  <c r="D173" i="2"/>
  <c r="G35" i="1"/>
  <c r="H47" i="2"/>
  <c r="J129" i="2"/>
  <c r="J87" i="2"/>
  <c r="J67" i="2"/>
  <c r="M34" i="3"/>
  <c r="E89" i="1"/>
  <c r="E98" i="1" s="1"/>
  <c r="J52" i="3"/>
  <c r="J54" i="3"/>
  <c r="F55" i="3"/>
  <c r="E169" i="3"/>
  <c r="J234" i="2"/>
  <c r="J237" i="2"/>
  <c r="E416" i="2"/>
  <c r="G64" i="1"/>
  <c r="G93" i="1" s="1"/>
  <c r="L52" i="2"/>
  <c r="J352" i="2"/>
  <c r="J227" i="2"/>
  <c r="F35" i="1"/>
  <c r="L49" i="2"/>
  <c r="H20" i="2"/>
  <c r="M44" i="2"/>
  <c r="M52" i="2"/>
  <c r="L261" i="2"/>
  <c r="F33" i="2"/>
  <c r="E41" i="1"/>
  <c r="G20" i="2"/>
  <c r="F21" i="1"/>
  <c r="J71" i="2"/>
  <c r="J80" i="2"/>
  <c r="J97" i="2"/>
  <c r="J105" i="2"/>
  <c r="J113" i="2"/>
  <c r="J121" i="2"/>
  <c r="J140" i="2"/>
  <c r="J164" i="2"/>
  <c r="J188" i="2"/>
  <c r="J193" i="2"/>
  <c r="J198" i="2"/>
  <c r="J219" i="2"/>
  <c r="L229" i="2"/>
  <c r="F11" i="10"/>
  <c r="K278" i="2"/>
  <c r="L378" i="2"/>
  <c r="J391" i="2"/>
  <c r="K472" i="2"/>
  <c r="M472" i="2" s="1"/>
  <c r="J466" i="2"/>
  <c r="J31" i="3"/>
  <c r="J57" i="3"/>
  <c r="L152" i="3"/>
  <c r="M152" i="3"/>
  <c r="L154" i="3"/>
  <c r="L170" i="3"/>
  <c r="M170" i="3"/>
  <c r="G89" i="1"/>
  <c r="G98" i="1" s="1"/>
  <c r="I115" i="6"/>
  <c r="J115" i="6" s="1"/>
  <c r="M115" i="6"/>
  <c r="M122" i="6"/>
  <c r="I122" i="6"/>
  <c r="I127" i="6"/>
  <c r="I100" i="6"/>
  <c r="M100" i="6"/>
  <c r="D23" i="10"/>
  <c r="D12" i="10" s="1"/>
  <c r="H23" i="10"/>
  <c r="H12" i="10" s="1"/>
  <c r="M36" i="6"/>
  <c r="I36" i="6"/>
  <c r="M52" i="6"/>
  <c r="I52" i="6"/>
  <c r="J52" i="6" s="1"/>
  <c r="J13" i="5"/>
  <c r="I63" i="6"/>
  <c r="J63" i="6" s="1"/>
  <c r="M63" i="6"/>
  <c r="L267" i="2"/>
  <c r="D282" i="2"/>
  <c r="K287" i="2"/>
  <c r="K308" i="2"/>
  <c r="M308" i="2" s="1"/>
  <c r="L330" i="2"/>
  <c r="L331" i="2"/>
  <c r="L349" i="2"/>
  <c r="K28" i="2"/>
  <c r="M28" i="2" s="1"/>
  <c r="K436" i="2"/>
  <c r="K456" i="2"/>
  <c r="M456" i="2" s="1"/>
  <c r="L146" i="3"/>
  <c r="L149" i="3"/>
  <c r="L80" i="3"/>
  <c r="L82" i="3"/>
  <c r="L128" i="3"/>
  <c r="G169" i="3"/>
  <c r="L176" i="3"/>
  <c r="M176" i="3"/>
  <c r="L178" i="3"/>
  <c r="L182" i="3"/>
  <c r="M182" i="3"/>
  <c r="J186" i="3"/>
  <c r="L188" i="3"/>
  <c r="M188" i="3"/>
  <c r="L190" i="3"/>
  <c r="F89" i="1"/>
  <c r="F98" i="1" s="1"/>
  <c r="F51" i="4"/>
  <c r="K118" i="6"/>
  <c r="I119" i="6"/>
  <c r="M119" i="6"/>
  <c r="M123" i="6"/>
  <c r="I123" i="6"/>
  <c r="I131" i="6"/>
  <c r="M131" i="6"/>
  <c r="L69" i="1"/>
  <c r="L11" i="10"/>
  <c r="L12" i="10"/>
  <c r="L16" i="10"/>
  <c r="J18" i="10"/>
  <c r="L19" i="10"/>
  <c r="L20" i="10"/>
  <c r="L21" i="10"/>
  <c r="J25" i="10"/>
  <c r="J27" i="10"/>
  <c r="I41" i="6"/>
  <c r="J41" i="6" s="1"/>
  <c r="M41" i="6"/>
  <c r="I58" i="6"/>
  <c r="J58" i="6" s="1"/>
  <c r="M58" i="6"/>
  <c r="M76" i="6"/>
  <c r="I76" i="6"/>
  <c r="M47" i="6"/>
  <c r="I47" i="6"/>
  <c r="H23" i="1"/>
  <c r="J140" i="8"/>
  <c r="J240" i="8"/>
  <c r="K72" i="1"/>
  <c r="K151" i="8"/>
  <c r="M151" i="8" s="1"/>
  <c r="I152" i="8"/>
  <c r="M72" i="6"/>
  <c r="I72" i="6"/>
  <c r="M79" i="6"/>
  <c r="I79" i="6"/>
  <c r="M33" i="6"/>
  <c r="I33" i="6"/>
  <c r="M31" i="6"/>
  <c r="I31" i="6"/>
  <c r="I88" i="6"/>
  <c r="I83" i="6"/>
  <c r="I110" i="6"/>
  <c r="I108" i="6"/>
  <c r="H65" i="1" s="1"/>
  <c r="H94" i="1" s="1"/>
  <c r="I94" i="1" s="1"/>
  <c r="L28" i="10"/>
  <c r="I29" i="10"/>
  <c r="L29" i="10"/>
  <c r="L26" i="10"/>
  <c r="L23" i="10"/>
  <c r="L24" i="10"/>
  <c r="L142" i="3"/>
  <c r="L130" i="3"/>
  <c r="L137" i="3"/>
  <c r="L134" i="3"/>
  <c r="L125" i="3"/>
  <c r="L122" i="3"/>
  <c r="K64" i="9"/>
  <c r="L62" i="3"/>
  <c r="L65" i="3"/>
  <c r="L68" i="3"/>
  <c r="L70" i="3"/>
  <c r="L56" i="3"/>
  <c r="L58" i="3"/>
  <c r="J59" i="3"/>
  <c r="M95" i="6"/>
  <c r="I95" i="6"/>
  <c r="M97" i="6"/>
  <c r="I97" i="6"/>
  <c r="M69" i="6"/>
  <c r="I69" i="6"/>
  <c r="M28" i="6"/>
  <c r="I28" i="6"/>
  <c r="M26" i="6"/>
  <c r="I26" i="6"/>
  <c r="L185" i="3"/>
  <c r="L173" i="3"/>
  <c r="D190" i="3"/>
  <c r="D187" i="3" s="1"/>
  <c r="J191" i="3"/>
  <c r="D178" i="3"/>
  <c r="J179" i="3"/>
  <c r="D173" i="3"/>
  <c r="J174" i="3"/>
  <c r="L166" i="3"/>
  <c r="L164" i="3"/>
  <c r="L161" i="3"/>
  <c r="L158" i="3"/>
  <c r="J454" i="2"/>
  <c r="J268" i="2"/>
  <c r="L365" i="2"/>
  <c r="J428" i="2"/>
  <c r="J433" i="2"/>
  <c r="L10" i="5"/>
  <c r="D11" i="10"/>
  <c r="H11" i="10"/>
  <c r="K17" i="10"/>
  <c r="I26" i="10"/>
  <c r="J26" i="10" s="1"/>
  <c r="K15" i="10"/>
  <c r="I17" i="10"/>
  <c r="J17" i="10" s="1"/>
  <c r="L59" i="4"/>
  <c r="L60" i="4"/>
  <c r="J44" i="4"/>
  <c r="J33" i="4"/>
  <c r="L32" i="4"/>
  <c r="L29" i="4"/>
  <c r="I32" i="4"/>
  <c r="L34" i="4"/>
  <c r="L52" i="4"/>
  <c r="J53" i="4"/>
  <c r="J54" i="4"/>
  <c r="J55" i="4"/>
  <c r="J56" i="4"/>
  <c r="L18" i="4"/>
  <c r="L24" i="4"/>
  <c r="L35" i="4"/>
  <c r="K28" i="4"/>
  <c r="I48" i="4"/>
  <c r="J74" i="1"/>
  <c r="J81" i="1"/>
  <c r="L81" i="1" s="1"/>
  <c r="J82" i="1"/>
  <c r="L82" i="1" s="1"/>
  <c r="I35" i="4"/>
  <c r="H38" i="4"/>
  <c r="K51" i="4"/>
  <c r="M51" i="4" s="1"/>
  <c r="D56" i="3"/>
  <c r="L16" i="9"/>
  <c r="L24" i="9"/>
  <c r="L26" i="9"/>
  <c r="L42" i="9"/>
  <c r="L44" i="9"/>
  <c r="L47" i="9"/>
  <c r="L51" i="9"/>
  <c r="L58" i="9"/>
  <c r="L61" i="9"/>
  <c r="L64" i="9"/>
  <c r="K28" i="9"/>
  <c r="M28" i="9" s="1"/>
  <c r="L29" i="9"/>
  <c r="K41" i="9"/>
  <c r="M41" i="9" s="1"/>
  <c r="K50" i="9"/>
  <c r="K57" i="9"/>
  <c r="L65" i="9"/>
  <c r="L68" i="9"/>
  <c r="K20" i="9"/>
  <c r="M20" i="9" s="1"/>
  <c r="L21" i="9"/>
  <c r="J27" i="9"/>
  <c r="I15" i="9"/>
  <c r="K213" i="8"/>
  <c r="M213" i="8" s="1"/>
  <c r="J152" i="8"/>
  <c r="L15" i="8"/>
  <c r="L20" i="8"/>
  <c r="L25" i="8"/>
  <c r="L30" i="8"/>
  <c r="L41" i="8"/>
  <c r="L49" i="8"/>
  <c r="L52" i="8"/>
  <c r="L55" i="8"/>
  <c r="K61" i="8"/>
  <c r="M61" i="8" s="1"/>
  <c r="L79" i="8"/>
  <c r="L110" i="8"/>
  <c r="L112" i="8"/>
  <c r="L152" i="8"/>
  <c r="L195" i="8"/>
  <c r="L199" i="8"/>
  <c r="L224" i="8"/>
  <c r="L234" i="8"/>
  <c r="L244" i="8"/>
  <c r="L14" i="8"/>
  <c r="L17" i="8"/>
  <c r="L21" i="8"/>
  <c r="L22" i="8"/>
  <c r="L26" i="8"/>
  <c r="L27" i="8"/>
  <c r="L31" i="8"/>
  <c r="L38" i="8"/>
  <c r="L115" i="8"/>
  <c r="L123" i="8"/>
  <c r="L134" i="8"/>
  <c r="L138" i="8"/>
  <c r="L141" i="8"/>
  <c r="L202" i="8"/>
  <c r="L248" i="8"/>
  <c r="K48" i="8"/>
  <c r="M48" i="8" s="1"/>
  <c r="K93" i="8"/>
  <c r="M93" i="8" s="1"/>
  <c r="I145" i="8"/>
  <c r="J145" i="8" s="1"/>
  <c r="K34" i="8"/>
  <c r="M34" i="8" s="1"/>
  <c r="L35" i="8"/>
  <c r="I15" i="8"/>
  <c r="J51" i="8"/>
  <c r="J69" i="8"/>
  <c r="J72" i="8"/>
  <c r="J89" i="8"/>
  <c r="J100" i="8"/>
  <c r="I125" i="8"/>
  <c r="J125" i="8" s="1"/>
  <c r="J126" i="8"/>
  <c r="J135" i="8"/>
  <c r="K145" i="8"/>
  <c r="M145" i="8" s="1"/>
  <c r="L146" i="8"/>
  <c r="K191" i="8"/>
  <c r="M191" i="8" s="1"/>
  <c r="L192" i="8"/>
  <c r="H76" i="1"/>
  <c r="I76" i="1" s="1"/>
  <c r="J236" i="8"/>
  <c r="J254" i="8"/>
  <c r="K54" i="8"/>
  <c r="M54" i="8" s="1"/>
  <c r="J81" i="8"/>
  <c r="K83" i="8"/>
  <c r="M83" i="8" s="1"/>
  <c r="J97" i="8"/>
  <c r="J104" i="8"/>
  <c r="J107" i="8"/>
  <c r="I109" i="8"/>
  <c r="J109" i="8" s="1"/>
  <c r="J110" i="8"/>
  <c r="K120" i="8"/>
  <c r="M120" i="8" s="1"/>
  <c r="L121" i="8"/>
  <c r="K125" i="8"/>
  <c r="M125" i="8" s="1"/>
  <c r="L126" i="8"/>
  <c r="K131" i="8"/>
  <c r="M131" i="8" s="1"/>
  <c r="L132" i="8"/>
  <c r="J142" i="8"/>
  <c r="J147" i="8"/>
  <c r="J154" i="8"/>
  <c r="E55" i="3"/>
  <c r="L74" i="3"/>
  <c r="L98" i="3"/>
  <c r="L101" i="3"/>
  <c r="J36" i="3"/>
  <c r="L77" i="3"/>
  <c r="L104" i="3"/>
  <c r="L106" i="3"/>
  <c r="L41" i="3"/>
  <c r="L43" i="3"/>
  <c r="L31" i="3"/>
  <c r="L32" i="3"/>
  <c r="I50" i="3"/>
  <c r="G55" i="3"/>
  <c r="H121" i="3"/>
  <c r="J159" i="3"/>
  <c r="I58" i="3"/>
  <c r="J58" i="3" s="1"/>
  <c r="I82" i="3"/>
  <c r="J177" i="3"/>
  <c r="J183" i="3"/>
  <c r="I185" i="3"/>
  <c r="J185" i="3" s="1"/>
  <c r="J189" i="3"/>
  <c r="E310" i="2"/>
  <c r="J271" i="2"/>
  <c r="J266" i="2"/>
  <c r="J262" i="2"/>
  <c r="J257" i="2"/>
  <c r="J248" i="2"/>
  <c r="J225" i="2"/>
  <c r="J204" i="2"/>
  <c r="J155" i="2"/>
  <c r="L149" i="2"/>
  <c r="J150" i="2"/>
  <c r="J148" i="2"/>
  <c r="J125" i="2"/>
  <c r="J75" i="2"/>
  <c r="L44" i="2"/>
  <c r="L56" i="2"/>
  <c r="D63" i="2"/>
  <c r="J64" i="2"/>
  <c r="L65" i="2"/>
  <c r="L78" i="2"/>
  <c r="L81" i="2"/>
  <c r="L124" i="2"/>
  <c r="L139" i="2"/>
  <c r="L141" i="2"/>
  <c r="L167" i="2"/>
  <c r="L179" i="2"/>
  <c r="L191" i="2"/>
  <c r="L199" i="2"/>
  <c r="L203" i="2"/>
  <c r="L208" i="2"/>
  <c r="L224" i="2"/>
  <c r="L226" i="2"/>
  <c r="L233" i="2"/>
  <c r="L239" i="2"/>
  <c r="L247" i="2"/>
  <c r="L256" i="2"/>
  <c r="L265" i="2"/>
  <c r="L308" i="2"/>
  <c r="D337" i="2"/>
  <c r="J338" i="2"/>
  <c r="J350" i="2"/>
  <c r="J358" i="2"/>
  <c r="L368" i="2"/>
  <c r="L382" i="2"/>
  <c r="L386" i="2"/>
  <c r="L427" i="2"/>
  <c r="L444" i="2"/>
  <c r="L445" i="2"/>
  <c r="D449" i="2"/>
  <c r="D448" i="2" s="1"/>
  <c r="L469" i="2"/>
  <c r="L453" i="2"/>
  <c r="L465" i="2"/>
  <c r="L40" i="2"/>
  <c r="L63" i="2"/>
  <c r="J72" i="2"/>
  <c r="J83" i="2"/>
  <c r="J90" i="2"/>
  <c r="L93" i="2"/>
  <c r="J94" i="2"/>
  <c r="L95" i="2"/>
  <c r="J96" i="2"/>
  <c r="J110" i="2"/>
  <c r="L111" i="2"/>
  <c r="J112" i="2"/>
  <c r="J117" i="2"/>
  <c r="J126" i="2"/>
  <c r="L127" i="2"/>
  <c r="J128" i="2"/>
  <c r="J136" i="2"/>
  <c r="J143" i="2"/>
  <c r="L146" i="2"/>
  <c r="J147" i="2"/>
  <c r="J152" i="2"/>
  <c r="J153" i="2"/>
  <c r="J169" i="2"/>
  <c r="J174" i="2"/>
  <c r="L205" i="2"/>
  <c r="J206" i="2"/>
  <c r="D208" i="2"/>
  <c r="J209" i="2"/>
  <c r="L212" i="2"/>
  <c r="J214" i="2"/>
  <c r="J221" i="2"/>
  <c r="J235" i="2"/>
  <c r="D239" i="2"/>
  <c r="J240" i="2"/>
  <c r="L241" i="2"/>
  <c r="J242" i="2"/>
  <c r="L245" i="2"/>
  <c r="J246" i="2"/>
  <c r="L258" i="2"/>
  <c r="J259" i="2"/>
  <c r="L274" i="2"/>
  <c r="J275" i="2"/>
  <c r="J284" i="2"/>
  <c r="L292" i="2"/>
  <c r="G300" i="2"/>
  <c r="L301" i="2"/>
  <c r="L309" i="2"/>
  <c r="L314" i="2"/>
  <c r="D331" i="2"/>
  <c r="J331" i="2" s="1"/>
  <c r="L335" i="2"/>
  <c r="J336" i="2"/>
  <c r="J341" i="2"/>
  <c r="J353" i="2"/>
  <c r="J355" i="2"/>
  <c r="I17" i="2"/>
  <c r="J365" i="2"/>
  <c r="L372" i="2"/>
  <c r="L375" i="2"/>
  <c r="J384" i="2"/>
  <c r="J388" i="2"/>
  <c r="J430" i="2"/>
  <c r="G431" i="2"/>
  <c r="M431" i="2" s="1"/>
  <c r="L432" i="2"/>
  <c r="J434" i="2"/>
  <c r="L449" i="2"/>
  <c r="J449" i="2"/>
  <c r="D469" i="2"/>
  <c r="D468" i="2" s="1"/>
  <c r="J470" i="2"/>
  <c r="J459" i="2"/>
  <c r="K12" i="2"/>
  <c r="J116" i="6"/>
  <c r="I25" i="7"/>
  <c r="J25" i="7" s="1"/>
  <c r="I46" i="7"/>
  <c r="J46" i="7" s="1"/>
  <c r="I70" i="7"/>
  <c r="M76" i="7"/>
  <c r="I76" i="7"/>
  <c r="J76" i="7" s="1"/>
  <c r="I90" i="7"/>
  <c r="I58" i="7"/>
  <c r="J58" i="7" s="1"/>
  <c r="I73" i="7"/>
  <c r="J73" i="7" s="1"/>
  <c r="I78" i="7"/>
  <c r="K81" i="7"/>
  <c r="I81" i="7" s="1"/>
  <c r="I85" i="7"/>
  <c r="J85" i="7" s="1"/>
  <c r="I52" i="7"/>
  <c r="J52" i="7" s="1"/>
  <c r="I54" i="7"/>
  <c r="J54" i="7" s="1"/>
  <c r="I49" i="7"/>
  <c r="J49" i="7" s="1"/>
  <c r="I40" i="7"/>
  <c r="J40" i="7" s="1"/>
  <c r="I42" i="7"/>
  <c r="J42" i="7" s="1"/>
  <c r="I37" i="7"/>
  <c r="J37" i="7" s="1"/>
  <c r="I34" i="7"/>
  <c r="L9" i="7"/>
  <c r="J78" i="1"/>
  <c r="L17" i="7"/>
  <c r="H84" i="1"/>
  <c r="I84" i="1" s="1"/>
  <c r="J20" i="7"/>
  <c r="L22" i="7"/>
  <c r="L34" i="7"/>
  <c r="J50" i="7"/>
  <c r="L58" i="7"/>
  <c r="J72" i="7"/>
  <c r="J77" i="7"/>
  <c r="J84" i="7"/>
  <c r="J86" i="7"/>
  <c r="I19" i="7"/>
  <c r="J19" i="7" s="1"/>
  <c r="J84" i="1"/>
  <c r="L84" i="1" s="1"/>
  <c r="L20" i="7"/>
  <c r="L37" i="7"/>
  <c r="K39" i="7"/>
  <c r="L40" i="7"/>
  <c r="L42" i="7"/>
  <c r="L49" i="7"/>
  <c r="L52" i="7"/>
  <c r="L54" i="7"/>
  <c r="J59" i="7"/>
  <c r="J74" i="7"/>
  <c r="L76" i="7"/>
  <c r="K75" i="7"/>
  <c r="M75" i="7" s="1"/>
  <c r="L85" i="7"/>
  <c r="J89" i="7"/>
  <c r="J91" i="7"/>
  <c r="K114" i="6"/>
  <c r="L127" i="6"/>
  <c r="L95" i="6"/>
  <c r="L97" i="6"/>
  <c r="L26" i="6"/>
  <c r="L28" i="6"/>
  <c r="L83" i="6"/>
  <c r="L17" i="6"/>
  <c r="L20" i="6"/>
  <c r="L22" i="6"/>
  <c r="L79" i="6"/>
  <c r="L76" i="6"/>
  <c r="L31" i="6"/>
  <c r="L33" i="6"/>
  <c r="L110" i="6"/>
  <c r="L72" i="6"/>
  <c r="L69" i="6"/>
  <c r="J18" i="9"/>
  <c r="K17" i="9"/>
  <c r="M17" i="9" s="1"/>
  <c r="L18" i="9"/>
  <c r="J66" i="9"/>
  <c r="K39" i="1"/>
  <c r="K26" i="1"/>
  <c r="K221" i="8"/>
  <c r="M221" i="8" s="1"/>
  <c r="L222" i="8"/>
  <c r="J223" i="8"/>
  <c r="I226" i="8"/>
  <c r="J226" i="8" s="1"/>
  <c r="J227" i="8"/>
  <c r="J228" i="8"/>
  <c r="J19" i="8"/>
  <c r="I210" i="8"/>
  <c r="J210" i="8" s="1"/>
  <c r="K226" i="8"/>
  <c r="M226" i="8" s="1"/>
  <c r="L227" i="8"/>
  <c r="K114" i="8"/>
  <c r="M114" i="8" s="1"/>
  <c r="J218" i="8"/>
  <c r="J215" i="8"/>
  <c r="J212" i="8"/>
  <c r="J18" i="1"/>
  <c r="L18" i="1" s="1"/>
  <c r="L16" i="8"/>
  <c r="K206" i="8"/>
  <c r="M206" i="8" s="1"/>
  <c r="L207" i="8"/>
  <c r="J209" i="8"/>
  <c r="J106" i="8"/>
  <c r="I101" i="8"/>
  <c r="J101" i="8" s="1"/>
  <c r="J102" i="8"/>
  <c r="J103" i="8"/>
  <c r="J99" i="8"/>
  <c r="K74" i="8"/>
  <c r="M74" i="8" s="1"/>
  <c r="L75" i="8"/>
  <c r="K233" i="8"/>
  <c r="M233" i="8" s="1"/>
  <c r="J42" i="6"/>
  <c r="J50" i="6"/>
  <c r="J74" i="6"/>
  <c r="J59" i="6"/>
  <c r="J55" i="6"/>
  <c r="J51" i="6"/>
  <c r="J64" i="6"/>
  <c r="J120" i="6"/>
  <c r="J96" i="6"/>
  <c r="K99" i="6"/>
  <c r="L100" i="6"/>
  <c r="J101" i="6"/>
  <c r="J44" i="6"/>
  <c r="J48" i="6"/>
  <c r="J81" i="6"/>
  <c r="J78" i="6"/>
  <c r="J61" i="6"/>
  <c r="J54" i="6"/>
  <c r="J49" i="6"/>
  <c r="L88" i="6"/>
  <c r="J32" i="6"/>
  <c r="L39" i="3"/>
  <c r="H273" i="2"/>
  <c r="G145" i="2"/>
  <c r="E151" i="2"/>
  <c r="F273" i="2"/>
  <c r="D273" i="2"/>
  <c r="H291" i="2"/>
  <c r="I93" i="2"/>
  <c r="J93" i="2" s="1"/>
  <c r="E145" i="2"/>
  <c r="F166" i="2"/>
  <c r="H166" i="2"/>
  <c r="K207" i="2"/>
  <c r="I226" i="2"/>
  <c r="J226" i="2" s="1"/>
  <c r="E273" i="2"/>
  <c r="G291" i="2"/>
  <c r="G343" i="2"/>
  <c r="K25" i="2"/>
  <c r="K448" i="2"/>
  <c r="M448" i="2" s="1"/>
  <c r="I448" i="2"/>
  <c r="K151" i="2"/>
  <c r="K162" i="2"/>
  <c r="I187" i="2"/>
  <c r="J187" i="2" s="1"/>
  <c r="I205" i="2"/>
  <c r="J205" i="2" s="1"/>
  <c r="K232" i="2"/>
  <c r="M232" i="2" s="1"/>
  <c r="K264" i="2"/>
  <c r="I292" i="2"/>
  <c r="I357" i="2"/>
  <c r="J357" i="2" s="1"/>
  <c r="I444" i="2"/>
  <c r="K468" i="2"/>
  <c r="M468" i="2" s="1"/>
  <c r="K452" i="2"/>
  <c r="M452" i="2" s="1"/>
  <c r="I453" i="2"/>
  <c r="J453" i="2" s="1"/>
  <c r="K464" i="2"/>
  <c r="M464" i="2" s="1"/>
  <c r="I465" i="2"/>
  <c r="J465" i="2" s="1"/>
  <c r="K35" i="2"/>
  <c r="I330" i="2"/>
  <c r="K24" i="2"/>
  <c r="M24" i="2" s="1"/>
  <c r="I328" i="2"/>
  <c r="J328" i="2" s="1"/>
  <c r="I473" i="2"/>
  <c r="J473" i="2" s="1"/>
  <c r="K45" i="7"/>
  <c r="I21" i="6"/>
  <c r="K18" i="8"/>
  <c r="M18" i="8" s="1"/>
  <c r="H157" i="2"/>
  <c r="K190" i="2"/>
  <c r="D32" i="4"/>
  <c r="I20" i="4"/>
  <c r="J20" i="4" s="1"/>
  <c r="D26" i="4"/>
  <c r="C87" i="1" s="1"/>
  <c r="I17" i="7"/>
  <c r="K19" i="7"/>
  <c r="M19" i="7" s="1"/>
  <c r="I98" i="8"/>
  <c r="J98" i="8" s="1"/>
  <c r="I222" i="8"/>
  <c r="J222" i="8" s="1"/>
  <c r="G14" i="10"/>
  <c r="H29" i="10"/>
  <c r="H28" i="10" s="1"/>
  <c r="K137" i="8"/>
  <c r="M137" i="8" s="1"/>
  <c r="D20" i="10"/>
  <c r="D19" i="10" s="1"/>
  <c r="J19" i="10" s="1"/>
  <c r="D29" i="10"/>
  <c r="I68" i="8"/>
  <c r="J68" i="8" s="1"/>
  <c r="H12" i="2"/>
  <c r="E13" i="4"/>
  <c r="G13" i="4"/>
  <c r="H74" i="1"/>
  <c r="I18" i="6"/>
  <c r="K21" i="7"/>
  <c r="M21" i="7" s="1"/>
  <c r="J87" i="1"/>
  <c r="J143" i="8"/>
  <c r="I207" i="8"/>
  <c r="K60" i="9"/>
  <c r="M60" i="9" s="1"/>
  <c r="I61" i="9"/>
  <c r="J61" i="9" s="1"/>
  <c r="J65" i="9"/>
  <c r="F14" i="10"/>
  <c r="H14" i="10"/>
  <c r="I24" i="10"/>
  <c r="J24" i="10" s="1"/>
  <c r="H411" i="2"/>
  <c r="D417" i="2"/>
  <c r="I422" i="2"/>
  <c r="J422" i="2" s="1"/>
  <c r="I432" i="2"/>
  <c r="G12" i="2"/>
  <c r="F13" i="4"/>
  <c r="F12" i="4" s="1"/>
  <c r="H13" i="4"/>
  <c r="K13" i="7"/>
  <c r="M13" i="7" s="1"/>
  <c r="J71" i="1"/>
  <c r="L71" i="1" s="1"/>
  <c r="J59" i="8"/>
  <c r="K14" i="10"/>
  <c r="M14" i="10" s="1"/>
  <c r="E15" i="10"/>
  <c r="I15" i="10"/>
  <c r="J15" i="10" s="1"/>
  <c r="I16" i="6"/>
  <c r="I154" i="2"/>
  <c r="J154" i="2" s="1"/>
  <c r="I78" i="2"/>
  <c r="I149" i="2"/>
  <c r="J149" i="2" s="1"/>
  <c r="J27" i="1"/>
  <c r="K19" i="3"/>
  <c r="L19" i="3" s="1"/>
  <c r="J30" i="1"/>
  <c r="I101" i="3"/>
  <c r="J73" i="1"/>
  <c r="K13" i="4"/>
  <c r="M13" i="4" s="1"/>
  <c r="I11" i="4"/>
  <c r="I9" i="4" s="1"/>
  <c r="I16" i="4"/>
  <c r="H72" i="1" s="1"/>
  <c r="I26" i="4"/>
  <c r="J26" i="4" s="1"/>
  <c r="J57" i="9"/>
  <c r="I42" i="9"/>
  <c r="I44" i="9"/>
  <c r="I47" i="9"/>
  <c r="K23" i="9"/>
  <c r="I29" i="9"/>
  <c r="J29" i="9" s="1"/>
  <c r="K24" i="8"/>
  <c r="M24" i="8" s="1"/>
  <c r="I141" i="8"/>
  <c r="J141" i="8" s="1"/>
  <c r="H85" i="1"/>
  <c r="I85" i="1" s="1"/>
  <c r="E22" i="4"/>
  <c r="H19" i="3"/>
  <c r="K18" i="2"/>
  <c r="M18" i="2" s="1"/>
  <c r="K22" i="2"/>
  <c r="K21" i="2" s="1"/>
  <c r="F24" i="2"/>
  <c r="E25" i="1" s="1"/>
  <c r="H24" i="2"/>
  <c r="G25" i="1" s="1"/>
  <c r="E313" i="2"/>
  <c r="E312" i="2" s="1"/>
  <c r="E35" i="2"/>
  <c r="D40" i="1" s="1"/>
  <c r="H16" i="2"/>
  <c r="G16" i="1" s="1"/>
  <c r="K16" i="2"/>
  <c r="I424" i="2"/>
  <c r="J424" i="2" s="1"/>
  <c r="H18" i="2"/>
  <c r="G19" i="1" s="1"/>
  <c r="G29" i="2"/>
  <c r="F32" i="1" s="1"/>
  <c r="K31" i="2"/>
  <c r="E18" i="2"/>
  <c r="D19" i="1" s="1"/>
  <c r="K36" i="2"/>
  <c r="I417" i="2"/>
  <c r="I419" i="2"/>
  <c r="J419" i="2" s="1"/>
  <c r="I423" i="2"/>
  <c r="F12" i="2"/>
  <c r="G16" i="2"/>
  <c r="F16" i="1" s="1"/>
  <c r="F17" i="2"/>
  <c r="E17" i="1" s="1"/>
  <c r="H17" i="2"/>
  <c r="G17" i="1" s="1"/>
  <c r="K17" i="2"/>
  <c r="M17" i="2" s="1"/>
  <c r="D19" i="2"/>
  <c r="C20" i="1" s="1"/>
  <c r="H19" i="2"/>
  <c r="G20" i="1" s="1"/>
  <c r="K19" i="2"/>
  <c r="F30" i="2"/>
  <c r="H30" i="2"/>
  <c r="G33" i="1" s="1"/>
  <c r="E19" i="2"/>
  <c r="D20" i="1" s="1"/>
  <c r="G19" i="2"/>
  <c r="F20" i="1" s="1"/>
  <c r="I19" i="2"/>
  <c r="E30" i="2"/>
  <c r="D33" i="1" s="1"/>
  <c r="G30" i="2"/>
  <c r="F33" i="1" s="1"/>
  <c r="K30" i="2"/>
  <c r="D30" i="2"/>
  <c r="C33" i="1" s="1"/>
  <c r="I469" i="2"/>
  <c r="J469" i="2" s="1"/>
  <c r="D457" i="2"/>
  <c r="D456" i="2" s="1"/>
  <c r="E36" i="2"/>
  <c r="D41" i="1" s="1"/>
  <c r="G36" i="2"/>
  <c r="F41" i="1" s="1"/>
  <c r="F31" i="2"/>
  <c r="D334" i="2"/>
  <c r="E362" i="2"/>
  <c r="F20" i="2"/>
  <c r="H22" i="2"/>
  <c r="G51" i="2"/>
  <c r="G46" i="2" s="1"/>
  <c r="K415" i="2"/>
  <c r="F415" i="2"/>
  <c r="F414" i="2" s="1"/>
  <c r="D52" i="2"/>
  <c r="F22" i="2"/>
  <c r="H31" i="2"/>
  <c r="I44" i="2"/>
  <c r="H362" i="2"/>
  <c r="H361" i="2" s="1"/>
  <c r="D363" i="2"/>
  <c r="J363" i="2" s="1"/>
  <c r="F362" i="2"/>
  <c r="E370" i="2"/>
  <c r="E369" i="2" s="1"/>
  <c r="K370" i="2"/>
  <c r="E31" i="2"/>
  <c r="G31" i="2"/>
  <c r="D364" i="2"/>
  <c r="J364" i="2" s="1"/>
  <c r="I349" i="2"/>
  <c r="J349" i="2" s="1"/>
  <c r="H377" i="2"/>
  <c r="D370" i="2"/>
  <c r="D49" i="2"/>
  <c r="H415" i="2"/>
  <c r="H414" i="2" s="1"/>
  <c r="I186" i="2"/>
  <c r="I185" i="2" s="1"/>
  <c r="E47" i="2"/>
  <c r="J35" i="1"/>
  <c r="F313" i="2"/>
  <c r="F312" i="2" s="1"/>
  <c r="H313" i="2"/>
  <c r="H312" i="2" s="1"/>
  <c r="K313" i="2"/>
  <c r="G25" i="2"/>
  <c r="F27" i="1" s="1"/>
  <c r="D44" i="2"/>
  <c r="F334" i="2"/>
  <c r="F370" i="2"/>
  <c r="H370" i="2"/>
  <c r="H369" i="2" s="1"/>
  <c r="J372" i="2"/>
  <c r="F377" i="2"/>
  <c r="G436" i="2"/>
  <c r="G370" i="2"/>
  <c r="G369" i="2" s="1"/>
  <c r="F366" i="2"/>
  <c r="H99" i="2"/>
  <c r="H131" i="2"/>
  <c r="D386" i="2"/>
  <c r="H255" i="2"/>
  <c r="I265" i="2"/>
  <c r="J265" i="2" s="1"/>
  <c r="D264" i="2"/>
  <c r="E415" i="2"/>
  <c r="E414" i="2" s="1"/>
  <c r="H107" i="2"/>
  <c r="I111" i="2"/>
  <c r="H115" i="2"/>
  <c r="I127" i="2"/>
  <c r="D127" i="2"/>
  <c r="K196" i="2"/>
  <c r="I208" i="2"/>
  <c r="J208" i="2" s="1"/>
  <c r="E282" i="2"/>
  <c r="G282" i="2"/>
  <c r="I283" i="2"/>
  <c r="J283" i="2" s="1"/>
  <c r="H307" i="2"/>
  <c r="D314" i="2"/>
  <c r="D35" i="2" s="1"/>
  <c r="E325" i="2"/>
  <c r="G334" i="2"/>
  <c r="I337" i="2"/>
  <c r="J337" i="2" s="1"/>
  <c r="I371" i="2"/>
  <c r="J371" i="2" s="1"/>
  <c r="G415" i="2"/>
  <c r="H217" i="2"/>
  <c r="G223" i="2"/>
  <c r="I258" i="2"/>
  <c r="J258" i="2" s="1"/>
  <c r="K260" i="2"/>
  <c r="M260" i="2" s="1"/>
  <c r="F282" i="2"/>
  <c r="F172" i="2"/>
  <c r="H282" i="2"/>
  <c r="H184" i="2"/>
  <c r="I197" i="2"/>
  <c r="J197" i="2" s="1"/>
  <c r="I199" i="2"/>
  <c r="J199" i="2" s="1"/>
  <c r="I81" i="2"/>
  <c r="I141" i="2"/>
  <c r="D141" i="2"/>
  <c r="E172" i="2"/>
  <c r="G172" i="2"/>
  <c r="E185" i="2"/>
  <c r="I203" i="2"/>
  <c r="I241" i="2"/>
  <c r="J241" i="2" s="1"/>
  <c r="I285" i="2"/>
  <c r="I297" i="2"/>
  <c r="I296" i="2" s="1"/>
  <c r="K92" i="2"/>
  <c r="I218" i="2"/>
  <c r="J218" i="2" s="1"/>
  <c r="I270" i="2"/>
  <c r="I279" i="2"/>
  <c r="I278" i="2" s="1"/>
  <c r="D301" i="2"/>
  <c r="J301" i="2" s="1"/>
  <c r="E22" i="2"/>
  <c r="G22" i="2"/>
  <c r="G21" i="2" s="1"/>
  <c r="I173" i="2"/>
  <c r="J173" i="2" s="1"/>
  <c r="G190" i="2"/>
  <c r="I220" i="2"/>
  <c r="J220" i="2" s="1"/>
  <c r="I224" i="2"/>
  <c r="J224" i="2" s="1"/>
  <c r="E255" i="2"/>
  <c r="G255" i="2"/>
  <c r="I288" i="2"/>
  <c r="I287" i="2" s="1"/>
  <c r="I295" i="2"/>
  <c r="D304" i="2"/>
  <c r="J304" i="2" s="1"/>
  <c r="D330" i="2"/>
  <c r="G77" i="2"/>
  <c r="D95" i="2"/>
  <c r="D92" i="2" s="1"/>
  <c r="E115" i="2"/>
  <c r="G115" i="2"/>
  <c r="D135" i="2"/>
  <c r="G151" i="2"/>
  <c r="D229" i="2"/>
  <c r="J229" i="2" s="1"/>
  <c r="G244" i="2"/>
  <c r="K244" i="2"/>
  <c r="D252" i="2"/>
  <c r="H264" i="2"/>
  <c r="D382" i="2"/>
  <c r="J382" i="2" s="1"/>
  <c r="E377" i="2"/>
  <c r="G377" i="2"/>
  <c r="D228" i="2"/>
  <c r="J228" i="2" s="1"/>
  <c r="E307" i="2"/>
  <c r="F343" i="2"/>
  <c r="G307" i="2"/>
  <c r="F307" i="2"/>
  <c r="K310" i="2"/>
  <c r="M310" i="2" s="1"/>
  <c r="D255" i="2"/>
  <c r="D244" i="2"/>
  <c r="H238" i="2"/>
  <c r="I233" i="2"/>
  <c r="D233" i="2"/>
  <c r="D232" i="2" s="1"/>
  <c r="K223" i="2"/>
  <c r="M223" i="2" s="1"/>
  <c r="H223" i="2"/>
  <c r="D223" i="2"/>
  <c r="D217" i="2"/>
  <c r="D207" i="2"/>
  <c r="H202" i="2"/>
  <c r="I196" i="2"/>
  <c r="K145" i="2"/>
  <c r="D124" i="2"/>
  <c r="G99" i="2"/>
  <c r="F39" i="2"/>
  <c r="H27" i="2"/>
  <c r="G62" i="2"/>
  <c r="F46" i="2"/>
  <c r="D65" i="2"/>
  <c r="D62" i="2" s="1"/>
  <c r="D59" i="2"/>
  <c r="H55" i="2"/>
  <c r="E56" i="2"/>
  <c r="E55" i="2" s="1"/>
  <c r="H39" i="2"/>
  <c r="H38" i="2" s="1"/>
  <c r="G43" i="2"/>
  <c r="H46" i="2"/>
  <c r="G69" i="2"/>
  <c r="I52" i="2"/>
  <c r="J52" i="2" s="1"/>
  <c r="H62" i="2"/>
  <c r="H85" i="2"/>
  <c r="I103" i="2"/>
  <c r="J103" i="2" s="1"/>
  <c r="K116" i="2"/>
  <c r="M116" i="2" s="1"/>
  <c r="H123" i="2"/>
  <c r="I124" i="2"/>
  <c r="H138" i="2"/>
  <c r="H178" i="2"/>
  <c r="G196" i="2"/>
  <c r="E232" i="2"/>
  <c r="H244" i="2"/>
  <c r="G273" i="2"/>
  <c r="I59" i="2"/>
  <c r="E437" i="2"/>
  <c r="E436" i="2" s="1"/>
  <c r="E413" i="2" s="1"/>
  <c r="K343" i="2"/>
  <c r="M343" i="2" s="1"/>
  <c r="H146" i="2"/>
  <c r="G264" i="2"/>
  <c r="I340" i="2"/>
  <c r="J340" i="2" s="1"/>
  <c r="K108" i="2"/>
  <c r="M108" i="2" s="1"/>
  <c r="D186" i="2"/>
  <c r="D185" i="2" s="1"/>
  <c r="D184" i="2" s="1"/>
  <c r="I245" i="2"/>
  <c r="F287" i="2"/>
  <c r="D292" i="2"/>
  <c r="F294" i="2"/>
  <c r="F291" i="2" s="1"/>
  <c r="G92" i="2"/>
  <c r="G107" i="2"/>
  <c r="D122" i="2"/>
  <c r="D120" i="2" s="1"/>
  <c r="E131" i="2"/>
  <c r="G131" i="2"/>
  <c r="G39" i="2"/>
  <c r="D88" i="2"/>
  <c r="K100" i="2"/>
  <c r="M100" i="2" s="1"/>
  <c r="I101" i="2"/>
  <c r="I109" i="2"/>
  <c r="J109" i="2" s="1"/>
  <c r="D116" i="2"/>
  <c r="G123" i="2"/>
  <c r="D133" i="2"/>
  <c r="D132" i="2" s="1"/>
  <c r="D131" i="2" s="1"/>
  <c r="D138" i="2"/>
  <c r="I151" i="2"/>
  <c r="D172" i="2"/>
  <c r="I267" i="2"/>
  <c r="D385" i="2"/>
  <c r="D442" i="2"/>
  <c r="D423" i="2" s="1"/>
  <c r="C82" i="1" s="1"/>
  <c r="G325" i="2"/>
  <c r="K460" i="2"/>
  <c r="M460" i="2" s="1"/>
  <c r="D427" i="2"/>
  <c r="D77" i="1"/>
  <c r="K169" i="3"/>
  <c r="M169" i="3" s="1"/>
  <c r="H187" i="3"/>
  <c r="D86" i="1"/>
  <c r="I173" i="3"/>
  <c r="E13" i="3"/>
  <c r="E12" i="3" s="1"/>
  <c r="E19" i="3"/>
  <c r="H103" i="3"/>
  <c r="E140" i="3"/>
  <c r="G157" i="3"/>
  <c r="H181" i="3"/>
  <c r="G187" i="3"/>
  <c r="F157" i="3"/>
  <c r="F121" i="3"/>
  <c r="G97" i="3"/>
  <c r="F163" i="3"/>
  <c r="E175" i="3"/>
  <c r="G175" i="3"/>
  <c r="K175" i="3"/>
  <c r="G61" i="3"/>
  <c r="F127" i="3"/>
  <c r="K157" i="3"/>
  <c r="M157" i="3" s="1"/>
  <c r="K97" i="3"/>
  <c r="D124" i="3"/>
  <c r="D122" i="3" s="1"/>
  <c r="H163" i="3"/>
  <c r="K73" i="3"/>
  <c r="M73" i="3" s="1"/>
  <c r="F79" i="3"/>
  <c r="D165" i="3"/>
  <c r="K61" i="3"/>
  <c r="H145" i="3"/>
  <c r="H11" i="3" s="1"/>
  <c r="G145" i="3"/>
  <c r="G151" i="3"/>
  <c r="M151" i="3" s="1"/>
  <c r="E164" i="3"/>
  <c r="D55" i="3"/>
  <c r="G73" i="3"/>
  <c r="F97" i="3"/>
  <c r="H97" i="3"/>
  <c r="E134" i="3"/>
  <c r="G133" i="3"/>
  <c r="H139" i="3"/>
  <c r="K13" i="3"/>
  <c r="F145" i="3"/>
  <c r="F11" i="3" s="1"/>
  <c r="G18" i="3"/>
  <c r="G13" i="3"/>
  <c r="D99" i="3"/>
  <c r="J99" i="3" s="1"/>
  <c r="D129" i="3"/>
  <c r="D128" i="3" s="1"/>
  <c r="K133" i="3"/>
  <c r="M133" i="3" s="1"/>
  <c r="G67" i="3"/>
  <c r="D141" i="3"/>
  <c r="D140" i="3" s="1"/>
  <c r="H157" i="3"/>
  <c r="E161" i="3"/>
  <c r="I161" i="3" s="1"/>
  <c r="E137" i="3"/>
  <c r="D162" i="3"/>
  <c r="D161" i="3" s="1"/>
  <c r="H49" i="3"/>
  <c r="H56" i="3"/>
  <c r="H55" i="3" s="1"/>
  <c r="F73" i="3"/>
  <c r="H73" i="3"/>
  <c r="D138" i="3"/>
  <c r="D137" i="3" s="1"/>
  <c r="I178" i="3"/>
  <c r="H13" i="3"/>
  <c r="H12" i="3" s="1"/>
  <c r="M39" i="3"/>
  <c r="F13" i="3"/>
  <c r="F12" i="3" s="1"/>
  <c r="K16" i="3"/>
  <c r="M16" i="3" s="1"/>
  <c r="K21" i="3"/>
  <c r="M21" i="3" s="1"/>
  <c r="F18" i="3"/>
  <c r="H18" i="3"/>
  <c r="I35" i="3"/>
  <c r="J35" i="3" s="1"/>
  <c r="F49" i="3"/>
  <c r="I53" i="3"/>
  <c r="J53" i="3" s="1"/>
  <c r="K55" i="3"/>
  <c r="M55" i="3" s="1"/>
  <c r="E62" i="3"/>
  <c r="I62" i="3" s="1"/>
  <c r="D64" i="3"/>
  <c r="I148" i="3"/>
  <c r="D148" i="3"/>
  <c r="H79" i="3"/>
  <c r="E82" i="3"/>
  <c r="G79" i="3"/>
  <c r="D83" i="3"/>
  <c r="D82" i="3" s="1"/>
  <c r="E98" i="3"/>
  <c r="E101" i="3"/>
  <c r="D102" i="3"/>
  <c r="D101" i="3" s="1"/>
  <c r="M44" i="3"/>
  <c r="E122" i="3"/>
  <c r="E121" i="3" s="1"/>
  <c r="E128" i="3"/>
  <c r="E127" i="3" s="1"/>
  <c r="H127" i="3"/>
  <c r="F139" i="3"/>
  <c r="I164" i="3"/>
  <c r="D182" i="3"/>
  <c r="D181" i="3" s="1"/>
  <c r="F103" i="3"/>
  <c r="M35" i="3"/>
  <c r="K22" i="4"/>
  <c r="G22" i="4"/>
  <c r="I24" i="4"/>
  <c r="J24" i="4" s="1"/>
  <c r="H60" i="4"/>
  <c r="H59" i="4" s="1"/>
  <c r="D23" i="4"/>
  <c r="J23" i="4" s="1"/>
  <c r="I18" i="4"/>
  <c r="J18" i="4" s="1"/>
  <c r="G81" i="1"/>
  <c r="I60" i="4"/>
  <c r="J60" i="4" s="1"/>
  <c r="D25" i="4"/>
  <c r="F28" i="4"/>
  <c r="H28" i="4"/>
  <c r="H12" i="4"/>
  <c r="G21" i="4"/>
  <c r="G28" i="4"/>
  <c r="D41" i="4"/>
  <c r="J41" i="4" s="1"/>
  <c r="F21" i="4"/>
  <c r="K65" i="5"/>
  <c r="K50" i="5" s="1"/>
  <c r="M50" i="5" s="1"/>
  <c r="I23" i="6"/>
  <c r="J23" i="6" s="1"/>
  <c r="I15" i="6"/>
  <c r="E86" i="1"/>
  <c r="K130" i="6"/>
  <c r="F68" i="1"/>
  <c r="E68" i="1"/>
  <c r="G68" i="1"/>
  <c r="E77" i="1"/>
  <c r="K33" i="7"/>
  <c r="M33" i="7" s="1"/>
  <c r="K51" i="7"/>
  <c r="M51" i="7" s="1"/>
  <c r="I134" i="8"/>
  <c r="J134" i="8" s="1"/>
  <c r="I248" i="8"/>
  <c r="I214" i="8"/>
  <c r="I217" i="8"/>
  <c r="K247" i="8"/>
  <c r="M247" i="8" s="1"/>
  <c r="G55" i="2"/>
  <c r="I76" i="2"/>
  <c r="D76" i="2"/>
  <c r="D74" i="2" s="1"/>
  <c r="E74" i="2"/>
  <c r="I191" i="2"/>
  <c r="F25" i="2"/>
  <c r="E27" i="1" s="1"/>
  <c r="H25" i="2"/>
  <c r="G27" i="1" s="1"/>
  <c r="E42" i="2"/>
  <c r="D21" i="1" s="1"/>
  <c r="K42" i="2"/>
  <c r="M42" i="2" s="1"/>
  <c r="E46" i="2"/>
  <c r="I49" i="2"/>
  <c r="K62" i="2"/>
  <c r="M62" i="2" s="1"/>
  <c r="I63" i="2"/>
  <c r="J63" i="2" s="1"/>
  <c r="I65" i="2"/>
  <c r="J65" i="2" s="1"/>
  <c r="K70" i="2"/>
  <c r="M70" i="2" s="1"/>
  <c r="H77" i="2"/>
  <c r="I100" i="2"/>
  <c r="D115" i="2"/>
  <c r="I160" i="2"/>
  <c r="I294" i="2"/>
  <c r="I291" i="2" s="1"/>
  <c r="J291" i="2" s="1"/>
  <c r="I73" i="2"/>
  <c r="K77" i="2"/>
  <c r="M77" i="2" s="1"/>
  <c r="D78" i="2"/>
  <c r="D81" i="2"/>
  <c r="G85" i="2"/>
  <c r="H92" i="2"/>
  <c r="K99" i="2"/>
  <c r="M99" i="2" s="1"/>
  <c r="E100" i="2"/>
  <c r="D101" i="2"/>
  <c r="D100" i="2" s="1"/>
  <c r="D108" i="2"/>
  <c r="D111" i="2"/>
  <c r="I119" i="2"/>
  <c r="J119" i="2" s="1"/>
  <c r="K132" i="2"/>
  <c r="M132" i="2" s="1"/>
  <c r="I134" i="2"/>
  <c r="J134" i="2" s="1"/>
  <c r="I139" i="2"/>
  <c r="J139" i="2" s="1"/>
  <c r="G138" i="2"/>
  <c r="D151" i="2"/>
  <c r="H151" i="2"/>
  <c r="G178" i="2"/>
  <c r="G184" i="2"/>
  <c r="G202" i="2"/>
  <c r="K238" i="2"/>
  <c r="I239" i="2"/>
  <c r="G238" i="2"/>
  <c r="E244" i="2"/>
  <c r="I247" i="2"/>
  <c r="J247" i="2" s="1"/>
  <c r="K255" i="2"/>
  <c r="E264" i="2"/>
  <c r="F269" i="2"/>
  <c r="K269" i="2"/>
  <c r="M269" i="2" s="1"/>
  <c r="D295" i="2"/>
  <c r="D294" i="2" s="1"/>
  <c r="D291" i="2" s="1"/>
  <c r="F296" i="2"/>
  <c r="K296" i="2"/>
  <c r="F325" i="2"/>
  <c r="F369" i="2"/>
  <c r="I106" i="3"/>
  <c r="H149" i="2"/>
  <c r="H145" i="2" s="1"/>
  <c r="E160" i="2"/>
  <c r="G157" i="2"/>
  <c r="D161" i="2"/>
  <c r="I163" i="2"/>
  <c r="J163" i="2" s="1"/>
  <c r="G166" i="2"/>
  <c r="D181" i="2"/>
  <c r="D41" i="2" s="1"/>
  <c r="I181" i="2"/>
  <c r="I41" i="2" s="1"/>
  <c r="D192" i="2"/>
  <c r="D191" i="2" s="1"/>
  <c r="H190" i="2"/>
  <c r="H196" i="2"/>
  <c r="D203" i="2"/>
  <c r="D216" i="2"/>
  <c r="D215" i="2" s="1"/>
  <c r="I216" i="2"/>
  <c r="D378" i="2"/>
  <c r="J378" i="2" s="1"/>
  <c r="D445" i="2"/>
  <c r="J445" i="2" s="1"/>
  <c r="D444" i="2"/>
  <c r="I68" i="3"/>
  <c r="I77" i="3"/>
  <c r="E49" i="3"/>
  <c r="G49" i="3"/>
  <c r="F67" i="3"/>
  <c r="H67" i="3"/>
  <c r="G121" i="3"/>
  <c r="G127" i="3"/>
  <c r="G163" i="3"/>
  <c r="D167" i="3"/>
  <c r="G181" i="3"/>
  <c r="K426" i="2"/>
  <c r="D438" i="2"/>
  <c r="D416" i="2" s="1"/>
  <c r="C69" i="1" s="1"/>
  <c r="I438" i="2"/>
  <c r="I416" i="2" s="1"/>
  <c r="H69" i="1" s="1"/>
  <c r="D439" i="2"/>
  <c r="D418" i="2" s="1"/>
  <c r="C73" i="1" s="1"/>
  <c r="I439" i="2"/>
  <c r="I418" i="2" s="1"/>
  <c r="K440" i="2"/>
  <c r="M440" i="2" s="1"/>
  <c r="I461" i="2"/>
  <c r="J461" i="2" s="1"/>
  <c r="F61" i="3"/>
  <c r="H61" i="3"/>
  <c r="K67" i="3"/>
  <c r="E68" i="3"/>
  <c r="D69" i="3"/>
  <c r="E149" i="3"/>
  <c r="D150" i="3"/>
  <c r="D149" i="3" s="1"/>
  <c r="I150" i="3"/>
  <c r="F151" i="3"/>
  <c r="H151" i="3"/>
  <c r="D75" i="3"/>
  <c r="J75" i="3" s="1"/>
  <c r="E77" i="3"/>
  <c r="D78" i="3"/>
  <c r="D77" i="3" s="1"/>
  <c r="E106" i="3"/>
  <c r="G103" i="3"/>
  <c r="D107" i="3"/>
  <c r="D106" i="3" s="1"/>
  <c r="G38" i="3"/>
  <c r="M38" i="3" s="1"/>
  <c r="F41" i="3"/>
  <c r="F38" i="3" s="1"/>
  <c r="F10" i="3" s="1"/>
  <c r="I42" i="3"/>
  <c r="F44" i="3"/>
  <c r="F43" i="3" s="1"/>
  <c r="I45" i="3"/>
  <c r="D47" i="3"/>
  <c r="D46" i="3" s="1"/>
  <c r="D43" i="3" s="1"/>
  <c r="I47" i="3"/>
  <c r="D126" i="3"/>
  <c r="D125" i="3" s="1"/>
  <c r="D131" i="3"/>
  <c r="D130" i="3" s="1"/>
  <c r="D135" i="3"/>
  <c r="J135" i="3" s="1"/>
  <c r="F133" i="3"/>
  <c r="H133" i="3"/>
  <c r="G139" i="3"/>
  <c r="D160" i="3"/>
  <c r="J160" i="3" s="1"/>
  <c r="D170" i="3"/>
  <c r="D169" i="3" s="1"/>
  <c r="H169" i="3"/>
  <c r="D175" i="3"/>
  <c r="H175" i="3"/>
  <c r="D52" i="4"/>
  <c r="D17" i="4"/>
  <c r="G12" i="4"/>
  <c r="J14" i="7"/>
  <c r="I25" i="8"/>
  <c r="I190" i="3"/>
  <c r="E21" i="4"/>
  <c r="K25" i="4"/>
  <c r="M25" i="4" s="1"/>
  <c r="D31" i="4"/>
  <c r="J31" i="4" s="1"/>
  <c r="D35" i="4"/>
  <c r="K38" i="4"/>
  <c r="M38" i="4" s="1"/>
  <c r="I43" i="4"/>
  <c r="J43" i="4" s="1"/>
  <c r="H52" i="4"/>
  <c r="H51" i="4" s="1"/>
  <c r="K14" i="6"/>
  <c r="M14" i="6" s="1"/>
  <c r="K126" i="6"/>
  <c r="M126" i="6" s="1"/>
  <c r="K57" i="7"/>
  <c r="M57" i="7" s="1"/>
  <c r="K69" i="7"/>
  <c r="M69" i="7" s="1"/>
  <c r="K29" i="8"/>
  <c r="M29" i="8" s="1"/>
  <c r="K40" i="8"/>
  <c r="M40" i="8" s="1"/>
  <c r="J45" i="8"/>
  <c r="J90" i="8"/>
  <c r="I94" i="8"/>
  <c r="I121" i="8"/>
  <c r="J121" i="8" s="1"/>
  <c r="K15" i="9"/>
  <c r="M15" i="9" s="1"/>
  <c r="I46" i="9"/>
  <c r="J46" i="9" s="1"/>
  <c r="K198" i="8"/>
  <c r="M198" i="8" s="1"/>
  <c r="K239" i="8"/>
  <c r="M239" i="8" s="1"/>
  <c r="K255" i="8"/>
  <c r="K243" i="8"/>
  <c r="M243" i="8" s="1"/>
  <c r="D14" i="10"/>
  <c r="I17" i="9"/>
  <c r="K46" i="9"/>
  <c r="M46" i="9" s="1"/>
  <c r="J58" i="9"/>
  <c r="J64" i="9"/>
  <c r="M12" i="10"/>
  <c r="M11" i="10" s="1"/>
  <c r="D146" i="2"/>
  <c r="D145" i="2" s="1"/>
  <c r="D162" i="2"/>
  <c r="I170" i="2"/>
  <c r="I212" i="2"/>
  <c r="I70" i="2"/>
  <c r="D107" i="2"/>
  <c r="I182" i="2"/>
  <c r="D196" i="2"/>
  <c r="D238" i="2"/>
  <c r="I146" i="3"/>
  <c r="I154" i="3"/>
  <c r="K43" i="2"/>
  <c r="M43" i="2" s="1"/>
  <c r="K51" i="2"/>
  <c r="K55" i="2"/>
  <c r="M55" i="2" s="1"/>
  <c r="I56" i="2"/>
  <c r="E70" i="2"/>
  <c r="D73" i="2"/>
  <c r="I74" i="2"/>
  <c r="J74" i="2" s="1"/>
  <c r="K74" i="2"/>
  <c r="M74" i="2" s="1"/>
  <c r="E85" i="2"/>
  <c r="I86" i="2"/>
  <c r="K86" i="2"/>
  <c r="M86" i="2" s="1"/>
  <c r="D91" i="2"/>
  <c r="D89" i="2" s="1"/>
  <c r="I91" i="2"/>
  <c r="I95" i="2"/>
  <c r="D106" i="2"/>
  <c r="D104" i="2" s="1"/>
  <c r="D99" i="2" s="1"/>
  <c r="I106" i="2"/>
  <c r="I116" i="2"/>
  <c r="J116" i="2" s="1"/>
  <c r="I120" i="2"/>
  <c r="J120" i="2" s="1"/>
  <c r="I123" i="2"/>
  <c r="K123" i="2"/>
  <c r="I132" i="2"/>
  <c r="J132" i="2" s="1"/>
  <c r="I135" i="2"/>
  <c r="J135" i="2" s="1"/>
  <c r="I138" i="2"/>
  <c r="J138" i="2" s="1"/>
  <c r="K138" i="2"/>
  <c r="I146" i="2"/>
  <c r="K157" i="2"/>
  <c r="E158" i="2"/>
  <c r="D159" i="2"/>
  <c r="I159" i="2"/>
  <c r="K166" i="2"/>
  <c r="M166" i="2" s="1"/>
  <c r="E167" i="2"/>
  <c r="D168" i="2"/>
  <c r="D167" i="2" s="1"/>
  <c r="I168" i="2"/>
  <c r="D171" i="2"/>
  <c r="J171" i="2" s="1"/>
  <c r="K172" i="2"/>
  <c r="M172" i="2" s="1"/>
  <c r="I175" i="2"/>
  <c r="J175" i="2" s="1"/>
  <c r="K178" i="2"/>
  <c r="M178" i="2" s="1"/>
  <c r="E179" i="2"/>
  <c r="D180" i="2"/>
  <c r="D179" i="2" s="1"/>
  <c r="I180" i="2"/>
  <c r="D183" i="2"/>
  <c r="D182" i="2" s="1"/>
  <c r="E184" i="2"/>
  <c r="K184" i="2"/>
  <c r="M184" i="2" s="1"/>
  <c r="E194" i="2"/>
  <c r="D195" i="2"/>
  <c r="D194" i="2" s="1"/>
  <c r="I195" i="2"/>
  <c r="E202" i="2"/>
  <c r="I202" i="2"/>
  <c r="K202" i="2"/>
  <c r="M202" i="2" s="1"/>
  <c r="K211" i="2"/>
  <c r="M211" i="2" s="1"/>
  <c r="D213" i="2"/>
  <c r="D212" i="2" s="1"/>
  <c r="I215" i="2"/>
  <c r="J215" i="2" s="1"/>
  <c r="I217" i="2"/>
  <c r="J217" i="2" s="1"/>
  <c r="K217" i="2"/>
  <c r="M217" i="2" s="1"/>
  <c r="K228" i="2"/>
  <c r="M228" i="2" s="1"/>
  <c r="I236" i="2"/>
  <c r="J236" i="2" s="1"/>
  <c r="I256" i="2"/>
  <c r="J256" i="2" s="1"/>
  <c r="I261" i="2"/>
  <c r="J261" i="2" s="1"/>
  <c r="K273" i="2"/>
  <c r="I274" i="2"/>
  <c r="J274" i="2" s="1"/>
  <c r="K282" i="2"/>
  <c r="M282" i="2" s="1"/>
  <c r="K291" i="2"/>
  <c r="M291" i="2" s="1"/>
  <c r="I346" i="2"/>
  <c r="I311" i="2"/>
  <c r="E361" i="2"/>
  <c r="D50" i="3"/>
  <c r="I152" i="3"/>
  <c r="I134" i="3"/>
  <c r="I40" i="3"/>
  <c r="J40" i="3" s="1"/>
  <c r="I41" i="3"/>
  <c r="J41" i="3" s="1"/>
  <c r="I126" i="3"/>
  <c r="I131" i="3"/>
  <c r="J131" i="3" s="1"/>
  <c r="I166" i="3"/>
  <c r="I175" i="3"/>
  <c r="I176" i="3"/>
  <c r="K325" i="2"/>
  <c r="D327" i="2"/>
  <c r="D326" i="2" s="1"/>
  <c r="D325" i="2" s="1"/>
  <c r="I327" i="2"/>
  <c r="K334" i="2"/>
  <c r="I335" i="2"/>
  <c r="J335" i="2" s="1"/>
  <c r="K339" i="2"/>
  <c r="M339" i="2" s="1"/>
  <c r="E344" i="2"/>
  <c r="D345" i="2"/>
  <c r="I345" i="2"/>
  <c r="E346" i="2"/>
  <c r="D347" i="2"/>
  <c r="J347" i="2" s="1"/>
  <c r="I348" i="2"/>
  <c r="J348" i="2" s="1"/>
  <c r="K348" i="2"/>
  <c r="M348" i="2" s="1"/>
  <c r="E352" i="2"/>
  <c r="G362" i="2"/>
  <c r="G361" i="2" s="1"/>
  <c r="I362" i="2"/>
  <c r="K362" i="2"/>
  <c r="M362" i="2" s="1"/>
  <c r="J366" i="2"/>
  <c r="J373" i="2"/>
  <c r="K377" i="2"/>
  <c r="M377" i="2" s="1"/>
  <c r="I386" i="2"/>
  <c r="I427" i="2"/>
  <c r="J427" i="2" s="1"/>
  <c r="D432" i="2"/>
  <c r="I441" i="2"/>
  <c r="I457" i="2"/>
  <c r="E18" i="3"/>
  <c r="K49" i="3"/>
  <c r="M49" i="3" s="1"/>
  <c r="I56" i="3"/>
  <c r="J56" i="3" s="1"/>
  <c r="E65" i="3"/>
  <c r="D66" i="3"/>
  <c r="I66" i="3"/>
  <c r="I17" i="3" s="1"/>
  <c r="E70" i="3"/>
  <c r="D71" i="3"/>
  <c r="I71" i="3"/>
  <c r="E146" i="3"/>
  <c r="D147" i="3"/>
  <c r="J147" i="3" s="1"/>
  <c r="E152" i="3"/>
  <c r="D153" i="3"/>
  <c r="D152" i="3" s="1"/>
  <c r="E154" i="3"/>
  <c r="D154" i="3"/>
  <c r="D76" i="3"/>
  <c r="I76" i="3"/>
  <c r="K79" i="3"/>
  <c r="E80" i="3"/>
  <c r="D81" i="3"/>
  <c r="D80" i="3" s="1"/>
  <c r="D79" i="3" s="1"/>
  <c r="I81" i="3"/>
  <c r="D100" i="3"/>
  <c r="I100" i="3"/>
  <c r="K103" i="3"/>
  <c r="E104" i="3"/>
  <c r="D105" i="3"/>
  <c r="D104" i="3" s="1"/>
  <c r="D103" i="3" s="1"/>
  <c r="I105" i="3"/>
  <c r="E38" i="3"/>
  <c r="I39" i="3"/>
  <c r="J39" i="3" s="1"/>
  <c r="D40" i="3"/>
  <c r="D39" i="3" s="1"/>
  <c r="D38" i="3" s="1"/>
  <c r="I46" i="3"/>
  <c r="K121" i="3"/>
  <c r="M121" i="3" s="1"/>
  <c r="I124" i="3"/>
  <c r="K127" i="3"/>
  <c r="M127" i="3" s="1"/>
  <c r="I129" i="3"/>
  <c r="D136" i="3"/>
  <c r="D134" i="3" s="1"/>
  <c r="I137" i="3"/>
  <c r="E139" i="3"/>
  <c r="K139" i="3"/>
  <c r="M139" i="3" s="1"/>
  <c r="I140" i="3"/>
  <c r="J140" i="3" s="1"/>
  <c r="D143" i="3"/>
  <c r="D142" i="3" s="1"/>
  <c r="I143" i="3"/>
  <c r="E158" i="3"/>
  <c r="K163" i="3"/>
  <c r="M163" i="3" s="1"/>
  <c r="I165" i="3"/>
  <c r="E181" i="3"/>
  <c r="I181" i="3"/>
  <c r="K181" i="3"/>
  <c r="M181" i="3" s="1"/>
  <c r="K187" i="3"/>
  <c r="I188" i="3"/>
  <c r="E19" i="4"/>
  <c r="I19" i="4"/>
  <c r="J19" i="4" s="1"/>
  <c r="K19" i="4"/>
  <c r="M19" i="4" s="1"/>
  <c r="E29" i="4"/>
  <c r="D30" i="4"/>
  <c r="D40" i="4"/>
  <c r="D39" i="4" s="1"/>
  <c r="D38" i="4" s="1"/>
  <c r="I39" i="4"/>
  <c r="D57" i="4"/>
  <c r="E51" i="4"/>
  <c r="J36" i="7"/>
  <c r="J88" i="7"/>
  <c r="I253" i="8"/>
  <c r="I237" i="8"/>
  <c r="K94" i="6"/>
  <c r="K25" i="6"/>
  <c r="K30" i="6"/>
  <c r="I16" i="7"/>
  <c r="J16" i="7" s="1"/>
  <c r="K16" i="7"/>
  <c r="M16" i="7" s="1"/>
  <c r="K24" i="7"/>
  <c r="M24" i="7" s="1"/>
  <c r="J47" i="7"/>
  <c r="K63" i="7"/>
  <c r="K87" i="7"/>
  <c r="J90" i="7"/>
  <c r="I75" i="8"/>
  <c r="J75" i="8" s="1"/>
  <c r="J84" i="8"/>
  <c r="J133" i="8"/>
  <c r="J203" i="8"/>
  <c r="J13" i="9"/>
  <c r="K13" i="8"/>
  <c r="M13" i="8" s="1"/>
  <c r="I35" i="8"/>
  <c r="J35" i="8" s="1"/>
  <c r="I38" i="8"/>
  <c r="J38" i="8" s="1"/>
  <c r="I41" i="8"/>
  <c r="J41" i="8" s="1"/>
  <c r="I44" i="8"/>
  <c r="J44" i="8" s="1"/>
  <c r="I49" i="8"/>
  <c r="J49" i="8" s="1"/>
  <c r="I52" i="8"/>
  <c r="J52" i="8" s="1"/>
  <c r="I55" i="8"/>
  <c r="I58" i="8"/>
  <c r="I62" i="8"/>
  <c r="I65" i="8"/>
  <c r="J65" i="8" s="1"/>
  <c r="K67" i="8"/>
  <c r="M67" i="8" s="1"/>
  <c r="J79" i="8"/>
  <c r="J88" i="8"/>
  <c r="I117" i="8"/>
  <c r="J139" i="8"/>
  <c r="J194" i="8"/>
  <c r="J197" i="8"/>
  <c r="I26" i="9"/>
  <c r="I244" i="8"/>
  <c r="I67" i="9"/>
  <c r="J67" i="9" s="1"/>
  <c r="K67" i="9"/>
  <c r="M67" i="9" s="1"/>
  <c r="I87" i="7" l="1"/>
  <c r="M87" i="7"/>
  <c r="I39" i="7"/>
  <c r="M39" i="7"/>
  <c r="I63" i="7"/>
  <c r="M63" i="7"/>
  <c r="L45" i="7"/>
  <c r="M45" i="7"/>
  <c r="J108" i="6"/>
  <c r="L19" i="6"/>
  <c r="K65" i="1"/>
  <c r="L94" i="1"/>
  <c r="K94" i="1"/>
  <c r="M187" i="3"/>
  <c r="J137" i="3"/>
  <c r="J129" i="3"/>
  <c r="J124" i="3"/>
  <c r="J46" i="3"/>
  <c r="D17" i="3"/>
  <c r="J17" i="3" s="1"/>
  <c r="J126" i="3"/>
  <c r="M67" i="3"/>
  <c r="D15" i="3"/>
  <c r="H10" i="3"/>
  <c r="G12" i="1" s="1"/>
  <c r="D20" i="3"/>
  <c r="I15" i="3"/>
  <c r="H17" i="1" s="1"/>
  <c r="D22" i="3"/>
  <c r="G11" i="3"/>
  <c r="M145" i="3"/>
  <c r="M175" i="3"/>
  <c r="M97" i="3"/>
  <c r="D14" i="3"/>
  <c r="J14" i="3" s="1"/>
  <c r="G10" i="3"/>
  <c r="J185" i="2"/>
  <c r="J146" i="2"/>
  <c r="J457" i="2"/>
  <c r="I437" i="2"/>
  <c r="D431" i="2"/>
  <c r="I339" i="2"/>
  <c r="J339" i="2" s="1"/>
  <c r="M334" i="2"/>
  <c r="I282" i="2"/>
  <c r="J282" i="2" s="1"/>
  <c r="M273" i="2"/>
  <c r="D190" i="2"/>
  <c r="M157" i="2"/>
  <c r="M138" i="2"/>
  <c r="M123" i="2"/>
  <c r="J95" i="2"/>
  <c r="M51" i="2"/>
  <c r="I42" i="2"/>
  <c r="H21" i="1" s="1"/>
  <c r="I264" i="2"/>
  <c r="J264" i="2" s="1"/>
  <c r="M255" i="2"/>
  <c r="K115" i="2"/>
  <c r="M115" i="2" s="1"/>
  <c r="M145" i="2"/>
  <c r="M313" i="2"/>
  <c r="J417" i="2"/>
  <c r="I45" i="2"/>
  <c r="I48" i="2"/>
  <c r="I47" i="2" s="1"/>
  <c r="J386" i="2"/>
  <c r="I385" i="2"/>
  <c r="J385" i="2" s="1"/>
  <c r="D40" i="2"/>
  <c r="D160" i="2"/>
  <c r="J160" i="2" s="1"/>
  <c r="D45" i="2"/>
  <c r="M244" i="2"/>
  <c r="M415" i="2"/>
  <c r="H21" i="2"/>
  <c r="K33" i="2"/>
  <c r="M35" i="2"/>
  <c r="M151" i="2"/>
  <c r="M436" i="2"/>
  <c r="M385" i="2"/>
  <c r="L385" i="2"/>
  <c r="D48" i="2"/>
  <c r="M325" i="2"/>
  <c r="K413" i="2"/>
  <c r="M426" i="2"/>
  <c r="D18" i="2"/>
  <c r="C19" i="1" s="1"/>
  <c r="M238" i="2"/>
  <c r="M92" i="2"/>
  <c r="C40" i="1"/>
  <c r="M196" i="2"/>
  <c r="F13" i="2"/>
  <c r="H13" i="2"/>
  <c r="M36" i="2"/>
  <c r="M31" i="2"/>
  <c r="M190" i="2"/>
  <c r="M264" i="2"/>
  <c r="M25" i="2"/>
  <c r="M12" i="2"/>
  <c r="M278" i="2"/>
  <c r="M162" i="2"/>
  <c r="M296" i="2"/>
  <c r="M287" i="2"/>
  <c r="M207" i="2"/>
  <c r="G33" i="2"/>
  <c r="E79" i="1"/>
  <c r="L90" i="1"/>
  <c r="L35" i="1"/>
  <c r="L73" i="1"/>
  <c r="L30" i="1"/>
  <c r="L31" i="1"/>
  <c r="L74" i="1"/>
  <c r="D79" i="1"/>
  <c r="K31" i="1"/>
  <c r="D37" i="1"/>
  <c r="I23" i="1"/>
  <c r="F37" i="1"/>
  <c r="E37" i="1"/>
  <c r="L81" i="7"/>
  <c r="M81" i="7"/>
  <c r="J389" i="2"/>
  <c r="M370" i="2"/>
  <c r="M300" i="2"/>
  <c r="G13" i="2"/>
  <c r="M30" i="2"/>
  <c r="M19" i="2"/>
  <c r="M16" i="2"/>
  <c r="G27" i="2"/>
  <c r="G26" i="2" s="1"/>
  <c r="I25" i="4"/>
  <c r="G29" i="1"/>
  <c r="F29" i="1"/>
  <c r="J48" i="4"/>
  <c r="I45" i="4"/>
  <c r="M23" i="9"/>
  <c r="K12" i="9"/>
  <c r="L27" i="1"/>
  <c r="M64" i="9"/>
  <c r="K13" i="9"/>
  <c r="J30" i="4"/>
  <c r="D15" i="4"/>
  <c r="M22" i="4"/>
  <c r="L87" i="1"/>
  <c r="L86" i="1" s="1"/>
  <c r="L78" i="1"/>
  <c r="L77" i="1" s="1"/>
  <c r="M61" i="3"/>
  <c r="K10" i="3"/>
  <c r="M10" i="3" s="1"/>
  <c r="K12" i="7"/>
  <c r="M12" i="7" s="1"/>
  <c r="I22" i="3"/>
  <c r="I20" i="3"/>
  <c r="M103" i="3"/>
  <c r="L79" i="3"/>
  <c r="M79" i="3"/>
  <c r="J181" i="3"/>
  <c r="M50" i="9"/>
  <c r="M57" i="9"/>
  <c r="M255" i="8"/>
  <c r="L255" i="8"/>
  <c r="J15" i="8"/>
  <c r="L151" i="8"/>
  <c r="K11" i="8"/>
  <c r="M11" i="8" s="1"/>
  <c r="I151" i="8"/>
  <c r="J151" i="8" s="1"/>
  <c r="I40" i="2"/>
  <c r="L17" i="10"/>
  <c r="M17" i="10"/>
  <c r="L15" i="10"/>
  <c r="M15" i="10"/>
  <c r="M28" i="4"/>
  <c r="L48" i="2"/>
  <c r="K47" i="2"/>
  <c r="M47" i="2" s="1"/>
  <c r="D69" i="1"/>
  <c r="D89" i="1" s="1"/>
  <c r="D98" i="1" s="1"/>
  <c r="D47" i="2"/>
  <c r="D123" i="2"/>
  <c r="J123" i="2" s="1"/>
  <c r="M19" i="3"/>
  <c r="J45" i="3"/>
  <c r="M13" i="3"/>
  <c r="J42" i="3"/>
  <c r="F22" i="1"/>
  <c r="K69" i="1"/>
  <c r="D65" i="3"/>
  <c r="J64" i="3"/>
  <c r="D70" i="3"/>
  <c r="D68" i="3"/>
  <c r="J71" i="3"/>
  <c r="J59" i="2"/>
  <c r="J124" i="2"/>
  <c r="J33" i="1"/>
  <c r="L33" i="1" s="1"/>
  <c r="J19" i="2"/>
  <c r="G413" i="2"/>
  <c r="G411" i="2" s="1"/>
  <c r="J418" i="2"/>
  <c r="J216" i="2"/>
  <c r="J245" i="2"/>
  <c r="I244" i="2"/>
  <c r="J252" i="2"/>
  <c r="D249" i="2"/>
  <c r="L51" i="2"/>
  <c r="J150" i="3"/>
  <c r="M20" i="1"/>
  <c r="I67" i="8"/>
  <c r="J143" i="3"/>
  <c r="J66" i="3"/>
  <c r="L377" i="2"/>
  <c r="J134" i="3"/>
  <c r="J195" i="2"/>
  <c r="L178" i="2"/>
  <c r="J168" i="2"/>
  <c r="J91" i="2"/>
  <c r="L55" i="2"/>
  <c r="J154" i="3"/>
  <c r="L38" i="4"/>
  <c r="J175" i="3"/>
  <c r="J68" i="3"/>
  <c r="L132" i="2"/>
  <c r="L62" i="2"/>
  <c r="I130" i="6"/>
  <c r="J130" i="6" s="1"/>
  <c r="M130" i="6"/>
  <c r="J161" i="3"/>
  <c r="L145" i="3"/>
  <c r="L175" i="3"/>
  <c r="L108" i="2"/>
  <c r="J141" i="2"/>
  <c r="L260" i="2"/>
  <c r="D66" i="1"/>
  <c r="D31" i="2"/>
  <c r="C35" i="1"/>
  <c r="D369" i="2"/>
  <c r="F27" i="2"/>
  <c r="F26" i="2" s="1"/>
  <c r="E33" i="1"/>
  <c r="E12" i="1"/>
  <c r="J19" i="1"/>
  <c r="L19" i="1" s="1"/>
  <c r="L468" i="2"/>
  <c r="L300" i="2"/>
  <c r="J50" i="3"/>
  <c r="J178" i="3"/>
  <c r="J190" i="3"/>
  <c r="J21" i="10"/>
  <c r="J136" i="3"/>
  <c r="J69" i="3"/>
  <c r="L187" i="3"/>
  <c r="L373" i="2"/>
  <c r="L366" i="2"/>
  <c r="L362" i="2"/>
  <c r="L348" i="2"/>
  <c r="J152" i="3"/>
  <c r="L273" i="2"/>
  <c r="L228" i="2"/>
  <c r="L138" i="2"/>
  <c r="L123" i="2"/>
  <c r="I126" i="6"/>
  <c r="L426" i="2"/>
  <c r="I65" i="5"/>
  <c r="I50" i="5" s="1"/>
  <c r="G90" i="1"/>
  <c r="G96" i="1" s="1"/>
  <c r="G99" i="1" s="1"/>
  <c r="G80" i="1"/>
  <c r="J148" i="3"/>
  <c r="L151" i="3"/>
  <c r="C30" i="1"/>
  <c r="L313" i="2"/>
  <c r="J17" i="1"/>
  <c r="L17" i="1" s="1"/>
  <c r="J423" i="2"/>
  <c r="M22" i="2"/>
  <c r="L14" i="10"/>
  <c r="F12" i="1"/>
  <c r="J17" i="7"/>
  <c r="L464" i="2"/>
  <c r="L207" i="2"/>
  <c r="M99" i="6"/>
  <c r="I99" i="6"/>
  <c r="I114" i="6"/>
  <c r="J114" i="6" s="1"/>
  <c r="M114" i="6"/>
  <c r="L431" i="2"/>
  <c r="I118" i="6"/>
  <c r="J118" i="6" s="1"/>
  <c r="M118" i="6"/>
  <c r="J138" i="3"/>
  <c r="C81" i="1"/>
  <c r="J20" i="10"/>
  <c r="J141" i="3"/>
  <c r="J153" i="3"/>
  <c r="J76" i="2"/>
  <c r="J67" i="8"/>
  <c r="J237" i="8"/>
  <c r="K73" i="1"/>
  <c r="K71" i="1"/>
  <c r="K82" i="1"/>
  <c r="K74" i="1"/>
  <c r="K81" i="1"/>
  <c r="M30" i="6"/>
  <c r="I30" i="6"/>
  <c r="J448" i="2"/>
  <c r="L448" i="2"/>
  <c r="J52" i="4"/>
  <c r="J17" i="4"/>
  <c r="C74" i="1"/>
  <c r="J29" i="10"/>
  <c r="I28" i="10"/>
  <c r="L139" i="3"/>
  <c r="L127" i="3"/>
  <c r="L133" i="3"/>
  <c r="L121" i="3"/>
  <c r="M13" i="9"/>
  <c r="L51" i="4"/>
  <c r="L13" i="4"/>
  <c r="L19" i="4"/>
  <c r="L25" i="4"/>
  <c r="L61" i="3"/>
  <c r="L67" i="3"/>
  <c r="I21" i="3"/>
  <c r="L49" i="3"/>
  <c r="L55" i="3"/>
  <c r="K10" i="8"/>
  <c r="M10" i="8" s="1"/>
  <c r="J58" i="8"/>
  <c r="L77" i="2"/>
  <c r="L21" i="3"/>
  <c r="J20" i="3"/>
  <c r="I94" i="6"/>
  <c r="J94" i="6" s="1"/>
  <c r="M94" i="6"/>
  <c r="M25" i="6"/>
  <c r="I25" i="6"/>
  <c r="J25" i="6" s="1"/>
  <c r="L14" i="6"/>
  <c r="L181" i="3"/>
  <c r="L169" i="3"/>
  <c r="J173" i="3"/>
  <c r="L16" i="3"/>
  <c r="D166" i="3"/>
  <c r="J166" i="3" s="1"/>
  <c r="J167" i="3"/>
  <c r="L163" i="3"/>
  <c r="D164" i="3"/>
  <c r="J164" i="3" s="1"/>
  <c r="J165" i="3"/>
  <c r="J162" i="3"/>
  <c r="D158" i="3"/>
  <c r="L157" i="3"/>
  <c r="L452" i="2"/>
  <c r="L334" i="2"/>
  <c r="L291" i="2"/>
  <c r="J267" i="2"/>
  <c r="L255" i="2"/>
  <c r="L232" i="2"/>
  <c r="L223" i="2"/>
  <c r="L211" i="2"/>
  <c r="L202" i="2"/>
  <c r="L166" i="2"/>
  <c r="L42" i="2"/>
  <c r="L43" i="2"/>
  <c r="L145" i="2"/>
  <c r="L115" i="2"/>
  <c r="L116" i="2"/>
  <c r="L100" i="2"/>
  <c r="L99" i="2"/>
  <c r="L86" i="2"/>
  <c r="L70" i="2"/>
  <c r="J68" i="1"/>
  <c r="K68" i="1" s="1"/>
  <c r="D300" i="2"/>
  <c r="L30" i="2"/>
  <c r="J90" i="1"/>
  <c r="J96" i="1" s="1"/>
  <c r="I23" i="10"/>
  <c r="I14" i="10"/>
  <c r="J32" i="4"/>
  <c r="J40" i="4"/>
  <c r="J25" i="4"/>
  <c r="L22" i="4"/>
  <c r="J35" i="4"/>
  <c r="L28" i="4"/>
  <c r="I59" i="4"/>
  <c r="J59" i="4" s="1"/>
  <c r="I34" i="4"/>
  <c r="G12" i="3"/>
  <c r="L13" i="3"/>
  <c r="J51" i="9"/>
  <c r="L60" i="9"/>
  <c r="L17" i="9"/>
  <c r="L57" i="9"/>
  <c r="L41" i="9"/>
  <c r="L67" i="9"/>
  <c r="L23" i="9"/>
  <c r="L50" i="9"/>
  <c r="L28" i="9"/>
  <c r="L46" i="9"/>
  <c r="K19" i="9"/>
  <c r="M19" i="9" s="1"/>
  <c r="L20" i="9"/>
  <c r="J47" i="9"/>
  <c r="J44" i="9"/>
  <c r="I41" i="9"/>
  <c r="J42" i="9"/>
  <c r="I20" i="9"/>
  <c r="J21" i="9"/>
  <c r="J26" i="9"/>
  <c r="K14" i="9"/>
  <c r="M14" i="9" s="1"/>
  <c r="L15" i="9"/>
  <c r="M12" i="9"/>
  <c r="I14" i="9"/>
  <c r="J14" i="9" s="1"/>
  <c r="J15" i="9"/>
  <c r="L243" i="8"/>
  <c r="L29" i="8"/>
  <c r="L247" i="8"/>
  <c r="L24" i="8"/>
  <c r="L137" i="8"/>
  <c r="L233" i="8"/>
  <c r="L74" i="8"/>
  <c r="L206" i="8"/>
  <c r="L221" i="8"/>
  <c r="L83" i="8"/>
  <c r="L13" i="8"/>
  <c r="L239" i="8"/>
  <c r="L40" i="8"/>
  <c r="L10" i="8"/>
  <c r="L18" i="8"/>
  <c r="L114" i="8"/>
  <c r="L226" i="8"/>
  <c r="L131" i="8"/>
  <c r="L125" i="8"/>
  <c r="L120" i="8"/>
  <c r="L54" i="8"/>
  <c r="L191" i="8"/>
  <c r="L145" i="8"/>
  <c r="L34" i="8"/>
  <c r="L48" i="8"/>
  <c r="J204" i="8"/>
  <c r="I32" i="8"/>
  <c r="J201" i="8"/>
  <c r="I28" i="8"/>
  <c r="J193" i="8"/>
  <c r="J253" i="8"/>
  <c r="I20" i="8"/>
  <c r="J39" i="8"/>
  <c r="J244" i="8"/>
  <c r="J200" i="8"/>
  <c r="I114" i="8"/>
  <c r="J114" i="8" s="1"/>
  <c r="J117" i="8"/>
  <c r="I61" i="8"/>
  <c r="J62" i="8"/>
  <c r="J55" i="8"/>
  <c r="L198" i="8"/>
  <c r="I247" i="8"/>
  <c r="J247" i="8" s="1"/>
  <c r="J248" i="8"/>
  <c r="J257" i="8"/>
  <c r="J105" i="3"/>
  <c r="J100" i="3"/>
  <c r="J81" i="3"/>
  <c r="J76" i="3"/>
  <c r="J47" i="3"/>
  <c r="L38" i="3"/>
  <c r="L73" i="3"/>
  <c r="J78" i="3"/>
  <c r="L103" i="3"/>
  <c r="J77" i="3"/>
  <c r="J106" i="3"/>
  <c r="L97" i="3"/>
  <c r="J101" i="3"/>
  <c r="J82" i="3"/>
  <c r="J102" i="3"/>
  <c r="J83" i="3"/>
  <c r="J107" i="3"/>
  <c r="I34" i="3"/>
  <c r="I169" i="3"/>
  <c r="J188" i="3"/>
  <c r="J176" i="3"/>
  <c r="K11" i="3"/>
  <c r="M11" i="3" s="1"/>
  <c r="J345" i="2"/>
  <c r="I269" i="2"/>
  <c r="J269" i="2" s="1"/>
  <c r="J270" i="2"/>
  <c r="J127" i="2"/>
  <c r="J327" i="2"/>
  <c r="J180" i="2"/>
  <c r="J106" i="2"/>
  <c r="J182" i="2"/>
  <c r="J439" i="2"/>
  <c r="J438" i="2"/>
  <c r="J181" i="2"/>
  <c r="L238" i="2"/>
  <c r="J100" i="2"/>
  <c r="D56" i="2"/>
  <c r="D55" i="2" s="1"/>
  <c r="J58" i="2"/>
  <c r="H35" i="1"/>
  <c r="J49" i="2"/>
  <c r="J191" i="2"/>
  <c r="J151" i="2"/>
  <c r="J196" i="2"/>
  <c r="J233" i="2"/>
  <c r="L244" i="2"/>
  <c r="J81" i="2"/>
  <c r="J186" i="2"/>
  <c r="J314" i="2"/>
  <c r="L370" i="2"/>
  <c r="L415" i="2"/>
  <c r="L19" i="2"/>
  <c r="J442" i="2"/>
  <c r="L36" i="2"/>
  <c r="L16" i="2"/>
  <c r="L22" i="2"/>
  <c r="J78" i="2"/>
  <c r="L190" i="2"/>
  <c r="J40" i="1"/>
  <c r="L35" i="2"/>
  <c r="L25" i="2"/>
  <c r="J41" i="2"/>
  <c r="J161" i="2"/>
  <c r="J375" i="2"/>
  <c r="J213" i="2"/>
  <c r="J159" i="2"/>
  <c r="J212" i="2"/>
  <c r="J73" i="2"/>
  <c r="J101" i="2"/>
  <c r="D86" i="2"/>
  <c r="D85" i="2" s="1"/>
  <c r="J88" i="2"/>
  <c r="L92" i="2"/>
  <c r="J203" i="2"/>
  <c r="L196" i="2"/>
  <c r="J111" i="2"/>
  <c r="J44" i="2"/>
  <c r="L31" i="2"/>
  <c r="J432" i="2"/>
  <c r="J330" i="2"/>
  <c r="J444" i="2"/>
  <c r="J292" i="2"/>
  <c r="L264" i="2"/>
  <c r="J368" i="2"/>
  <c r="J192" i="2"/>
  <c r="J293" i="2"/>
  <c r="J183" i="2"/>
  <c r="J133" i="2"/>
  <c r="J122" i="2"/>
  <c r="J239" i="2"/>
  <c r="H20" i="1"/>
  <c r="I20" i="1" s="1"/>
  <c r="I24" i="7"/>
  <c r="J24" i="7" s="1"/>
  <c r="I69" i="7"/>
  <c r="I75" i="7"/>
  <c r="I57" i="7"/>
  <c r="J81" i="7"/>
  <c r="I51" i="7"/>
  <c r="J51" i="7" s="1"/>
  <c r="I45" i="7"/>
  <c r="J45" i="7" s="1"/>
  <c r="J39" i="7"/>
  <c r="I33" i="7"/>
  <c r="J78" i="7"/>
  <c r="L33" i="7"/>
  <c r="L13" i="7"/>
  <c r="K18" i="7"/>
  <c r="M18" i="7" s="1"/>
  <c r="L21" i="7"/>
  <c r="L19" i="7"/>
  <c r="L39" i="7"/>
  <c r="L87" i="7"/>
  <c r="J87" i="7"/>
  <c r="L16" i="7"/>
  <c r="J70" i="7"/>
  <c r="L57" i="7"/>
  <c r="L51" i="7"/>
  <c r="I21" i="7"/>
  <c r="J21" i="7" s="1"/>
  <c r="J22" i="7"/>
  <c r="K84" i="1"/>
  <c r="J80" i="1"/>
  <c r="K80" i="1" s="1"/>
  <c r="K78" i="1"/>
  <c r="J77" i="1"/>
  <c r="J15" i="6"/>
  <c r="L99" i="6"/>
  <c r="J16" i="6"/>
  <c r="J86" i="1"/>
  <c r="K87" i="1"/>
  <c r="J17" i="9"/>
  <c r="K35" i="1"/>
  <c r="K30" i="1"/>
  <c r="K27" i="1"/>
  <c r="K18" i="1"/>
  <c r="I221" i="8"/>
  <c r="J217" i="8"/>
  <c r="J214" i="8"/>
  <c r="I206" i="8"/>
  <c r="J207" i="8"/>
  <c r="J25" i="8"/>
  <c r="I93" i="8"/>
  <c r="J93" i="8" s="1"/>
  <c r="J94" i="8"/>
  <c r="L25" i="6"/>
  <c r="L94" i="6"/>
  <c r="J128" i="6"/>
  <c r="J47" i="6"/>
  <c r="J83" i="6"/>
  <c r="J97" i="6"/>
  <c r="J119" i="6"/>
  <c r="J73" i="6"/>
  <c r="J124" i="6"/>
  <c r="K109" i="6"/>
  <c r="M109" i="6" s="1"/>
  <c r="L126" i="6"/>
  <c r="J37" i="6"/>
  <c r="J100" i="6"/>
  <c r="J131" i="6"/>
  <c r="J95" i="6"/>
  <c r="I17" i="6"/>
  <c r="J18" i="6"/>
  <c r="J76" i="6"/>
  <c r="J77" i="6"/>
  <c r="J79" i="6"/>
  <c r="J80" i="6"/>
  <c r="J70" i="6"/>
  <c r="I65" i="1"/>
  <c r="G38" i="2"/>
  <c r="J88" i="6"/>
  <c r="L30" i="6"/>
  <c r="I20" i="6"/>
  <c r="J21" i="6"/>
  <c r="J53" i="2"/>
  <c r="I223" i="2"/>
  <c r="J223" i="2" s="1"/>
  <c r="I207" i="2"/>
  <c r="J207" i="2" s="1"/>
  <c r="I22" i="2"/>
  <c r="I468" i="2"/>
  <c r="J468" i="2" s="1"/>
  <c r="M21" i="2"/>
  <c r="H81" i="1"/>
  <c r="I464" i="2"/>
  <c r="J464" i="2" s="1"/>
  <c r="I452" i="2"/>
  <c r="J452" i="2" s="1"/>
  <c r="I440" i="2"/>
  <c r="I460" i="2"/>
  <c r="J460" i="2" s="1"/>
  <c r="I162" i="2"/>
  <c r="J162" i="2" s="1"/>
  <c r="I238" i="2"/>
  <c r="J238" i="2" s="1"/>
  <c r="K20" i="2"/>
  <c r="M20" i="2" s="1"/>
  <c r="K107" i="2"/>
  <c r="M107" i="2" s="1"/>
  <c r="I77" i="2"/>
  <c r="J20" i="1"/>
  <c r="L20" i="1" s="1"/>
  <c r="K414" i="2"/>
  <c r="I31" i="2"/>
  <c r="K29" i="2"/>
  <c r="M29" i="2" s="1"/>
  <c r="K312" i="2"/>
  <c r="M312" i="2" s="1"/>
  <c r="I35" i="2"/>
  <c r="K307" i="2"/>
  <c r="M307" i="2" s="1"/>
  <c r="J25" i="1"/>
  <c r="L25" i="1" s="1"/>
  <c r="J16" i="1"/>
  <c r="L16" i="1" s="1"/>
  <c r="I421" i="2"/>
  <c r="I472" i="2"/>
  <c r="J472" i="2" s="1"/>
  <c r="H78" i="1"/>
  <c r="I78" i="1" s="1"/>
  <c r="I9" i="7"/>
  <c r="D28" i="10"/>
  <c r="F9" i="3"/>
  <c r="K107" i="6"/>
  <c r="L50" i="5"/>
  <c r="I163" i="3"/>
  <c r="D421" i="2"/>
  <c r="D420" i="2" s="1"/>
  <c r="E33" i="2"/>
  <c r="H87" i="1"/>
  <c r="I87" i="1" s="1"/>
  <c r="E14" i="10"/>
  <c r="I60" i="9"/>
  <c r="J60" i="9" s="1"/>
  <c r="J15" i="7"/>
  <c r="I74" i="8"/>
  <c r="J55" i="5"/>
  <c r="C71" i="1"/>
  <c r="D11" i="4"/>
  <c r="D16" i="4"/>
  <c r="C72" i="1" s="1"/>
  <c r="G13" i="1"/>
  <c r="G52" i="1" s="1"/>
  <c r="G114" i="1" s="1"/>
  <c r="E421" i="2"/>
  <c r="E420" i="2" s="1"/>
  <c r="F411" i="2"/>
  <c r="I256" i="8"/>
  <c r="I255" i="8" s="1"/>
  <c r="I241" i="8"/>
  <c r="J112" i="6"/>
  <c r="I115" i="2"/>
  <c r="J115" i="2" s="1"/>
  <c r="J41" i="1"/>
  <c r="L41" i="1" s="1"/>
  <c r="J89" i="1"/>
  <c r="J98" i="1" s="1"/>
  <c r="I22" i="4"/>
  <c r="H82" i="1"/>
  <c r="I82" i="1" s="1"/>
  <c r="I15" i="4"/>
  <c r="I28" i="9"/>
  <c r="J28" i="9" s="1"/>
  <c r="I48" i="8"/>
  <c r="J48" i="8" s="1"/>
  <c r="I34" i="8"/>
  <c r="J34" i="8" s="1"/>
  <c r="E22" i="1"/>
  <c r="H70" i="1"/>
  <c r="I70" i="1" s="1"/>
  <c r="D22" i="4"/>
  <c r="E67" i="1"/>
  <c r="I24" i="2"/>
  <c r="K15" i="2"/>
  <c r="E29" i="2"/>
  <c r="D32" i="1" s="1"/>
  <c r="K27" i="2"/>
  <c r="M27" i="2" s="1"/>
  <c r="E16" i="2"/>
  <c r="D16" i="1" s="1"/>
  <c r="I370" i="2"/>
  <c r="J370" i="2" s="1"/>
  <c r="I28" i="2"/>
  <c r="J28" i="2" s="1"/>
  <c r="I30" i="2"/>
  <c r="J30" i="2" s="1"/>
  <c r="D362" i="2"/>
  <c r="D361" i="2" s="1"/>
  <c r="D17" i="2"/>
  <c r="F361" i="2"/>
  <c r="D211" i="2"/>
  <c r="H26" i="2"/>
  <c r="I313" i="2"/>
  <c r="D22" i="2"/>
  <c r="D313" i="2"/>
  <c r="G414" i="2"/>
  <c r="J249" i="2"/>
  <c r="F43" i="2"/>
  <c r="F38" i="2" s="1"/>
  <c r="D303" i="2"/>
  <c r="J303" i="2" s="1"/>
  <c r="D377" i="2"/>
  <c r="J377" i="2" s="1"/>
  <c r="L47" i="2"/>
  <c r="D441" i="2"/>
  <c r="D440" i="2" s="1"/>
  <c r="I108" i="2"/>
  <c r="J108" i="2" s="1"/>
  <c r="D133" i="3"/>
  <c r="I49" i="3"/>
  <c r="D62" i="3"/>
  <c r="D74" i="3"/>
  <c r="D73" i="3" s="1"/>
  <c r="D121" i="3"/>
  <c r="E133" i="3"/>
  <c r="D139" i="3"/>
  <c r="I44" i="3"/>
  <c r="J44" i="3" s="1"/>
  <c r="D127" i="3"/>
  <c r="E163" i="3"/>
  <c r="D98" i="3"/>
  <c r="D97" i="3" s="1"/>
  <c r="D67" i="3"/>
  <c r="K18" i="3"/>
  <c r="M18" i="3" s="1"/>
  <c r="K12" i="3"/>
  <c r="E97" i="3"/>
  <c r="H22" i="4"/>
  <c r="H21" i="4" s="1"/>
  <c r="J66" i="5"/>
  <c r="G22" i="1"/>
  <c r="K11" i="6"/>
  <c r="I22" i="6"/>
  <c r="J22" i="6" s="1"/>
  <c r="K12" i="6"/>
  <c r="M12" i="6" s="1"/>
  <c r="J99" i="6"/>
  <c r="F86" i="1"/>
  <c r="F79" i="1" s="1"/>
  <c r="G86" i="1"/>
  <c r="K13" i="6"/>
  <c r="M13" i="6" s="1"/>
  <c r="I213" i="8"/>
  <c r="J213" i="8" s="1"/>
  <c r="K232" i="8"/>
  <c r="M232" i="8" s="1"/>
  <c r="D34" i="4"/>
  <c r="K21" i="4"/>
  <c r="M21" i="4" s="1"/>
  <c r="E73" i="3"/>
  <c r="I149" i="3"/>
  <c r="J149" i="3" s="1"/>
  <c r="D437" i="2"/>
  <c r="D436" i="2" s="1"/>
  <c r="D202" i="2"/>
  <c r="J202" i="2" s="1"/>
  <c r="J244" i="2"/>
  <c r="E43" i="2"/>
  <c r="E25" i="2"/>
  <c r="D27" i="1" s="1"/>
  <c r="K39" i="2"/>
  <c r="M39" i="2" s="1"/>
  <c r="J21" i="1"/>
  <c r="L21" i="1" s="1"/>
  <c r="H15" i="2"/>
  <c r="F21" i="2"/>
  <c r="J50" i="9"/>
  <c r="K238" i="8"/>
  <c r="M238" i="8" s="1"/>
  <c r="L14" i="9"/>
  <c r="I120" i="8"/>
  <c r="J120" i="8" s="1"/>
  <c r="I30" i="8"/>
  <c r="K23" i="8"/>
  <c r="M23" i="8" s="1"/>
  <c r="J57" i="7"/>
  <c r="K131" i="2"/>
  <c r="E99" i="2"/>
  <c r="D77" i="2"/>
  <c r="I62" i="2"/>
  <c r="J62" i="2" s="1"/>
  <c r="E20" i="2"/>
  <c r="E39" i="2"/>
  <c r="G15" i="2"/>
  <c r="G14" i="2" s="1"/>
  <c r="F15" i="2"/>
  <c r="I125" i="3"/>
  <c r="J125" i="3" s="1"/>
  <c r="I260" i="2"/>
  <c r="J260" i="2" s="1"/>
  <c r="I194" i="2"/>
  <c r="J194" i="2" s="1"/>
  <c r="I179" i="2"/>
  <c r="J179" i="2" s="1"/>
  <c r="E166" i="2"/>
  <c r="K85" i="2"/>
  <c r="M85" i="2" s="1"/>
  <c r="I69" i="2"/>
  <c r="I195" i="8"/>
  <c r="I21" i="8"/>
  <c r="K12" i="8"/>
  <c r="I132" i="8"/>
  <c r="I16" i="8"/>
  <c r="I252" i="8"/>
  <c r="J69" i="7"/>
  <c r="I29" i="4"/>
  <c r="E28" i="4"/>
  <c r="K12" i="4"/>
  <c r="M12" i="4" s="1"/>
  <c r="E12" i="4"/>
  <c r="I187" i="3"/>
  <c r="J187" i="3" s="1"/>
  <c r="I122" i="3"/>
  <c r="J122" i="3" s="1"/>
  <c r="I104" i="3"/>
  <c r="J104" i="3" s="1"/>
  <c r="E103" i="3"/>
  <c r="I98" i="3"/>
  <c r="D151" i="3"/>
  <c r="E145" i="3"/>
  <c r="E11" i="3" s="1"/>
  <c r="I65" i="3"/>
  <c r="J65" i="3" s="1"/>
  <c r="E61" i="3"/>
  <c r="I456" i="2"/>
  <c r="J456" i="2" s="1"/>
  <c r="I436" i="2"/>
  <c r="D426" i="2"/>
  <c r="K369" i="2"/>
  <c r="M369" i="2" s="1"/>
  <c r="K361" i="2"/>
  <c r="M361" i="2" s="1"/>
  <c r="D311" i="2"/>
  <c r="D24" i="2" s="1"/>
  <c r="C25" i="1" s="1"/>
  <c r="D346" i="2"/>
  <c r="J346" i="2" s="1"/>
  <c r="D309" i="2"/>
  <c r="D308" i="2" s="1"/>
  <c r="D344" i="2"/>
  <c r="D343" i="2" s="1"/>
  <c r="I130" i="3"/>
  <c r="J130" i="3" s="1"/>
  <c r="D51" i="4"/>
  <c r="I310" i="2"/>
  <c r="I273" i="2"/>
  <c r="J273" i="2" s="1"/>
  <c r="I255" i="2"/>
  <c r="J255" i="2" s="1"/>
  <c r="I232" i="2"/>
  <c r="J232" i="2" s="1"/>
  <c r="E190" i="2"/>
  <c r="E178" i="2"/>
  <c r="I172" i="2"/>
  <c r="J172" i="2" s="1"/>
  <c r="I167" i="2"/>
  <c r="J167" i="2" s="1"/>
  <c r="I158" i="2"/>
  <c r="E157" i="2"/>
  <c r="I145" i="2"/>
  <c r="J145" i="2" s="1"/>
  <c r="I131" i="2"/>
  <c r="J131" i="2" s="1"/>
  <c r="I92" i="2"/>
  <c r="J92" i="2" s="1"/>
  <c r="E69" i="2"/>
  <c r="I243" i="8"/>
  <c r="I23" i="9"/>
  <c r="I199" i="8"/>
  <c r="I192" i="8"/>
  <c r="I26" i="8"/>
  <c r="I138" i="8"/>
  <c r="I54" i="8"/>
  <c r="J54" i="8" s="1"/>
  <c r="I40" i="8"/>
  <c r="J40" i="8" s="1"/>
  <c r="I202" i="8"/>
  <c r="I31" i="8"/>
  <c r="I14" i="8"/>
  <c r="I234" i="8"/>
  <c r="J39" i="4"/>
  <c r="D29" i="4"/>
  <c r="D28" i="4" s="1"/>
  <c r="I158" i="3"/>
  <c r="E157" i="3"/>
  <c r="I142" i="3"/>
  <c r="J142" i="3" s="1"/>
  <c r="I128" i="3"/>
  <c r="J128" i="3" s="1"/>
  <c r="I43" i="3"/>
  <c r="J43" i="3" s="1"/>
  <c r="I38" i="3"/>
  <c r="I80" i="3"/>
  <c r="E79" i="3"/>
  <c r="I74" i="3"/>
  <c r="E151" i="3"/>
  <c r="D146" i="3"/>
  <c r="D145" i="3" s="1"/>
  <c r="D11" i="3" s="1"/>
  <c r="I70" i="3"/>
  <c r="J70" i="3" s="1"/>
  <c r="E67" i="3"/>
  <c r="I55" i="3"/>
  <c r="J55" i="3" s="1"/>
  <c r="I426" i="2"/>
  <c r="I369" i="2"/>
  <c r="I361" i="2"/>
  <c r="J361" i="2" s="1"/>
  <c r="I344" i="2"/>
  <c r="I309" i="2"/>
  <c r="E343" i="2"/>
  <c r="I334" i="2"/>
  <c r="J334" i="2" s="1"/>
  <c r="I326" i="2"/>
  <c r="J326" i="2" s="1"/>
  <c r="I51" i="4"/>
  <c r="I133" i="3"/>
  <c r="J133" i="3" s="1"/>
  <c r="I151" i="3"/>
  <c r="D49" i="3"/>
  <c r="I184" i="2"/>
  <c r="J184" i="2" s="1"/>
  <c r="D178" i="2"/>
  <c r="D170" i="2"/>
  <c r="D166" i="2" s="1"/>
  <c r="D158" i="2"/>
  <c r="I104" i="2"/>
  <c r="J104" i="2" s="1"/>
  <c r="I89" i="2"/>
  <c r="J89" i="2" s="1"/>
  <c r="K69" i="2"/>
  <c r="M69" i="2" s="1"/>
  <c r="D70" i="2"/>
  <c r="D69" i="2" s="1"/>
  <c r="D42" i="2"/>
  <c r="I55" i="2"/>
  <c r="I211" i="2"/>
  <c r="J211" i="2" s="1"/>
  <c r="I18" i="7" l="1"/>
  <c r="J74" i="3"/>
  <c r="D61" i="3"/>
  <c r="H9" i="3"/>
  <c r="E10" i="3"/>
  <c r="E9" i="3" s="1"/>
  <c r="D157" i="2"/>
  <c r="J309" i="2"/>
  <c r="I20" i="2"/>
  <c r="E13" i="2"/>
  <c r="J55" i="2"/>
  <c r="J35" i="2"/>
  <c r="M414" i="2"/>
  <c r="F66" i="1"/>
  <c r="F95" i="1" s="1"/>
  <c r="M33" i="2"/>
  <c r="K13" i="2"/>
  <c r="M131" i="2"/>
  <c r="J66" i="1"/>
  <c r="J95" i="1" s="1"/>
  <c r="M413" i="2"/>
  <c r="L66" i="1" s="1"/>
  <c r="L96" i="1"/>
  <c r="J99" i="1"/>
  <c r="L99" i="1" s="1"/>
  <c r="K96" i="1"/>
  <c r="D64" i="1"/>
  <c r="D93" i="1" s="1"/>
  <c r="D95" i="1"/>
  <c r="G102" i="1"/>
  <c r="G51" i="1"/>
  <c r="E102" i="1"/>
  <c r="E51" i="1"/>
  <c r="E113" i="1" s="1"/>
  <c r="F102" i="1"/>
  <c r="F51" i="1"/>
  <c r="F113" i="1" s="1"/>
  <c r="M90" i="1"/>
  <c r="L98" i="1"/>
  <c r="K98" i="1"/>
  <c r="E29" i="1"/>
  <c r="E28" i="1" s="1"/>
  <c r="E44" i="1" s="1"/>
  <c r="E53" i="1" s="1"/>
  <c r="E56" i="1" s="1"/>
  <c r="E115" i="1" s="1"/>
  <c r="I81" i="1"/>
  <c r="L68" i="1"/>
  <c r="L67" i="1" s="1"/>
  <c r="I74" i="1"/>
  <c r="K33" i="1"/>
  <c r="L40" i="1"/>
  <c r="J37" i="1"/>
  <c r="J9" i="7"/>
  <c r="M13" i="2"/>
  <c r="M15" i="2"/>
  <c r="J300" i="2"/>
  <c r="D13" i="2"/>
  <c r="M11" i="6"/>
  <c r="L15" i="1"/>
  <c r="J45" i="4"/>
  <c r="M89" i="1"/>
  <c r="J23" i="9"/>
  <c r="I12" i="9"/>
  <c r="J23" i="10"/>
  <c r="I12" i="10"/>
  <c r="J12" i="10" s="1"/>
  <c r="J252" i="8"/>
  <c r="K17" i="1"/>
  <c r="L11" i="8"/>
  <c r="M12" i="8"/>
  <c r="M107" i="6"/>
  <c r="D68" i="1"/>
  <c r="D67" i="1" s="1"/>
  <c r="D16" i="2"/>
  <c r="C16" i="1" s="1"/>
  <c r="M12" i="3"/>
  <c r="J151" i="3"/>
  <c r="J98" i="3"/>
  <c r="J169" i="3"/>
  <c r="J12" i="1"/>
  <c r="J22" i="3"/>
  <c r="L22" i="1"/>
  <c r="K46" i="2"/>
  <c r="M46" i="2" s="1"/>
  <c r="I413" i="2"/>
  <c r="D413" i="2"/>
  <c r="J15" i="3"/>
  <c r="L89" i="1"/>
  <c r="D29" i="1"/>
  <c r="M25" i="1"/>
  <c r="L361" i="2"/>
  <c r="L131" i="2"/>
  <c r="L29" i="2"/>
  <c r="L107" i="2"/>
  <c r="J14" i="10"/>
  <c r="J62" i="3"/>
  <c r="J42" i="2"/>
  <c r="C21" i="1"/>
  <c r="I21" i="1" s="1"/>
  <c r="I61" i="3"/>
  <c r="J344" i="2"/>
  <c r="J369" i="2"/>
  <c r="J426" i="2"/>
  <c r="J38" i="3"/>
  <c r="L369" i="2"/>
  <c r="J436" i="2"/>
  <c r="J32" i="8"/>
  <c r="G79" i="1"/>
  <c r="J17" i="2"/>
  <c r="C17" i="1"/>
  <c r="I17" i="1" s="1"/>
  <c r="F13" i="1"/>
  <c r="L312" i="2"/>
  <c r="J31" i="2"/>
  <c r="I109" i="6"/>
  <c r="J67" i="1"/>
  <c r="J34" i="3"/>
  <c r="I48" i="5"/>
  <c r="J65" i="5"/>
  <c r="J146" i="3"/>
  <c r="F11" i="2"/>
  <c r="E13" i="1"/>
  <c r="E52" i="1" s="1"/>
  <c r="E114" i="1" s="1"/>
  <c r="G103" i="1"/>
  <c r="G11" i="1"/>
  <c r="J61" i="8"/>
  <c r="J234" i="8"/>
  <c r="J256" i="8"/>
  <c r="L80" i="1"/>
  <c r="L79" i="1" s="1"/>
  <c r="K21" i="1"/>
  <c r="K90" i="1"/>
  <c r="K89" i="1"/>
  <c r="D9" i="4"/>
  <c r="C68" i="1"/>
  <c r="C89" i="1"/>
  <c r="C98" i="1" s="1"/>
  <c r="I107" i="6"/>
  <c r="J28" i="10"/>
  <c r="L11" i="3"/>
  <c r="L13" i="9"/>
  <c r="J41" i="9"/>
  <c r="L12" i="4"/>
  <c r="L21" i="4"/>
  <c r="J49" i="3"/>
  <c r="H26" i="1"/>
  <c r="I26" i="1" s="1"/>
  <c r="J195" i="8"/>
  <c r="J14" i="8"/>
  <c r="J199" i="8"/>
  <c r="J192" i="8"/>
  <c r="J202" i="8"/>
  <c r="H39" i="1"/>
  <c r="K9" i="8"/>
  <c r="H31" i="1"/>
  <c r="L33" i="2"/>
  <c r="L46" i="2"/>
  <c r="L18" i="3"/>
  <c r="L12" i="6"/>
  <c r="L12" i="3"/>
  <c r="D163" i="3"/>
  <c r="D157" i="3"/>
  <c r="D10" i="3" s="1"/>
  <c r="D9" i="3" s="1"/>
  <c r="J158" i="3"/>
  <c r="L413" i="2"/>
  <c r="L64" i="1"/>
  <c r="L20" i="2"/>
  <c r="L21" i="2"/>
  <c r="L85" i="2"/>
  <c r="L69" i="2"/>
  <c r="L39" i="2"/>
  <c r="E15" i="2"/>
  <c r="I13" i="4"/>
  <c r="J15" i="4"/>
  <c r="J9" i="4"/>
  <c r="J11" i="4"/>
  <c r="J51" i="4"/>
  <c r="J29" i="4"/>
  <c r="J22" i="4"/>
  <c r="J34" i="4"/>
  <c r="J16" i="4"/>
  <c r="H71" i="1"/>
  <c r="G9" i="3"/>
  <c r="L10" i="3"/>
  <c r="L12" i="9"/>
  <c r="L19" i="9"/>
  <c r="I19" i="9"/>
  <c r="J20" i="9"/>
  <c r="J12" i="9"/>
  <c r="L12" i="8"/>
  <c r="L238" i="8"/>
  <c r="L23" i="8"/>
  <c r="I137" i="8"/>
  <c r="J138" i="8"/>
  <c r="J83" i="8"/>
  <c r="J16" i="8"/>
  <c r="H18" i="1"/>
  <c r="I18" i="1" s="1"/>
  <c r="L232" i="8"/>
  <c r="H34" i="1"/>
  <c r="I34" i="1" s="1"/>
  <c r="J28" i="8"/>
  <c r="J243" i="8"/>
  <c r="I131" i="8"/>
  <c r="I11" i="8" s="1"/>
  <c r="J132" i="8"/>
  <c r="J255" i="8"/>
  <c r="H83" i="1"/>
  <c r="I83" i="1" s="1"/>
  <c r="J241" i="8"/>
  <c r="J20" i="8"/>
  <c r="J80" i="3"/>
  <c r="J45" i="2"/>
  <c r="J69" i="2"/>
  <c r="J48" i="2"/>
  <c r="L27" i="2"/>
  <c r="L15" i="2"/>
  <c r="J421" i="2"/>
  <c r="L307" i="2"/>
  <c r="J77" i="2"/>
  <c r="J440" i="2"/>
  <c r="J22" i="2"/>
  <c r="J416" i="2"/>
  <c r="J170" i="2"/>
  <c r="J70" i="2"/>
  <c r="J311" i="2"/>
  <c r="J86" i="2"/>
  <c r="J441" i="2"/>
  <c r="J158" i="2"/>
  <c r="J313" i="2"/>
  <c r="H25" i="1"/>
  <c r="J24" i="2"/>
  <c r="L414" i="2"/>
  <c r="J40" i="2"/>
  <c r="I16" i="2"/>
  <c r="J437" i="2"/>
  <c r="J56" i="2"/>
  <c r="J362" i="2"/>
  <c r="I36" i="2"/>
  <c r="I33" i="2" s="1"/>
  <c r="H33" i="1"/>
  <c r="I33" i="1" s="1"/>
  <c r="H40" i="1"/>
  <c r="D29" i="2"/>
  <c r="H30" i="1"/>
  <c r="I72" i="1"/>
  <c r="J18" i="7"/>
  <c r="L18" i="7"/>
  <c r="J34" i="7"/>
  <c r="J75" i="7"/>
  <c r="L107" i="6"/>
  <c r="L109" i="6"/>
  <c r="K86" i="1"/>
  <c r="J79" i="1"/>
  <c r="K79" i="1" s="1"/>
  <c r="K16" i="1"/>
  <c r="K20" i="1"/>
  <c r="I35" i="1"/>
  <c r="K41" i="1"/>
  <c r="K25" i="1"/>
  <c r="K40" i="1"/>
  <c r="J221" i="8"/>
  <c r="J31" i="8"/>
  <c r="J26" i="8"/>
  <c r="J21" i="8"/>
  <c r="J206" i="8"/>
  <c r="J30" i="8"/>
  <c r="J74" i="8"/>
  <c r="L12" i="7"/>
  <c r="J11" i="7"/>
  <c r="J127" i="6"/>
  <c r="L13" i="6"/>
  <c r="J36" i="6"/>
  <c r="J69" i="6"/>
  <c r="J72" i="6"/>
  <c r="J28" i="6"/>
  <c r="J123" i="6"/>
  <c r="J26" i="6"/>
  <c r="L11" i="6"/>
  <c r="K10" i="6"/>
  <c r="J17" i="6"/>
  <c r="J33" i="6"/>
  <c r="J31" i="6"/>
  <c r="J20" i="6"/>
  <c r="I85" i="2"/>
  <c r="J85" i="2" s="1"/>
  <c r="H73" i="1"/>
  <c r="I18" i="2"/>
  <c r="I29" i="2"/>
  <c r="K26" i="2"/>
  <c r="M26" i="2" s="1"/>
  <c r="J32" i="1"/>
  <c r="K38" i="2"/>
  <c r="M38" i="2" s="1"/>
  <c r="I25" i="2"/>
  <c r="I21" i="2" s="1"/>
  <c r="I420" i="2"/>
  <c r="J420" i="2" s="1"/>
  <c r="C13" i="1"/>
  <c r="C52" i="1" s="1"/>
  <c r="I69" i="1"/>
  <c r="H11" i="2"/>
  <c r="J50" i="5"/>
  <c r="D13" i="4"/>
  <c r="D12" i="4" s="1"/>
  <c r="I11" i="10"/>
  <c r="K48" i="5"/>
  <c r="M48" i="5" s="1"/>
  <c r="I157" i="3"/>
  <c r="D13" i="1"/>
  <c r="D52" i="1" s="1"/>
  <c r="E411" i="2"/>
  <c r="J111" i="6"/>
  <c r="I239" i="8"/>
  <c r="J52" i="5"/>
  <c r="C90" i="1"/>
  <c r="C96" i="1" s="1"/>
  <c r="C80" i="1"/>
  <c r="G11" i="2"/>
  <c r="K14" i="2"/>
  <c r="K9" i="3"/>
  <c r="I21" i="4"/>
  <c r="K11" i="9"/>
  <c r="M26" i="1"/>
  <c r="M18" i="1"/>
  <c r="J15" i="1"/>
  <c r="G15" i="1"/>
  <c r="G14" i="1" s="1"/>
  <c r="D22" i="1"/>
  <c r="E15" i="1"/>
  <c r="E14" i="1" s="1"/>
  <c r="F15" i="1"/>
  <c r="F14" i="1" s="1"/>
  <c r="F43" i="1" s="1"/>
  <c r="D21" i="4"/>
  <c r="G77" i="1"/>
  <c r="G67" i="1" s="1"/>
  <c r="F77" i="1"/>
  <c r="D15" i="1"/>
  <c r="D19" i="3"/>
  <c r="D12" i="2"/>
  <c r="E12" i="2"/>
  <c r="D12" i="1" s="1"/>
  <c r="E27" i="2"/>
  <c r="E26" i="2" s="1"/>
  <c r="K411" i="2"/>
  <c r="M411" i="2" s="1"/>
  <c r="I27" i="2"/>
  <c r="I415" i="2"/>
  <c r="F14" i="2"/>
  <c r="E38" i="2"/>
  <c r="I312" i="2"/>
  <c r="D312" i="2"/>
  <c r="I107" i="2"/>
  <c r="J107" i="2" s="1"/>
  <c r="I145" i="3"/>
  <c r="D13" i="3"/>
  <c r="C86" i="1"/>
  <c r="I12" i="6"/>
  <c r="J12" i="6" s="1"/>
  <c r="I19" i="6"/>
  <c r="J19" i="6" s="1"/>
  <c r="C77" i="1"/>
  <c r="K230" i="8"/>
  <c r="M230" i="8" s="1"/>
  <c r="H14" i="2"/>
  <c r="E21" i="2"/>
  <c r="E14" i="2" s="1"/>
  <c r="D25" i="2"/>
  <c r="C27" i="1" s="1"/>
  <c r="C22" i="1" s="1"/>
  <c r="D43" i="2"/>
  <c r="I51" i="2"/>
  <c r="I308" i="2"/>
  <c r="J308" i="2" s="1"/>
  <c r="I19" i="3"/>
  <c r="I73" i="3"/>
  <c r="J73" i="3" s="1"/>
  <c r="I127" i="3"/>
  <c r="J127" i="3" s="1"/>
  <c r="I38" i="4"/>
  <c r="J38" i="4" s="1"/>
  <c r="I13" i="8"/>
  <c r="I24" i="8"/>
  <c r="I191" i="8"/>
  <c r="I10" i="8" s="1"/>
  <c r="D310" i="2"/>
  <c r="J310" i="2" s="1"/>
  <c r="I97" i="3"/>
  <c r="J97" i="3" s="1"/>
  <c r="I232" i="8"/>
  <c r="J232" i="8" s="1"/>
  <c r="I14" i="6"/>
  <c r="J14" i="6" s="1"/>
  <c r="J122" i="6"/>
  <c r="I178" i="2"/>
  <c r="J178" i="2" s="1"/>
  <c r="I190" i="2"/>
  <c r="J190" i="2" s="1"/>
  <c r="H86" i="1"/>
  <c r="D20" i="2"/>
  <c r="J20" i="2" s="1"/>
  <c r="I325" i="2"/>
  <c r="I343" i="2"/>
  <c r="J343" i="2" s="1"/>
  <c r="I198" i="8"/>
  <c r="I121" i="3"/>
  <c r="J121" i="3" s="1"/>
  <c r="I28" i="4"/>
  <c r="J28" i="4" s="1"/>
  <c r="I13" i="7"/>
  <c r="J13" i="7" s="1"/>
  <c r="I43" i="2"/>
  <c r="I99" i="2"/>
  <c r="D39" i="2"/>
  <c r="D415" i="2"/>
  <c r="D414" i="2" s="1"/>
  <c r="I16" i="3"/>
  <c r="H77" i="1"/>
  <c r="I67" i="3"/>
  <c r="J67" i="3" s="1"/>
  <c r="I79" i="3"/>
  <c r="I139" i="3"/>
  <c r="J139" i="3" s="1"/>
  <c r="I233" i="8"/>
  <c r="J126" i="6"/>
  <c r="I29" i="8"/>
  <c r="I39" i="2"/>
  <c r="I157" i="2"/>
  <c r="J157" i="2" s="1"/>
  <c r="I166" i="2"/>
  <c r="J166" i="2" s="1"/>
  <c r="D36" i="2"/>
  <c r="D33" i="2" s="1"/>
  <c r="D51" i="2"/>
  <c r="D46" i="2" s="1"/>
  <c r="D21" i="3"/>
  <c r="D16" i="3"/>
  <c r="I103" i="3"/>
  <c r="J103" i="3" s="1"/>
  <c r="J33" i="7"/>
  <c r="I18" i="8"/>
  <c r="I13" i="3"/>
  <c r="K66" i="1" l="1"/>
  <c r="H66" i="1"/>
  <c r="H95" i="1" s="1"/>
  <c r="D38" i="2"/>
  <c r="D21" i="2"/>
  <c r="I13" i="2"/>
  <c r="C32" i="1"/>
  <c r="M19" i="1" s="1"/>
  <c r="D27" i="2"/>
  <c r="D26" i="2" s="1"/>
  <c r="J413" i="2"/>
  <c r="D411" i="2"/>
  <c r="C66" i="1"/>
  <c r="C95" i="1" s="1"/>
  <c r="I95" i="1" s="1"/>
  <c r="L95" i="1"/>
  <c r="K95" i="1"/>
  <c r="F64" i="1"/>
  <c r="F93" i="1" s="1"/>
  <c r="C99" i="1"/>
  <c r="G50" i="1"/>
  <c r="G55" i="1" s="1"/>
  <c r="G113" i="1"/>
  <c r="D114" i="1"/>
  <c r="G112" i="1"/>
  <c r="M12" i="1"/>
  <c r="J51" i="1"/>
  <c r="E50" i="1"/>
  <c r="E55" i="1" s="1"/>
  <c r="D102" i="1"/>
  <c r="D51" i="1"/>
  <c r="F11" i="1"/>
  <c r="F52" i="1"/>
  <c r="K99" i="1"/>
  <c r="L37" i="1"/>
  <c r="I73" i="1"/>
  <c r="I31" i="1"/>
  <c r="I25" i="1"/>
  <c r="I39" i="1"/>
  <c r="M14" i="2"/>
  <c r="M10" i="6"/>
  <c r="L32" i="1"/>
  <c r="L29" i="1" s="1"/>
  <c r="J29" i="1"/>
  <c r="K29" i="1" s="1"/>
  <c r="C29" i="1"/>
  <c r="I71" i="1"/>
  <c r="H68" i="1"/>
  <c r="J61" i="3"/>
  <c r="I10" i="3"/>
  <c r="J10" i="3" s="1"/>
  <c r="M11" i="9"/>
  <c r="M21" i="1"/>
  <c r="H80" i="1"/>
  <c r="I80" i="1" s="1"/>
  <c r="M9" i="8"/>
  <c r="J99" i="2"/>
  <c r="J11" i="10"/>
  <c r="F103" i="1"/>
  <c r="J325" i="2"/>
  <c r="M9" i="3"/>
  <c r="L14" i="1"/>
  <c r="D28" i="1"/>
  <c r="D44" i="1" s="1"/>
  <c r="D104" i="1" s="1"/>
  <c r="I86" i="1"/>
  <c r="C15" i="1"/>
  <c r="J64" i="1"/>
  <c r="J145" i="3"/>
  <c r="I11" i="3"/>
  <c r="J11" i="3" s="1"/>
  <c r="C12" i="1"/>
  <c r="J13" i="3"/>
  <c r="J43" i="2"/>
  <c r="J39" i="2"/>
  <c r="C67" i="1"/>
  <c r="N89" i="1"/>
  <c r="C41" i="1"/>
  <c r="M17" i="1"/>
  <c r="D103" i="1"/>
  <c r="D11" i="1"/>
  <c r="E11" i="1"/>
  <c r="E103" i="1"/>
  <c r="E112" i="1" s="1"/>
  <c r="K37" i="1"/>
  <c r="J233" i="8"/>
  <c r="J239" i="8"/>
  <c r="N90" i="1"/>
  <c r="K12" i="1"/>
  <c r="J102" i="1"/>
  <c r="K32" i="1"/>
  <c r="C64" i="1"/>
  <c r="C93" i="1" s="1"/>
  <c r="F101" i="1"/>
  <c r="E104" i="1"/>
  <c r="L48" i="5"/>
  <c r="I40" i="1"/>
  <c r="L12" i="1"/>
  <c r="J198" i="8"/>
  <c r="J10" i="8"/>
  <c r="L9" i="8"/>
  <c r="J24" i="8"/>
  <c r="J137" i="8"/>
  <c r="J13" i="8"/>
  <c r="J11" i="8"/>
  <c r="J131" i="8"/>
  <c r="L26" i="2"/>
  <c r="J19" i="3"/>
  <c r="D18" i="3"/>
  <c r="J21" i="3"/>
  <c r="J163" i="3"/>
  <c r="J157" i="3"/>
  <c r="L411" i="2"/>
  <c r="L14" i="2"/>
  <c r="L38" i="2"/>
  <c r="J13" i="1"/>
  <c r="J52" i="1" s="1"/>
  <c r="J114" i="1" s="1"/>
  <c r="L13" i="1"/>
  <c r="L103" i="1" s="1"/>
  <c r="D11" i="2"/>
  <c r="J21" i="4"/>
  <c r="J13" i="4"/>
  <c r="D12" i="3"/>
  <c r="J16" i="3"/>
  <c r="L9" i="3"/>
  <c r="L11" i="9"/>
  <c r="J19" i="9"/>
  <c r="L230" i="8"/>
  <c r="H90" i="1"/>
  <c r="H96" i="1" s="1"/>
  <c r="H99" i="1" s="1"/>
  <c r="J191" i="8"/>
  <c r="J79" i="3"/>
  <c r="J47" i="2"/>
  <c r="J33" i="2"/>
  <c r="H19" i="1"/>
  <c r="I19" i="1" s="1"/>
  <c r="J18" i="2"/>
  <c r="J51" i="2"/>
  <c r="J312" i="2"/>
  <c r="J415" i="2"/>
  <c r="J27" i="2"/>
  <c r="J25" i="2"/>
  <c r="L13" i="2"/>
  <c r="K11" i="2"/>
  <c r="M11" i="2" s="1"/>
  <c r="J36" i="2"/>
  <c r="J16" i="2"/>
  <c r="I15" i="2"/>
  <c r="H41" i="1"/>
  <c r="H37" i="1" s="1"/>
  <c r="H32" i="1"/>
  <c r="J29" i="2"/>
  <c r="H16" i="1"/>
  <c r="H27" i="1"/>
  <c r="H22" i="1" s="1"/>
  <c r="I30" i="1"/>
  <c r="I77" i="1"/>
  <c r="H89" i="1"/>
  <c r="H98" i="1" s="1"/>
  <c r="L10" i="6"/>
  <c r="F67" i="1"/>
  <c r="K67" i="1" s="1"/>
  <c r="K77" i="1"/>
  <c r="K15" i="1"/>
  <c r="J29" i="8"/>
  <c r="J18" i="8"/>
  <c r="J30" i="6"/>
  <c r="I411" i="2"/>
  <c r="C79" i="1"/>
  <c r="I414" i="2"/>
  <c r="I26" i="2"/>
  <c r="I12" i="2"/>
  <c r="D14" i="1"/>
  <c r="J48" i="5"/>
  <c r="E11" i="2"/>
  <c r="I238" i="8"/>
  <c r="J13" i="2"/>
  <c r="E43" i="1"/>
  <c r="G43" i="1"/>
  <c r="J22" i="1"/>
  <c r="K22" i="1" s="1"/>
  <c r="D307" i="2"/>
  <c r="I11" i="6"/>
  <c r="J11" i="6" s="1"/>
  <c r="I12" i="3"/>
  <c r="I12" i="4"/>
  <c r="J12" i="4" s="1"/>
  <c r="D15" i="2"/>
  <c r="I12" i="8"/>
  <c r="I9" i="8"/>
  <c r="I38" i="2"/>
  <c r="I11" i="9"/>
  <c r="J11" i="9" s="1"/>
  <c r="I12" i="7"/>
  <c r="J12" i="7" s="1"/>
  <c r="G28" i="1"/>
  <c r="G44" i="1" s="1"/>
  <c r="G53" i="1" s="1"/>
  <c r="G56" i="1" s="1"/>
  <c r="G115" i="1" s="1"/>
  <c r="F28" i="1"/>
  <c r="F44" i="1" s="1"/>
  <c r="F53" i="1" s="1"/>
  <c r="F56" i="1" s="1"/>
  <c r="F115" i="1" s="1"/>
  <c r="I13" i="6"/>
  <c r="J13" i="6" s="1"/>
  <c r="I230" i="8"/>
  <c r="J230" i="8" s="1"/>
  <c r="J21" i="2"/>
  <c r="I23" i="8"/>
  <c r="I18" i="3"/>
  <c r="I307" i="2"/>
  <c r="J307" i="2" s="1"/>
  <c r="I46" i="2"/>
  <c r="I32" i="1" l="1"/>
  <c r="C103" i="1"/>
  <c r="C114" i="1"/>
  <c r="I96" i="1"/>
  <c r="F50" i="1"/>
  <c r="F55" i="1" s="1"/>
  <c r="F114" i="1"/>
  <c r="F112" i="1" s="1"/>
  <c r="D50" i="1"/>
  <c r="D55" i="1" s="1"/>
  <c r="D113" i="1"/>
  <c r="D112" i="1" s="1"/>
  <c r="K51" i="1"/>
  <c r="J113" i="1"/>
  <c r="M64" i="1"/>
  <c r="N64" i="1" s="1"/>
  <c r="J93" i="1"/>
  <c r="L52" i="1"/>
  <c r="K52" i="1"/>
  <c r="C102" i="1"/>
  <c r="C51" i="1"/>
  <c r="D53" i="1"/>
  <c r="J50" i="1"/>
  <c r="L51" i="1"/>
  <c r="L50" i="1" s="1"/>
  <c r="I90" i="1"/>
  <c r="I89" i="1"/>
  <c r="I98" i="1"/>
  <c r="L28" i="1"/>
  <c r="L44" i="1" s="1"/>
  <c r="M27" i="1"/>
  <c r="C37" i="1"/>
  <c r="C28" i="1" s="1"/>
  <c r="C44" i="1" s="1"/>
  <c r="C53" i="1" s="1"/>
  <c r="C56" i="1" s="1"/>
  <c r="C115" i="1" s="1"/>
  <c r="L11" i="1"/>
  <c r="H29" i="1"/>
  <c r="I29" i="1" s="1"/>
  <c r="H15" i="1"/>
  <c r="H14" i="1" s="1"/>
  <c r="H43" i="1" s="1"/>
  <c r="J11" i="1"/>
  <c r="M13" i="1"/>
  <c r="K64" i="1"/>
  <c r="J414" i="2"/>
  <c r="H79" i="1"/>
  <c r="I79" i="1" s="1"/>
  <c r="L11" i="2"/>
  <c r="C14" i="1"/>
  <c r="C43" i="1" s="1"/>
  <c r="J12" i="3"/>
  <c r="C11" i="1"/>
  <c r="J46" i="2"/>
  <c r="J38" i="2"/>
  <c r="J238" i="8"/>
  <c r="L102" i="1"/>
  <c r="K13" i="1"/>
  <c r="J103" i="1"/>
  <c r="K102" i="1"/>
  <c r="E101" i="1"/>
  <c r="G101" i="1"/>
  <c r="J411" i="2"/>
  <c r="H12" i="1"/>
  <c r="J23" i="8"/>
  <c r="J9" i="8"/>
  <c r="J18" i="3"/>
  <c r="J26" i="2"/>
  <c r="J15" i="2"/>
  <c r="I41" i="1"/>
  <c r="I16" i="1"/>
  <c r="I27" i="1"/>
  <c r="H67" i="1"/>
  <c r="I67" i="1" s="1"/>
  <c r="I68" i="1"/>
  <c r="J12" i="8"/>
  <c r="J109" i="6"/>
  <c r="J110" i="6"/>
  <c r="I11" i="2"/>
  <c r="J107" i="6"/>
  <c r="D43" i="1"/>
  <c r="I14" i="2"/>
  <c r="H13" i="1"/>
  <c r="H52" i="1" s="1"/>
  <c r="I9" i="3"/>
  <c r="J9" i="3" s="1"/>
  <c r="J14" i="1"/>
  <c r="J28" i="1"/>
  <c r="I10" i="6"/>
  <c r="F104" i="1"/>
  <c r="D14" i="2"/>
  <c r="I52" i="1" l="1"/>
  <c r="H114" i="1"/>
  <c r="I99" i="1"/>
  <c r="C50" i="1"/>
  <c r="C55" i="1" s="1"/>
  <c r="C113" i="1"/>
  <c r="C112" i="1" s="1"/>
  <c r="K113" i="1"/>
  <c r="L113" i="1"/>
  <c r="J55" i="1"/>
  <c r="L55" i="1" s="1"/>
  <c r="K50" i="1"/>
  <c r="K93" i="1"/>
  <c r="L93" i="1"/>
  <c r="D56" i="1"/>
  <c r="D115" i="1" s="1"/>
  <c r="H102" i="1"/>
  <c r="I102" i="1" s="1"/>
  <c r="H51" i="1"/>
  <c r="H113" i="1" s="1"/>
  <c r="I43" i="1"/>
  <c r="J112" i="1"/>
  <c r="C104" i="1"/>
  <c r="L114" i="1"/>
  <c r="C101" i="1"/>
  <c r="J11" i="2"/>
  <c r="J10" i="6"/>
  <c r="K11" i="1"/>
  <c r="M11" i="1"/>
  <c r="N11" i="1" s="1"/>
  <c r="I22" i="1"/>
  <c r="I37" i="1"/>
  <c r="K103" i="1"/>
  <c r="I13" i="1"/>
  <c r="H103" i="1"/>
  <c r="D101" i="1"/>
  <c r="G104" i="1"/>
  <c r="L104" i="1"/>
  <c r="J14" i="2"/>
  <c r="H28" i="1"/>
  <c r="H44" i="1" s="1"/>
  <c r="I15" i="1"/>
  <c r="H64" i="1"/>
  <c r="I66" i="1"/>
  <c r="I12" i="1"/>
  <c r="H11" i="1"/>
  <c r="J44" i="1"/>
  <c r="J53" i="1" s="1"/>
  <c r="K53" i="1" s="1"/>
  <c r="K28" i="1"/>
  <c r="J43" i="1"/>
  <c r="K14" i="1"/>
  <c r="L43" i="1"/>
  <c r="L112" i="1" l="1"/>
  <c r="I64" i="1"/>
  <c r="H93" i="1"/>
  <c r="I93" i="1" s="1"/>
  <c r="H50" i="1"/>
  <c r="I50" i="1" s="1"/>
  <c r="I51" i="1"/>
  <c r="L53" i="1"/>
  <c r="J56" i="1"/>
  <c r="K56" i="1" s="1"/>
  <c r="H55" i="1"/>
  <c r="I55" i="1" s="1"/>
  <c r="I113" i="1"/>
  <c r="H53" i="1"/>
  <c r="I53" i="1" s="1"/>
  <c r="H112" i="1"/>
  <c r="I112" i="1" s="1"/>
  <c r="K55" i="1"/>
  <c r="K114" i="1"/>
  <c r="K112" i="1"/>
  <c r="I11" i="1"/>
  <c r="I103" i="1"/>
  <c r="K43" i="1"/>
  <c r="M43" i="1"/>
  <c r="N43" i="1" s="1"/>
  <c r="K44" i="1"/>
  <c r="M44" i="1"/>
  <c r="N44" i="1" s="1"/>
  <c r="L101" i="1"/>
  <c r="I44" i="1"/>
  <c r="I28" i="1"/>
  <c r="I14" i="1"/>
  <c r="J104" i="1"/>
  <c r="J101" i="1"/>
  <c r="L56" i="1" l="1"/>
  <c r="J115" i="1"/>
  <c r="L115" i="1" s="1"/>
  <c r="H56" i="1"/>
  <c r="I114" i="1"/>
  <c r="M104" i="1"/>
  <c r="N104" i="1" s="1"/>
  <c r="M101" i="1"/>
  <c r="N101" i="1" s="1"/>
  <c r="H101" i="1"/>
  <c r="K104" i="1"/>
  <c r="K101" i="1"/>
  <c r="H104" i="1"/>
  <c r="I56" i="1" l="1"/>
  <c r="H115" i="1"/>
  <c r="I115" i="1" s="1"/>
  <c r="K115" i="1"/>
  <c r="I104" i="1"/>
  <c r="I101" i="1"/>
  <c r="I431" i="2"/>
  <c r="J431" i="2" s="1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G6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F13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G133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F145" authorId="0">
      <text>
        <r>
          <rPr>
            <b/>
            <sz val="8"/>
            <color indexed="81"/>
            <rFont val="Tahoma"/>
            <family val="2"/>
            <charset val="238"/>
          </rPr>
          <t>MSzczerba: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122.701 zł</t>
        </r>
      </text>
    </comment>
  </commentList>
</comments>
</file>

<file path=xl/comments2.xml><?xml version="1.0" encoding="utf-8"?>
<comments xmlns="http://schemas.openxmlformats.org/spreadsheetml/2006/main">
  <authors>
    <author>WStachera</author>
  </authors>
  <commentLis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13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4.xml><?xml version="1.0" encoding="utf-8"?>
<comments xmlns="http://schemas.openxmlformats.org/spreadsheetml/2006/main">
  <authors>
    <author>MSWiA</author>
    <author>WStachera</author>
  </authors>
  <commentList>
    <comment ref="F43" authorId="0">
      <text>
        <r>
          <rPr>
            <b/>
            <sz val="8"/>
            <color indexed="81"/>
            <rFont val="Tahoma"/>
            <family val="2"/>
            <charset val="238"/>
          </rPr>
          <t>MSWiA:</t>
        </r>
        <r>
          <rPr>
            <sz val="8"/>
            <color indexed="81"/>
            <rFont val="Tahoma"/>
            <family val="2"/>
            <charset val="238"/>
          </rPr>
          <t xml:space="preserve">
kwota ma wpłynąć jako refundacja wydatków poniesionych w latach ubiegłych na rozpoczecie realizacji projektów w ramach POIiŚ</t>
        </r>
      </text>
    </comment>
    <comment ref="E191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E206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F206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<sst xmlns="http://schemas.openxmlformats.org/spreadsheetml/2006/main" count="2352" uniqueCount="399">
  <si>
    <t>Planowana wartość kosztorysowa zadania / planowane dochody uzyskane na realizację zadania</t>
  </si>
  <si>
    <t>Wyszczególnienie</t>
  </si>
  <si>
    <t>Wydatki ogółem, z tego:</t>
  </si>
  <si>
    <t>środki z budżetu krajowego, z tego:</t>
  </si>
  <si>
    <t>środki z budżetu województwa</t>
  </si>
  <si>
    <t>dotacja z budżetu województwa dla jos</t>
  </si>
  <si>
    <t>środki własne jos (poza budżetem)</t>
  </si>
  <si>
    <t>dotacje celowe z budżetu państwa</t>
  </si>
  <si>
    <t xml:space="preserve">dotacje z budżetu państwa na zadania zlecone </t>
  </si>
  <si>
    <t>dotacje celowe od innych jst</t>
  </si>
  <si>
    <t>środki z funduszy</t>
  </si>
  <si>
    <t>dotacje z budżetu państwa - kontrakt wojewódzki</t>
  </si>
  <si>
    <t>środki z budżetu UE, z tego:</t>
  </si>
  <si>
    <t>środki z Unii Europejskiej</t>
  </si>
  <si>
    <t>dotacje celowe / płatności z UE</t>
  </si>
  <si>
    <t>dotacje celowe / płatności z UE (poza budżetem)</t>
  </si>
  <si>
    <t>Dochody ogółem, z tego:</t>
  </si>
  <si>
    <t xml:space="preserve">środki z budżetu krajowego, z tego: </t>
  </si>
  <si>
    <t>Wydatki z budżetu województwa  - razem</t>
  </si>
  <si>
    <t>Dochody budżetu województwa  - razem</t>
  </si>
  <si>
    <t>środki na wkład własny krajowy</t>
  </si>
  <si>
    <t>Dochody budżetu województwa - razem</t>
  </si>
  <si>
    <t>Dochody budżetu województwa ogółem</t>
  </si>
  <si>
    <t>Koncepcja obejścia m Gryfice w ciągu drogi woj. Nr 105 (zachodnie obejscie Gryfic  
w powiązaniu  z drogą  nr 110, drogami gminnymi i powiatowymi)</t>
  </si>
  <si>
    <t>Lp</t>
  </si>
  <si>
    <t>Nazwa zadania 
(Lokalizacja)</t>
  </si>
  <si>
    <t>Klasyfikacja budżetowa</t>
  </si>
  <si>
    <t xml:space="preserve">Jednostka organizacyjna odpowiedzialna
za realizację </t>
  </si>
  <si>
    <t xml:space="preserve">dotacje celowe z budżetu państwa </t>
  </si>
  <si>
    <t xml:space="preserve">środki z funduszy </t>
  </si>
  <si>
    <t>I</t>
  </si>
  <si>
    <t>PROJEKTY  REALIZOWANE  W  RAMACH  RPO  WZ</t>
  </si>
  <si>
    <t>1.</t>
  </si>
  <si>
    <t>rozdz. 60001</t>
  </si>
  <si>
    <t>rozdz. 75861</t>
  </si>
  <si>
    <t>2.</t>
  </si>
  <si>
    <t>KONTRAKT</t>
  </si>
  <si>
    <t>ZZDW / WIiT
w ramach RPO</t>
  </si>
  <si>
    <t>rozdz. 60013</t>
  </si>
  <si>
    <t>WZRPO / WIiT</t>
  </si>
  <si>
    <t>3.</t>
  </si>
  <si>
    <t>4.</t>
  </si>
  <si>
    <t xml:space="preserve">                </t>
  </si>
  <si>
    <t>5.</t>
  </si>
  <si>
    <t>6.</t>
  </si>
  <si>
    <t>7.</t>
  </si>
  <si>
    <t>8.</t>
  </si>
  <si>
    <t>Przebudowa drogi woj. nr 203 na odcinku Iwięcino - Darłowo w ramach Osi II RPO (2007-2014)</t>
  </si>
  <si>
    <t>9.</t>
  </si>
  <si>
    <t>rodz. 75861</t>
  </si>
  <si>
    <t>10.</t>
  </si>
  <si>
    <t>rodz. 75861 / 60013</t>
  </si>
  <si>
    <t>11.</t>
  </si>
  <si>
    <t>12.</t>
  </si>
  <si>
    <t>13.</t>
  </si>
  <si>
    <t>14.</t>
  </si>
  <si>
    <t>dotacja celowa od innych jst</t>
  </si>
  <si>
    <t>16.</t>
  </si>
  <si>
    <t>17.</t>
  </si>
  <si>
    <t>Budowa obejścia m. Darłowo w ciągu drogi nr 203 w ramach Osi II RPO (2011-2013)</t>
  </si>
  <si>
    <t>18.</t>
  </si>
  <si>
    <t>19.</t>
  </si>
  <si>
    <t>Przebudowa drogi woj. nr 114 na odcinku Trzebież - Police w ramach Osi II RPO (2008-2013)</t>
  </si>
  <si>
    <t>20.</t>
  </si>
  <si>
    <t>Przebudowa drogi woj. nr 163 na odcinku Czaplinek - Wałcz w ramach Osi II RPO (2007-2013)</t>
  </si>
  <si>
    <t>21.</t>
  </si>
  <si>
    <t>22.</t>
  </si>
  <si>
    <t>23.</t>
  </si>
  <si>
    <t>24.</t>
  </si>
  <si>
    <t>25.</t>
  </si>
  <si>
    <t>26.</t>
  </si>
  <si>
    <t>29.</t>
  </si>
  <si>
    <t>Modernizacja kolejowego taboru pasażerskiego o napędzie elektrycznym w ramach Osi II RPO (2013-2014)</t>
  </si>
  <si>
    <t>II</t>
  </si>
  <si>
    <t>PROJEKTY  REALIZOWANE  W  RAMACH  IW  INTERREG IV A</t>
  </si>
  <si>
    <t>środki z budżetu UE, w tego:</t>
  </si>
  <si>
    <t>Przebudowa i rozbudowa przejścia drogowego przez m. Pilchowo na drodze woj. nr 115  (2010)</t>
  </si>
  <si>
    <t>ZZDW / w ramach INTERREG IV A</t>
  </si>
  <si>
    <t>x</t>
  </si>
  <si>
    <t>fundusze pomocowe (refundacja)</t>
  </si>
  <si>
    <t>Przebudowa i rozbudowa przejścia drogowego przez m. Gryfino na drodze woj. Nr 120 w ramach IW INTERREG IV A (2011-2012)</t>
  </si>
  <si>
    <t>Zadanie zostało przeniesione do części III POZOSTAŁE PROJEKTY INWESTYCYJNE (poz.44.)</t>
  </si>
  <si>
    <t>III</t>
  </si>
  <si>
    <t>PROJEKTY  REALIZOWANE  W  RAMACH PROGRAMU  OPERACYJNEGO INFRASTRUKTURA I ŚRODOWISKO</t>
  </si>
  <si>
    <t>WIiT 
w ramach
 POiŚ</t>
  </si>
  <si>
    <t>środki z funduszy celowych</t>
  </si>
  <si>
    <t xml:space="preserve">dotacje celowe z budzetu państwa </t>
  </si>
  <si>
    <t>Zakup elektrycznych zespołów trakcyjnych w ramach PO Infrastruktura i Środowisko (2013-2015)</t>
  </si>
  <si>
    <t>WIiT</t>
  </si>
  <si>
    <t>środki z funduszy celowych - Fundusz Kolejowy</t>
  </si>
  <si>
    <t>rozdz. 
60001</t>
  </si>
  <si>
    <t>IV</t>
  </si>
  <si>
    <t>34.</t>
  </si>
  <si>
    <t>WIT</t>
  </si>
  <si>
    <t>Zakup taboru kolejowego do przewozów regionalnych (2012-2013)</t>
  </si>
  <si>
    <t>ZZDW w Koszalinie</t>
  </si>
  <si>
    <t>rozdz. 60095</t>
  </si>
  <si>
    <t>Dokumentacje techniczne na zadania drogowe (2011-2016)</t>
  </si>
  <si>
    <t>Przebudowa dróg wojewódzkich (2011-2012)</t>
  </si>
  <si>
    <t>Wypłata odszkodowań pod planowane inwestycje drogowe (2012-2013)</t>
  </si>
  <si>
    <t>Poprawienie zewnętrznej i wewnętrznej dostępności obszaru Europy Środkowej w ramach działania 2.1  Programu dla Europy Środkowej  - EWT (2008-2012)</t>
  </si>
  <si>
    <t>rodz. 60095</t>
  </si>
  <si>
    <t>Doradca zawodowy i pośrednik pracy w standardach unijnych w ramach działania 6.1. PO KL (2008-2012)</t>
  </si>
  <si>
    <t xml:space="preserve">Zadanie o nakładach zrealizowanych do końca 2010 r. w kwocie 7.147.888 zł zostało wyjęte z WPF a w jego miesce wprowadzono nowe zadanie pn."Pramida kompetencji" </t>
  </si>
  <si>
    <t>Wojewódzki Urząd Pracy w Szczecinie</t>
  </si>
  <si>
    <t>rozdz. 85395</t>
  </si>
  <si>
    <t>rozdz. 75862</t>
  </si>
  <si>
    <t>Regionalny Ośrodek Polityki Społecznej</t>
  </si>
  <si>
    <t>rodz. 
75862</t>
  </si>
  <si>
    <t>rozdz. 
85395</t>
  </si>
  <si>
    <t>rozdz. 
75862</t>
  </si>
  <si>
    <t>rozdz. 75071</t>
  </si>
  <si>
    <t>rodz.
 75071</t>
  </si>
  <si>
    <t>rodz.
 75862</t>
  </si>
  <si>
    <t>rozdz. 15013</t>
  </si>
  <si>
    <t>Inwestycja w wiedzę motorem rozwoju innowacyjności w regionie w ramach działania 8.2 PO KL (2008-2013)</t>
  </si>
  <si>
    <t>Zachodniopomorskie talenty - regionalny system stypendialny w ramach działania 9.1 PO KL (2009-2013)</t>
  </si>
  <si>
    <t>rozdz.
75862</t>
  </si>
  <si>
    <t>rozdz. 85332</t>
  </si>
  <si>
    <t>rodz. 
85332</t>
  </si>
  <si>
    <t>Centrum Obsługi Inwestorów i Eksporterów</t>
  </si>
  <si>
    <t>rozdz. 15011</t>
  </si>
  <si>
    <t>rodz. 
15011</t>
  </si>
  <si>
    <t>dotacje celowe od innych jst (pomoc finansowa i porozumienia)</t>
  </si>
  <si>
    <t>Centrum Zabiegowe z zapleczem łóżkowym w Szpitalu Wojewódzkim w Szczecinie w ramach osi VII RPO (2008-2013)</t>
  </si>
  <si>
    <t xml:space="preserve">Wojewódzki Szpital Zespolony w Szczecinie 
</t>
  </si>
  <si>
    <t>rozdz. 85111</t>
  </si>
  <si>
    <t>środki własne jos</t>
  </si>
  <si>
    <t>X</t>
  </si>
  <si>
    <t xml:space="preserve">Specjalistyczny Szpital im. A. Sokołowskiego 
w Szczecinie - Zdunowo 
</t>
  </si>
  <si>
    <t>dotacja z budżetu wojewodztwa dla jos</t>
  </si>
  <si>
    <t xml:space="preserve">SPS ZOZ ZDROJE Szczecin 
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</si>
  <si>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</si>
  <si>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</si>
  <si>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80130
85410</t>
  </si>
  <si>
    <t>Klasyfikacja budże towa</t>
  </si>
  <si>
    <t>rozdz. 75018</t>
  </si>
  <si>
    <t>Konsolidacja Urzędu Marszałkowskiego Województwa Zachodniopomorskiego w jednej siedzibie I etap (2011 - 2012)</t>
  </si>
  <si>
    <t>Wydział Administracyjny</t>
  </si>
  <si>
    <t>Adaptacja poddasza na potrzeby biurowe w budynku położonym w Szczecinie przy ul.Szafera 10 (2010-2012)</t>
  </si>
  <si>
    <t>Wydział Inwestycji i Nieruchomości</t>
  </si>
  <si>
    <t>rozdz. 70005</t>
  </si>
  <si>
    <t>e-Administracja i e-Turystyka w województwie zachodniopomorskim (2011-2013) w ramach działania 3.2 Osi III RPO WZ</t>
  </si>
  <si>
    <t>Wydział Społeczeństwa Informacyjnego i Informatyki</t>
  </si>
  <si>
    <t>rozdz. 60052</t>
  </si>
  <si>
    <t>Adaptacja II piętra w budynku położonym w Szczecinie przy ul. Sokołowskiego na lokale mieszkalne (2011-2012)</t>
  </si>
  <si>
    <t>Główny Punkt Informacyjny Funduszy Europejskich (GPI) przy ul.Kuśnierskiej 12b w ramach PO Pomoc Techniczna  (2009-2015)</t>
  </si>
  <si>
    <t>Kompleksowy program wspierania kluczowych obszarów funkcjonowania i kompetencji kadr Urzędu Marszałkowskiego Województwa Zachodniopomorskiego w ramach działania 5.2.PO KL   (2010-2012)</t>
  </si>
  <si>
    <t>Wydział Organizacji i Rozwoju Zasobów Ludzkich</t>
  </si>
  <si>
    <t xml:space="preserve">Projekty w ramach Pomocy technicznej - Oś VIII RPO WZ (2007-2015) </t>
  </si>
  <si>
    <t xml:space="preserve">dotacje z budżetu województwa dla jos </t>
  </si>
  <si>
    <t>środki budżetu województwa (np. zwrot podatku VAT)</t>
  </si>
  <si>
    <t>Muzeum Narodowe 
w Szczecinie - nadzór WKNiDN</t>
  </si>
  <si>
    <t>rozdz. 92118</t>
  </si>
  <si>
    <t>Budowa pawilonu wystawowego służącego celom Centrum Dialogu Przełomy w ramach RPO WZ, Osi VI: Rozwój funkcji Metropolitarnych (2009-2014)</t>
  </si>
  <si>
    <t>Muzeum Narodowe
 w Szczecinie - nadzór WKNiDN</t>
  </si>
  <si>
    <t>Opera na Zamku 
w Szczecinie - nadzór WKNiDN</t>
  </si>
  <si>
    <t>rozdz. 92106</t>
  </si>
  <si>
    <t>Teatr Polski w Szczecinie - nadzór WKNiDN</t>
  </si>
  <si>
    <t>Modernizacja skrzydła północnego Zamku Książąt Pomorskich w Szczecinie w ramach RPO WZ, Osi VI: Rozwój funkcji Metropolitarnych (2012 - 2014)</t>
  </si>
  <si>
    <t>Zamek Książąt Pomorskich 
 w Szczecinie - nadzór WKNiDN</t>
  </si>
  <si>
    <t>rozdz. 92109</t>
  </si>
  <si>
    <t xml:space="preserve">I PRZEDSIĘWZIĘCIA  FINANSOWANE PRZY WSPÓŁUDZIALE ŚRODKÓW, O KTÓRYCH MOWA W ART. 5 UST. 1 PKT. 2 I 3 UFP W ZAKRESIE ROLNICTWA I OCHRONY ŚRODOWISKA </t>
  </si>
  <si>
    <t>Wielkość nakładów poniesiona do końca 2011 r. / uzyskanych dochodów</t>
  </si>
  <si>
    <t>WYDATKI Z BUDŻETU OGÓŁEM, z tego:</t>
  </si>
  <si>
    <t xml:space="preserve"> - wydatki bieżące</t>
  </si>
  <si>
    <t xml:space="preserve"> - wydatki majątkowe</t>
  </si>
  <si>
    <t xml:space="preserve">środki na wkład własny krajowy </t>
  </si>
  <si>
    <t>MAJĄTKOWE</t>
  </si>
  <si>
    <t xml:space="preserve">Zachodniopomorski Zarząd Melioracji i Urządzeń Wodnych pod nadzorem Wydziału Rolnictwa i Rybactwa
</t>
  </si>
  <si>
    <t>rozdz. 01008</t>
  </si>
  <si>
    <t>Zachodniopomorski Zarząd Melioracji i Urządzeń Wodnych pod nadzorem Wydziału Rolnictwa i Rybactwa</t>
  </si>
  <si>
    <t>rozdz. 05011</t>
  </si>
  <si>
    <t>BIEŻĄCE</t>
  </si>
  <si>
    <t xml:space="preserve">Wydział Rolnictwa i Rybactwa
</t>
  </si>
  <si>
    <t>Budowa niebieskiego korytarza ekologicznego wzdłuż doliny rzeki Iny i jej dopływów w ramach Instrumentu Finansowego LIFE+ (2011-2016)</t>
  </si>
  <si>
    <t>Ochrona  gruntów rolnych - zadanie  polegające na dofinansowywaniu, w formie dotacji celowych, gminom i powiatom budowy i modernizacji dróg dojazdowych do gruntów leśnych oraz zakupu sprzętu informatycznego (2011-2016)</t>
  </si>
  <si>
    <t>Wydział Rolnictwa i Rybactwa</t>
  </si>
  <si>
    <t>rozdz. 01095</t>
  </si>
  <si>
    <t>Likwidacja mogilników zawierających przeterminowane środki ochrony roślin znajdujących się na terenie województwa zachodniopomorskiego (2010 r.)</t>
  </si>
  <si>
    <t xml:space="preserve">WRiOŚ </t>
  </si>
  <si>
    <t>rozdz. 90002</t>
  </si>
  <si>
    <t xml:space="preserve">Przepławki dla ryb  (2010-2014) w ramach Programu Operacyjnego "Zrównoważony rozwój sektora rybołówstwa i nadbrzeżnych obszarów rybackich", Środka - Ochrona i rozwój fauny i flory wodnej, Osi priorytetowej 3 - Środki służące wspólnemu interesowi </t>
  </si>
  <si>
    <t xml:space="preserve">Zachodniopomorski Zarząd Melioracji i Urządzeń Wodnych pod nadzorem Wydziału Rolnictwa i Ochrony Środowiska 
</t>
  </si>
  <si>
    <t>Poprawianie i rozwijanie infrastruktury związanej rozwojem i dostosowaniem rolnictwa i leśnictwa (2009-2014), w ramach PROW, Osi 1, Działania 125</t>
  </si>
  <si>
    <t>ZZMiUW / WRiOŚ 
w ramach PROW</t>
  </si>
  <si>
    <t xml:space="preserve">Wydział  Programów Rozwoju Obszarów Wiejskich 
</t>
  </si>
  <si>
    <t>rozdz. 01041</t>
  </si>
  <si>
    <t>Higiena i bezpieczeństwo żywności w regionie Morza Bałtyckiego - Focus on Food w ramach Współpracy Transgranicznej Południowy Bałtyk - EWT (2011-2013)</t>
  </si>
  <si>
    <t>rozdz.
75095</t>
  </si>
  <si>
    <t>rozdz. 75095</t>
  </si>
  <si>
    <t xml:space="preserve">II. POZOSTAŁE PRZEDSIĘWZIĘCIA W ZAKRESIE ROLNICTWA I OCHRONY ŚRODOWISKA </t>
  </si>
  <si>
    <t>Zbiornik retencyjny na rzece Dzierżęcince (2012-2013)</t>
  </si>
  <si>
    <t>I PRZEDSIĘWZIĘCIA  FINANSOWANE PRZY WSPÓŁUDZIALE ŚRODKÓW, O KTÓRYCH MOWA W ART. 5 UST. 1 PKT. 2 I 3 UFP  W ZAKRESIE KULTURY FIZYCZNEJ I TURYSTYKI</t>
  </si>
  <si>
    <t>"Rewitalizacja europejskiego szlaku kulturowego na obszarze Południowego Bałtyku - Pomorski Szlak św. Jakuba" w ramach Programu Współpracy Transgranicznej Południowy Bałtyk - EWT (2011-2013)</t>
  </si>
  <si>
    <t>Wydział Turystyki Gospodarki i Promocji</t>
  </si>
  <si>
    <t>rozdz.        63003</t>
  </si>
  <si>
    <t>rozdz. 
63003</t>
  </si>
  <si>
    <t>"MARRIAGE - Lepsze zarządzanie mariną, konsolidacja sieci przystani i marketingu turystyki wodnej w obszarze Południowego Bałtyku" w ramach Programu Współpracy Transgranicznej Południowy Bałtyk - EWT (2012-2014)</t>
  </si>
  <si>
    <t>"Zachodniopomorskie - Morze Przygody. Promocja turystyczna Województwa Zachodniopomorskiego" w ramach RPO WZ, Osi 5 (2012-2014)</t>
  </si>
  <si>
    <t>rozdz. 
75861</t>
  </si>
  <si>
    <t>"Zachodniopomorskie - Morze Przygody. Promocja turystyczna Województwa Zachodniopomorskiego i Szczecińskiego Obszaru Metropolitarnego" w ramach RPO WZ, Osi 6 (2012-2014)</t>
  </si>
  <si>
    <t>"Zachodniopomorskie - Morze Przygody. Promocja turystyczna Województwa Zachodniopomorskiego i Szczecińskiego Obszaru Metropolitarnego" w ramach RPO WZ, Osi 6 - zakupy inwestycyjne (2012-2014)</t>
  </si>
  <si>
    <t>rozdz.        71003</t>
  </si>
  <si>
    <t>rozdz. 
71003</t>
  </si>
  <si>
    <t xml:space="preserve">POZOSTAŁE PRZEDSIĘWZIĘCIA W ZAKRESIE KULTURY I OCHRONY DZIEDZICTWA NARODOWEGO </t>
  </si>
  <si>
    <t xml:space="preserve">MAJĄTKOWE </t>
  </si>
  <si>
    <t xml:space="preserve">I. PRZEDSIĘWZIĘCIA  FINANSOWANE PRZY WSPÓŁUDZIALE ŚRODKÓW, O KTÓRYCH MOWA W ART. 5 UST. 1 PKT. 2 I 3 UFP  W ZAKRESIE ADMINISTRACJI I  TELEKOMUNIKACJI </t>
  </si>
  <si>
    <t>Główny Punkt Informacyjny Funduszy Europejskich (GPI) przy ul.Kuśnierskiej 12b w ramach PO Pomoc Techniczna - zakupy inwestycyjne (2009-2015)</t>
  </si>
  <si>
    <t>Kompleksowy program wspierania kluczowych obszarów funkcjonowania i kompetencji kadr Urzędu Marszałkowskiego Województwa Zachodniopomorskiego w ramach działania 5.2.PO KL - zakupy inwestycyjne(2010-2012)</t>
  </si>
  <si>
    <t>I. PRZEDSIĘWZIĘCIA  FINANSOWANE PRZY WSPÓŁUDZIALE ŚRODKÓW, O KTÓRYCH MOWA W ART. 5 UST. 1 PKT. 2 I 3 UFP  W ZAKRESIE OŚWIATY I EDUKACYJNEJ OPIEKI WYCHOWAWCZEJ</t>
  </si>
  <si>
    <t>II. PRZEDSIĘWZIĘCIA POZOSTAŁE W ZAKRESIE OŚWIATY I EDUKACYJNEJ OPIEKI WYCHOWAWCZEJ</t>
  </si>
  <si>
    <t xml:space="preserve">
Sekretariat ds.Młodzieży Województwa Zachodnio - pomorskiego </t>
  </si>
  <si>
    <t>Projekt pn. "Akademia Zmienia Szczecin - Modernizacja Pałacu pod Globusem" w ramach RPO WZ, Osi VI: Rozwój Funkcji Metropolitarnych (2012-2014)</t>
  </si>
  <si>
    <t>dotacja z budżetu państwa (poza budżetem)</t>
  </si>
  <si>
    <t>rozdz. 80395</t>
  </si>
  <si>
    <t>Akademia Sztuki             w Szczecinie pod nadzorem Wydziału Edukacji  i Sportu</t>
  </si>
  <si>
    <t>dotacja z budżetu województwa</t>
  </si>
  <si>
    <t>środki z budżetu województwa (zwrot podatku VAT)</t>
  </si>
  <si>
    <t xml:space="preserve">POZOSTAŁE PRZEDSIĘWZIĘCIA W ZAKRESIE OCHRONY ZDROWIA </t>
  </si>
  <si>
    <t>Wydział Zdrowia</t>
  </si>
  <si>
    <t>Prognozowane nakłady / dochody z tytułu realizacji projektów
w latach 2014-2017 i latach następnych</t>
  </si>
  <si>
    <t>I. PRZEDSIĘWZIĘCIA  FINANSOWANE PRZY WSPÓŁUDZIALE ŚRODKÓW, O KTÓRYCH MOWA W ART. 5 UST. 1 PKT. 2 I 3 UFP  W ZAKRESIE POLITYKI  SPOŁECZNEJ  I  ROZWOJU  PRZEDSIĘBIORCZOŚCI</t>
  </si>
  <si>
    <t>Piramida kompetencji w ramach działania 6.1. PO KL (2008-2013)</t>
  </si>
  <si>
    <t>Piramida kompetencji - II edycja w ramach działania 6.1. PO KL (2013-2014)</t>
  </si>
  <si>
    <t>Priorytet: X. Pomoc Techniczna w ramach  PO KL - zakupy inwestycyjne (2007-2013)</t>
  </si>
  <si>
    <t>I. PRZEDSIĘWZIĘCIA  FINANSOWANE PRZY WSPÓŁUDZIALE ŚRODKÓW, O KTÓRYCH MOWA W ART. 5 UST. 1 PKT. 2 I 3 UFP  W ZAKRESIE TRANSPORTU I ŁĄCZNOŚCI</t>
  </si>
  <si>
    <t>PROJEKTY REALIZOWANE W RAMACH PROGRAMU DLA EUROPY ŚRODKOWEJ</t>
  </si>
  <si>
    <t>II. POZOSTAŁE  PRZEDSIĘWZIĘCIA W ZAKRESIE TRANSPORTU I ŁĄCZNOŚCI</t>
  </si>
  <si>
    <t>Pozostałe zadania z zakresu transportu - ubezpieczenie taboru kolejowego Województwa (2011-2016)</t>
  </si>
  <si>
    <t>Dofinansowanie kolejowych przewozów pasażerskich (2013-2016)</t>
  </si>
  <si>
    <t>Opracowanie planu transportowego Województwa Zachodniopomorskiego (2013-2014)</t>
  </si>
  <si>
    <t>Zimowe utrzymanie dróg (2011-2016)</t>
  </si>
  <si>
    <t>Obsługa i utrzymanie mostów zwodzonych i mostu granicznego (2011-2016)</t>
  </si>
  <si>
    <t>dotacja z budżetu województwa (m.in. dla jos)</t>
  </si>
  <si>
    <t>dotacje celowe z budżetu państwa (poza budżetem)</t>
  </si>
  <si>
    <t>środki  budżetu województwa (zwrot podatku VAT)</t>
  </si>
  <si>
    <t xml:space="preserve">Projekty w ramach Pomocy technicznej - Oś VIII RPO WZ - wydatki inwestycyjne  (2007-2015) </t>
  </si>
  <si>
    <t>Priorytet: X. Pomoc Techniczna w ramach  PO KL (2007-2015)</t>
  </si>
  <si>
    <t>Priorytet: X. Pomoc Techniczna - środki w ramach działania ROEFS w ramach PO KL (2008-2014)</t>
  </si>
  <si>
    <t>Przebudowa drogi woj. nr 124 na odcinku Cedynia - Chojna w ramach Osi II RPO (2008-2013)</t>
  </si>
  <si>
    <t>Przebudowa drogi woj. nr 205 na odcinku Krupy - Sławno w ramach Osi II RPO (2008-2013)</t>
  </si>
  <si>
    <t>Przebudowa drogi woj. nr 106 na odcinku Rzewnowo - Golczewo w ramach Osi II RPO (2008-2013)</t>
  </si>
  <si>
    <t>Przebudowa drogi woj. nr 203 na odcinku Koszalin - Iwięcino w ramach Osi II RPO (2007-2013)</t>
  </si>
  <si>
    <t>Przebudowa drogi woj. nr 107 na odcinku Dziwnówek - Kamień Pomorski w ramach Osi II RPO (2007-2013)</t>
  </si>
  <si>
    <t>Przebudowa drogi woj. nr 109 na odcinku Mrzeżyno - Trzebiatów w ramach Osi II RPO (2008-2013)</t>
  </si>
  <si>
    <t>Przebudowa drogi woj. nr 110 na odcinku Lędzin - Cerkwica w ramach Osi II RPO WZ (2008-2013)</t>
  </si>
  <si>
    <t>Przebudowa drogi woj. nr 156 na odcinku Mostkowo - Barlinek w ramach Osi II RPO WZ (2008-2013)</t>
  </si>
  <si>
    <t>Budowa obejścia m. Goleniów w ciągu drogi nr 113 w ramach Osi II RPO (2009-2013)</t>
  </si>
  <si>
    <t>Budowa obejścia m. Trzebiatów w ciągu drogi nr 102 w ramach Osi II RPO (2008-2013)</t>
  </si>
  <si>
    <t>Przebudowa przejścia przez m. Kołobrzeg w ciagu drogi nr 102 w ramach Osi II RPO (2008-2013)</t>
  </si>
  <si>
    <t>Budowa obejścia m. Szczecinek w ciągu drogi nr 172 w ramach Osi II RPO (2009-2013)</t>
  </si>
  <si>
    <t>Budowa obejścia m. Choszczno w ciągu drogi nr 151 w ramach Osi II RPO (2008-2013)</t>
  </si>
  <si>
    <t>Budowa obejścia m. Barlinek w ciągu drogi nr 151 w ramach Osi II RPO (2010-2013)</t>
  </si>
  <si>
    <t>Budowa obejścia m. Dobra w ciągu drogi nr 144 w ramach Osi II RPO (2011-2013)</t>
  </si>
  <si>
    <t>Przebudowa i rozbudowa mostu na Odrze Zachodniej na drodze woj. nr 120 w Gryfinie w ramach IW INTERREG IV A (2010-2012)</t>
  </si>
  <si>
    <t>Przebudowa i rozbudowa przejścia drogowego przez m. Krzywin na drodze woj. Nr 122 w ramach IW INTERREG IV A (2010-2013)</t>
  </si>
  <si>
    <t>Studium wykonalności Zachodniego Drogowego Obejścia Miasta Szczecina wraz z Raportem oddziaływania na środowisko (2009-2012)</t>
  </si>
  <si>
    <t>Objęcie nowych udziałów w Spółce Port Lotniczy Szczecin-Goleniów (2008-2020)</t>
  </si>
  <si>
    <t>Przebudowa i rozbudowa przejścia drogowego przez m. Tanowo na drodze woj. Nr 115  (2010-2013)</t>
  </si>
  <si>
    <t>w tym:</t>
  </si>
  <si>
    <t>środki z budżetu województwa *</t>
  </si>
  <si>
    <t xml:space="preserve">I. ZBIORCZE ZESTAWIENIE WYKONANYCH DOCHODÓW I WYDATKÓW PRZEDSIĘWZIĘĆ FINANSOWANYCH PRZY WSPÓŁUDZIALE ŚRODKÓW, O KTÓRYCH MOWA W ART. 5 UST. 1 PKT 2 I 3 UFP </t>
  </si>
  <si>
    <t xml:space="preserve">II. ZBIORCZE  ZESTAWIENIE WYKONANYCH DOCHODÓW I WYDATKÓW  W POZOSTAŁYCH  PRZEDSIĘWZIĘCIACH </t>
  </si>
  <si>
    <t>Rozbudowa przejścia drogowego przez m. Żarczyn na drodze woj. Nr 122 w ramach IW INTERREG IVA (2010-2013)</t>
  </si>
  <si>
    <t xml:space="preserve">II. PRZEDSIĘWZIĘCIA POZOSTAŁE W ZAKRESIE ADMINISTRACJI I  TELEKOMUNIKACJI </t>
  </si>
  <si>
    <t>Wskaźnik wykonania 
w %
 (kol. 9 : 5)</t>
  </si>
  <si>
    <t>Projekt pn."Lider Zachodniopomorski" 
w ramach Programu "Młodzież w działaniu", Akcja 5.1. - Spotkania młodzieży i osób odpowiedzialnych za politykę młodzieżową (2013 - 2014)</t>
  </si>
  <si>
    <t>rozdz.        80195</t>
  </si>
  <si>
    <t>rozdz. 
80195</t>
  </si>
  <si>
    <t>Prowadzenie Punktu Informacji Europejskiej Europe Direct - Szczecin (2013 - 2017)</t>
  </si>
  <si>
    <t>rozdz.
80195</t>
  </si>
  <si>
    <t>Wieloletnie umowy mające na celu zapewnienie ciągłości działania Urzędu Marszałkowskiego Województwa Zachodniopomorskiego (2012 - 2015)</t>
  </si>
  <si>
    <t>Przebudowa Opery na Zamku w Szczecinie w ramach RPO WZ. Osi V: Rozwój Funkcji Metropolitarnych (2009-2014)</t>
  </si>
  <si>
    <t>Razem jesteśmy silni - centralne muzea pomorskie wspólnie tworzą nowoczesne wystawy promujące historię i kulturę Pomorza, w ramach INTERREG IV A (2008 - 2013)</t>
  </si>
  <si>
    <t>Gospodarowanie nieruchomościami należącymi do zasobu Województwa Zachodniopomorskiego (2010-2013)</t>
  </si>
  <si>
    <t xml:space="preserve">Modernizacja budynku internatu przy pl. Orła Białego 2 w Szczecinie Akademii Sztuki w Szczecinie (2013-2014) </t>
  </si>
  <si>
    <t>Monitoring  i analizy porealizacyjne inwestycji (2013-2016)</t>
  </si>
  <si>
    <t>Przebudowa i rozbudowa przejścia drogowego przez m. Gryfino na drodze woj. Nr 120 (2011-2013)</t>
  </si>
  <si>
    <t>Przebudowa drogi woj. nr 167 na odcinku Koszalin - droga nr 168 w ramach Osi II RPO (2008-2014)</t>
  </si>
  <si>
    <t>Budowa obejścia w m. Gościno w ciągu drogi nr 162 w ramach Osi II RPO (2010-2013)</t>
  </si>
  <si>
    <t xml:space="preserve">WIiT
</t>
  </si>
  <si>
    <t>Zachodniopomorskie talenty - regionalny system stypendialny - IV edycja w ramach działania 9.1 PO KL (2013-2015)</t>
  </si>
  <si>
    <t>Wydział Współpracy Terytorialnej</t>
  </si>
  <si>
    <t>WWT</t>
  </si>
  <si>
    <t>Wydatki z budżetu województwa ogółem, z tego:</t>
  </si>
  <si>
    <t>Zrealizowane nakłady / dochody 
w 2012 roku</t>
  </si>
  <si>
    <t>Regionalne Biuro Gospodarki Przestrzennej Województwa Zachodniopomorskiego w Szczecinie pod nadzorem Wydziału  Zarządzania Strategicznego</t>
  </si>
  <si>
    <t>Projekt pn. "Partnerstwo miejsko - wiejskie w obszarach metropolitalnych  - URMA" w ramach programu INTERREG IVC (2011-2015)</t>
  </si>
  <si>
    <t>Poręczenie kredytu dla Szpitala Specjalistycznego 
w Szczecinie Zdunowie (2014-2022)*</t>
  </si>
  <si>
    <t>Poręczenie kredytu dla Szpitala Wojewódzkiego 
w Koszalinie (2009-2017)</t>
  </si>
  <si>
    <t>Poręczenie kredytu dla Samodzielnego Publicznego Wojewódzkiego Zakładu Gruźlicy i Chorób Płuc w Szczecinie - następca prawny Szpital Specjalistyczny 
w Szczecinie Zdunowie (2006-2016)</t>
  </si>
  <si>
    <t>Profesjonalne kadry - lepsze jutro II w ramach działania 7.1 PO KL (2012-2015)</t>
  </si>
  <si>
    <t>Koordynacja na rzecz aktywnej integracji w ramach działania 1.2 PO KL (2009-2013)</t>
  </si>
  <si>
    <t>Rozbudowa części środkowej budynku głównego wraz z dostosowaniem oddziałów chirurgicznych do wymogów fachowo-sanitarnych  w Specjalistycznym Szpitalu im. A.Sokołowskiego w Szczecinie-Zdunowie w ramach osi VII RPO (2006-2013)</t>
  </si>
  <si>
    <t>Pomoc Techniczna Programu Operacyjnego „Zrównoważony rozwój sektora rybołówstwa i nadbrzeżnych obszarów rybackich - Oś 5 (2009-2015)</t>
  </si>
  <si>
    <t>Przepławki dla ryb  w ramach Programu Operacyjnego "Zrównoważony rozwój sektora rybołówstwa i nadbrzeżnych obszarów rybackich", Środka - Ochrona i rozwój fauny i flory wodnej, Osi priorytetowej 3 - Środki służące wspólnemu interesowi  (2010-2012)</t>
  </si>
  <si>
    <t>Zabezpieczenie przeciwpowodziowe doliny rzeki Regi ze szczególnym uwzględnieniem m. Trzebiatów, w ramach PO IiŚ, Priorytetu III, Działania 3.1. (2010-2013)</t>
  </si>
  <si>
    <t>Zabezpieczenie przeciwpowodziowe doliny rzeki Parsęty poniżej m. Osówko, w tym m. Kołobrzegu, Karlina i Białogardu , w ramach PO IiŚ, Priorytetu III, Działania 3.1. (2010-2013)</t>
  </si>
  <si>
    <t>Pomoc Techniczna PO „Zrównoważony rozwój sektora rybołówstwa i nadbrzeżnych obszarów rybackich - Oś 5 - zakupy inwestycyjne (2009-2012)</t>
  </si>
  <si>
    <t>Budowa niebieskiego korytarza ekologicznego wzdłuż doliny rzeki Regi i jej dopływów w ramach Instrumentu Finansowego LIFE+ (2012-2017)</t>
  </si>
  <si>
    <t>Poprawianie i rozwijanie infrastruktury związanej rozwojem i dostosowaniem rolnictwa i leśnictwa, w ramach PROW, Osi 1, Działania 125 (2007-2013)</t>
  </si>
  <si>
    <t>Pomoc Techniczna w ramach PROW, Schematu I, III i III (2007-2015)</t>
  </si>
  <si>
    <t>Pomoc Techniczna, w ramach PROW, Schematu I, III i III - zakupy inwestycyjne (2007-2013)</t>
  </si>
  <si>
    <t>I. PRZEDSIĘWZIĘCIA  FINANSOWANE PRZY WSPÓŁUDZIALE ŚRODKÓW, O KTÓRYCH MOWA W ART. 5 UST. 1 PKT. 2 I 3 UFP 
W ZAKRESIE PLANOWANIA PRZESTRZENNEGO</t>
  </si>
  <si>
    <t>Sieć Centrów Obsługi Inwestorów i Eksporterów w ramach PO Innowacyjna Gospodarka, Priorytet VI, Działanie 6.2., Poddziałanie 6.2.1 (2010-2015)</t>
  </si>
  <si>
    <t>Wzrost atrakcyjności inwestycyjnej Województwa Zachodniopomorskiego - Promocja walorów inwestycyjnych Województwa Zachodniopomorskiego  - etap I i II  w ramach RPO WZ, Oś priorytetowa 1, Działanie 1.3, Poddziałanie 1,.3.3, schemat C (2012-2014)</t>
  </si>
  <si>
    <t>Misje eksportowe - etap I, II, III, IV i V w ramach RPO WZ, Oś priorytetowa 1, Działanie 1.3, Poddziałanie 1.3.2 (2012-2014)</t>
  </si>
  <si>
    <t>środki na dofinansowanie własnych inwestycji pozyskane z innych źródeł</t>
  </si>
  <si>
    <t>Wskaźnik wykonania 
w % 
(kol. 6 : 3)</t>
  </si>
  <si>
    <t>Wskaźnik wykonania 
w %
 (kol. 8 : 4)</t>
  </si>
  <si>
    <t>Wykonanie od początku realizacji do 31.12.2013 r.</t>
  </si>
  <si>
    <t>Wykonanie 
na 31.12.2013 r.</t>
  </si>
  <si>
    <t xml:space="preserve">w tym wykonanie 
w 2013 roku </t>
  </si>
  <si>
    <t>WYKONANIE OD POCZĄTKU REALIZACJI DO 31.12.2013 r.</t>
  </si>
  <si>
    <t>Odchylenie wykonania od planu rocznego (kol. 8 - kol. 4)</t>
  </si>
  <si>
    <t>Inwestycja w wiedzę motorem rozwoju innowacyjności w regionie w ramach działania 8.2 PO KL - III edycja (2013-2015)</t>
  </si>
  <si>
    <t>PLAN PO ZMIANACH WG STANU NA 17 GRUDNIA 2013 R.</t>
  </si>
  <si>
    <t>Plan na
 2013 r. wg uchwały 
z dnia
 17.12.2013 r.</t>
  </si>
  <si>
    <t>Wykonanie 
na 
31.12.2013</t>
  </si>
  <si>
    <t>bieżące</t>
  </si>
  <si>
    <t>rozdz. 80146</t>
  </si>
  <si>
    <t>Centrum Edukacji Nauczycieli w Koszalinie - nadzór WEiS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</si>
  <si>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</si>
  <si>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</si>
  <si>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 xml:space="preserve">bieżące </t>
  </si>
  <si>
    <t>rozdz. 92605      92695</t>
  </si>
  <si>
    <t>Projekt pn. "Zachodniopomorskie Regionalne Obserwatorium Terytorialne podstawą rozwoju regionu" w ramach działania 5.2 PO KL (2013-2015)</t>
  </si>
  <si>
    <t>rodz. 71095</t>
  </si>
  <si>
    <t>rodz. 75862</t>
  </si>
  <si>
    <t>Projekt pn. "Zachodniopomorskie  Regionalne Obserwatorium Terytorialne podstawą rozwoju regionu" w ramach działania 5.2 PO KL - wydatki inwestycyjne (2013-2015)</t>
  </si>
  <si>
    <t>majątkowe</t>
  </si>
  <si>
    <t>Wydział  Zarządzania Strategicznego</t>
  </si>
  <si>
    <t>15.</t>
  </si>
  <si>
    <t>PLAN PO ZMIANACH WG STANU NA 
17 GRUDNIA 2013 R.</t>
  </si>
  <si>
    <t>Rozbudowa Muzeum Narodowego w Szczecinie - Muzeum Morskie (2011-2014)</t>
  </si>
  <si>
    <t>Architektoniczno - urbanistyczna koncepcja rozbudowy Teatru Polskiego w Szczecinie w ramach RPO WZ, Osi VI: Rozwój Funkcji Metropolitarnych (2011 - 2014)</t>
  </si>
  <si>
    <t>dotacje celowe/ płatności z UE (poza budżetem)</t>
  </si>
  <si>
    <t xml:space="preserve">w tym wykonanie 
w 2013 r. </t>
  </si>
  <si>
    <t>w tym wykonanie 
w 2013 roku</t>
  </si>
  <si>
    <t>Poprawa warunków przepływu wody w obrębie m. Darłowo wraz z zabezpieczeniem przeciwpowodziowym  m i gm. Darłowo (2013-2014)</t>
  </si>
  <si>
    <t>"Rewitalizacja europejskiego szlaku kulturowego na obszarze Południowego Bałtyku - Pomorski Szlak św. Jakuba" w ramach Programu Współpracy Transgranicznej Południowy Bałtyk - EWT -zakupy inwestycyjne (2011-2014)</t>
  </si>
  <si>
    <t>rozdz. 63003</t>
  </si>
  <si>
    <t>rodz. 63003</t>
  </si>
  <si>
    <t>Prognozowane nakłady / dochody z tytułu realizacji projektów
w latach 2014-2018 i latach następnych</t>
  </si>
  <si>
    <t>Rozbudowa Szpitala Dziecięcego SPS ZOZ "Zdroje" 
w Szczecinie - utworzenie Zachodniopomorskiego Centrum Opieki Nad Kobietą i Dzieckiem (2010-2014)</t>
  </si>
  <si>
    <t>rozdz. 
15011</t>
  </si>
  <si>
    <t xml:space="preserve">Bałtyckie Centrum Badawczo - Wdrożeniowe Gospodarki Morskiej w ramach RPO WZ, Oś priorytetowa 1, 
Działanie 1.5 (2013-2014) </t>
  </si>
  <si>
    <t>rodz. 
75861</t>
  </si>
  <si>
    <t xml:space="preserve">Wydział Administracyjny,
Wydział Społeczeństwa Informacyjnego i Informatyki </t>
  </si>
  <si>
    <t>Pomoc Techniczna w ramach  Programu EWT INTERREG IV A (2008 - 2014)</t>
  </si>
  <si>
    <t>Wydział Zarządzania Strategicznego</t>
  </si>
  <si>
    <t>Wydział Zarządzania Strategicznego, Wydział Wdrażania RPO, Wydział Organizacji i Rozwoju Zasobów Ludzkich</t>
  </si>
  <si>
    <t>Wydział Zarządzania Strategicznego , Wydział Wdrażania RPO, Wydział Organizacji i Rozwoju Zasobów Ludzkich</t>
  </si>
  <si>
    <t>Odchylenie wykonania od planu za 2013 r. (kol. 8- kol. 4)</t>
  </si>
  <si>
    <t>Odchylenie wykonania od planu za  2013 r. (kol. 8 - kol. 4)</t>
  </si>
  <si>
    <t>-</t>
  </si>
  <si>
    <t>dotacje z budżetu państwa</t>
  </si>
  <si>
    <t xml:space="preserve">środki z innych źródeł </t>
  </si>
  <si>
    <t xml:space="preserve">* </t>
  </si>
  <si>
    <r>
      <t>środki z innych źródeł</t>
    </r>
    <r>
      <rPr>
        <sz val="12"/>
        <rFont val="Arial CE"/>
        <family val="2"/>
        <charset val="238"/>
      </rPr>
      <t xml:space="preserve"> </t>
    </r>
    <r>
      <rPr>
        <b/>
        <sz val="10"/>
        <rFont val="Arial CE"/>
        <family val="2"/>
        <charset val="238"/>
      </rPr>
      <t>*</t>
    </r>
  </si>
  <si>
    <r>
      <t xml:space="preserve">środki z budżetu krajowego, </t>
    </r>
    <r>
      <rPr>
        <i/>
        <sz val="10"/>
        <rFont val="Arial CE"/>
        <charset val="238"/>
      </rPr>
      <t>z tego</t>
    </r>
    <r>
      <rPr>
        <b/>
        <i/>
        <sz val="10"/>
        <rFont val="Arial CE"/>
        <family val="2"/>
        <charset val="238"/>
      </rPr>
      <t>:</t>
    </r>
  </si>
  <si>
    <r>
      <t xml:space="preserve">środki z budżetu krajowego, </t>
    </r>
    <r>
      <rPr>
        <i/>
        <sz val="10"/>
        <rFont val="Arial CE"/>
        <charset val="238"/>
      </rPr>
      <t>z tego:</t>
    </r>
    <r>
      <rPr>
        <b/>
        <i/>
        <sz val="10"/>
        <rFont val="Arial CE"/>
        <charset val="238"/>
      </rPr>
      <t xml:space="preserve"> </t>
    </r>
  </si>
  <si>
    <r>
      <t xml:space="preserve">Kwota w wysokości </t>
    </r>
    <r>
      <rPr>
        <b/>
        <i/>
        <sz val="10"/>
        <rFont val="Arial"/>
        <family val="2"/>
        <charset val="238"/>
      </rPr>
      <t xml:space="preserve">1.023.120 zł </t>
    </r>
    <r>
      <rPr>
        <i/>
        <sz val="10"/>
        <rFont val="Arial"/>
        <family val="2"/>
        <charset val="238"/>
      </rPr>
      <t xml:space="preserve">wyszczególniona w </t>
    </r>
    <r>
      <rPr>
        <b/>
        <i/>
        <sz val="10"/>
        <rFont val="Arial"/>
        <family val="2"/>
        <charset val="238"/>
      </rPr>
      <t>poz. 26</t>
    </r>
    <r>
      <rPr>
        <i/>
        <sz val="10"/>
        <rFont val="Arial"/>
        <family val="2"/>
        <charset val="238"/>
      </rPr>
      <t xml:space="preserve"> stanowi dochody z tytułu naliczonej kary umownej za opóźnienia w dostawie trzech pociągów w ramach POIiŚ z przyczyn leżących po stronie Wykonawcy (NEWAG S.A.), która pomniejszyła płatności z UE (z Funduszu Spójności) przekazane przez Centrum Unijnych Projektów Transportowych (CUPT).</t>
    </r>
  </si>
  <si>
    <r>
      <t xml:space="preserve">* </t>
    </r>
    <r>
      <rPr>
        <i/>
        <sz val="8"/>
        <rFont val="Arial CE"/>
        <charset val="238"/>
      </rPr>
      <t>W latach 2019 - 2022  kwota poręczenia dla Szpitala Specjalistycznego w Szczecinie Zdunowie wynosi</t>
    </r>
    <r>
      <rPr>
        <b/>
        <i/>
        <sz val="8"/>
        <rFont val="Arial CE"/>
        <charset val="238"/>
      </rPr>
      <t xml:space="preserve"> 3.680.000 zł.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</si>
  <si>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</si>
  <si>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r>
      <t xml:space="preserve">Prace modernizacyjne i adaptacyjne w nieruchomościach należących do zasobu Województwa </t>
    </r>
    <r>
      <rPr>
        <sz val="10"/>
        <rFont val="Arial CE"/>
        <charset val="238"/>
      </rPr>
      <t>(jednoroczne zadania inwestycyjne)</t>
    </r>
  </si>
  <si>
    <t xml:space="preserve">WYKONANIE  W 2013 ROKU DOCHODÓW I WYDATKÓW  PLANOWANYCH NA PRZEDSIĘWZIĘCIA  UJĘTE W WPF I  FINANSOWANE ZE ŚRODKÓW WŁASNYCH ORAZ PRZY WSPÓŁUDZIALE ŚRODKÓW, O KTÓRYCH MOWA W ART. 5 UST. 1 PKT. 2 I 3 UFP - WG ŹRÓDEŁ FINANSOWANIA </t>
  </si>
  <si>
    <t>"Pomorze Zachodnie - wszystko czego potrzebujesz. Promocja turystyczna Województwa Zachodniopomorskiego" w ramach RPO WZ, Osi 6 (2013-2015)</t>
  </si>
  <si>
    <t>Znaczenie nowoczesnych technologii w motywowaniu dorosłych z terenów defaworyzowanych do uczenia się w ramach Programu LLP „Uczenie się przez całe życie” – GRUNDTVIG (2013-2015)</t>
  </si>
  <si>
    <t>Załącznik Nr  8</t>
  </si>
  <si>
    <t xml:space="preserve">Załącznik Nr 8A  </t>
  </si>
  <si>
    <t>Załącznik Nr 8B</t>
  </si>
  <si>
    <t>Załącznik Nr 8C</t>
  </si>
  <si>
    <t>Załącznik Nr 8D</t>
  </si>
  <si>
    <t>Załącznik Nr 8E</t>
  </si>
  <si>
    <t>Załącznik Nr 8F</t>
  </si>
  <si>
    <t>Załącznik Nr 8G</t>
  </si>
  <si>
    <t>Załącznik Nr 8H</t>
  </si>
  <si>
    <t>Załącznik Nr 8I</t>
  </si>
  <si>
    <t>Plan na
17.12.2013 r.</t>
  </si>
  <si>
    <t>PLAN PO ZMIANACH WG STANU NA 17 GRUDNIA 2013 r.</t>
  </si>
  <si>
    <r>
      <t xml:space="preserve"> - Projekty w ramach Pomocy technicznej - Oś VIII RPO WZ (2007-2015) </t>
    </r>
    <r>
      <rPr>
        <sz val="10"/>
        <rFont val="Arial CE"/>
        <charset val="238"/>
      </rPr>
      <t xml:space="preserve"> - wydatki bieżące (zał 8E)</t>
    </r>
  </si>
  <si>
    <t>Wydatki z budżetu województwa  - razem 
wg stanu na 31.12.13 r.</t>
  </si>
  <si>
    <t>Dochody budżetu województwa  - razem
wg stanu na 31.12.13 r.</t>
  </si>
  <si>
    <t>Wydatki z budżetu województwa (wg stanu na 31.12.13 r.)
z tego:</t>
  </si>
  <si>
    <t>Dochody budżetu województwa  (wg stanu na 31.12.13 r.)</t>
  </si>
  <si>
    <r>
      <t xml:space="preserve"> - Poprawianie i rozwijanie infrastruktury związanej rozwojem i dostosowaniem rolnictwa i leśnictwa, w ramach PROW, Osi 1, Działania 125 - </t>
    </r>
    <r>
      <rPr>
        <sz val="10"/>
        <rFont val="Arial CE"/>
        <charset val="238"/>
      </rPr>
      <t>dochody i wydatki majątkowe (zał. 8G)</t>
    </r>
  </si>
  <si>
    <t>UWAGA 
po 17 grudnia 2013 r.  w planie roku 2013 zostały zostały dokonane zmiany na przedsięwzięciu:</t>
  </si>
  <si>
    <t>Odchylenie wykonania od planu 
za 2013 r. 
(kol. 7 - kol. 3)</t>
  </si>
  <si>
    <t>Wskaźnik wykonania 
w %
 (kol. 7 : 3)</t>
  </si>
  <si>
    <t>Wskaźnik wykonania 
w % 
(kol. 5 : 2)</t>
  </si>
  <si>
    <r>
      <t xml:space="preserve"> - Rozbudowa części środkowej budynku głównego wraz z dostosowaniem oddziałów chirurgicznych do wymogów fachowo-sanitarnych  w Specjalistycznym Szpitalu im. A.Sokołowskiego w Szczecinie-Zdunowie w ramach osi VII RPO - </t>
    </r>
    <r>
      <rPr>
        <sz val="10"/>
        <rFont val="Arial CE"/>
        <charset val="238"/>
      </rPr>
      <t>dochody i wydatki majątkowe (zał. 8C)</t>
    </r>
  </si>
  <si>
    <t>PLAN PO ZMIANACH WG STANU NA 
31 GRUDNIA 2013 r.</t>
  </si>
  <si>
    <t>Plan na dnia
 31.12.2013 r.</t>
  </si>
  <si>
    <t xml:space="preserve">UWAGA 
po 17 grudnia 2013 r.  w planie roku 2013 zostały zostały dokonane zmiany na przedsięwzięciach: </t>
  </si>
  <si>
    <r>
      <t xml:space="preserve">Wydatki z budżetu województwa (wg stanu na 31.12.2013 r.)
</t>
    </r>
    <r>
      <rPr>
        <sz val="10"/>
        <rFont val="Arial CE"/>
        <charset val="238"/>
      </rPr>
      <t>z tego:</t>
    </r>
  </si>
  <si>
    <t xml:space="preserve"> Regionalny Ośrodek Polityki Społecznej</t>
  </si>
  <si>
    <t>Wydział Edukacji 
i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</si>
</sst>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"/>
    <numFmt numFmtId="165" formatCode="0.0"/>
    <numFmt numFmtId="167" formatCode="#,##0_ ;\-#,##0\ 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/>
      <i/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8"/>
      <name val="Arial CE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 Black"/>
      <family val="2"/>
      <charset val="238"/>
    </font>
    <font>
      <b/>
      <i/>
      <sz val="14"/>
      <name val="Arial CE"/>
      <charset val="238"/>
    </font>
    <font>
      <i/>
      <sz val="8"/>
      <name val="Arial CE"/>
      <charset val="238"/>
    </font>
    <font>
      <b/>
      <sz val="18"/>
      <name val="Arial CE"/>
      <charset val="238"/>
    </font>
    <font>
      <b/>
      <i/>
      <sz val="14"/>
      <name val="Arial Black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4"/>
      <name val="Arial Black"/>
      <family val="2"/>
      <charset val="238"/>
    </font>
    <font>
      <sz val="8"/>
      <name val="Arial Black"/>
      <family val="2"/>
      <charset val="238"/>
    </font>
    <font>
      <sz val="9"/>
      <name val="Arial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Black"/>
      <family val="2"/>
      <charset val="238"/>
    </font>
    <font>
      <b/>
      <i/>
      <sz val="14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37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3" fillId="0" borderId="0" xfId="0" applyFont="1" applyFill="1" applyBorder="1" applyAlignment="1"/>
    <xf numFmtId="3" fontId="15" fillId="6" borderId="28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3" fontId="9" fillId="0" borderId="25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19" xfId="0" applyFont="1" applyBorder="1"/>
    <xf numFmtId="0" fontId="2" fillId="0" borderId="10" xfId="0" applyFont="1" applyBorder="1"/>
    <xf numFmtId="3" fontId="15" fillId="6" borderId="26" xfId="0" applyNumberFormat="1" applyFont="1" applyFill="1" applyBorder="1" applyAlignment="1">
      <alignment horizontal="right" vertical="center" wrapText="1"/>
    </xf>
    <xf numFmtId="3" fontId="15" fillId="6" borderId="56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6" fillId="4" borderId="63" xfId="0" applyFont="1" applyFill="1" applyBorder="1" applyAlignment="1">
      <alignment vertical="top"/>
    </xf>
    <xf numFmtId="0" fontId="5" fillId="4" borderId="63" xfId="0" applyFont="1" applyFill="1" applyBorder="1" applyAlignment="1">
      <alignment horizontal="left" vertical="center" wrapText="1"/>
    </xf>
    <xf numFmtId="3" fontId="27" fillId="2" borderId="71" xfId="2" applyNumberFormat="1" applyFont="1" applyFill="1" applyBorder="1" applyAlignment="1">
      <alignment vertical="center" wrapText="1"/>
    </xf>
    <xf numFmtId="0" fontId="16" fillId="0" borderId="72" xfId="2" applyFont="1" applyFill="1" applyBorder="1" applyAlignment="1">
      <alignment horizontal="left" vertical="center"/>
    </xf>
    <xf numFmtId="0" fontId="7" fillId="4" borderId="86" xfId="2" applyFont="1" applyFill="1" applyBorder="1" applyAlignment="1">
      <alignment horizontal="left" vertical="center"/>
    </xf>
    <xf numFmtId="0" fontId="7" fillId="4" borderId="78" xfId="2" applyFont="1" applyFill="1" applyBorder="1" applyAlignment="1">
      <alignment horizontal="left" vertical="center"/>
    </xf>
    <xf numFmtId="0" fontId="7" fillId="4" borderId="63" xfId="2" applyFont="1" applyFill="1" applyBorder="1" applyAlignment="1">
      <alignment horizontal="left" vertical="center"/>
    </xf>
    <xf numFmtId="3" fontId="3" fillId="4" borderId="66" xfId="2" applyNumberFormat="1" applyFont="1" applyFill="1" applyBorder="1" applyAlignment="1"/>
    <xf numFmtId="165" fontId="3" fillId="4" borderId="62" xfId="2" applyNumberFormat="1" applyFont="1" applyFill="1" applyBorder="1" applyAlignment="1"/>
    <xf numFmtId="3" fontId="29" fillId="0" borderId="66" xfId="3" applyNumberFormat="1" applyFont="1" applyFill="1" applyBorder="1" applyAlignment="1">
      <alignment vertical="center"/>
    </xf>
    <xf numFmtId="165" fontId="29" fillId="0" borderId="62" xfId="3" applyNumberFormat="1" applyFont="1" applyFill="1" applyBorder="1" applyAlignment="1">
      <alignment vertical="center"/>
    </xf>
    <xf numFmtId="3" fontId="2" fillId="0" borderId="96" xfId="0" applyNumberFormat="1" applyFont="1" applyFill="1" applyBorder="1" applyAlignment="1">
      <alignment vertical="top"/>
    </xf>
    <xf numFmtId="165" fontId="2" fillId="2" borderId="68" xfId="2" applyNumberFormat="1" applyFont="1" applyFill="1" applyBorder="1" applyAlignment="1">
      <alignment horizontal="right" vertical="center"/>
    </xf>
    <xf numFmtId="165" fontId="2" fillId="2" borderId="73" xfId="2" applyNumberFormat="1" applyFont="1" applyFill="1" applyBorder="1" applyAlignment="1">
      <alignment horizontal="right" vertical="center"/>
    </xf>
    <xf numFmtId="3" fontId="3" fillId="4" borderId="62" xfId="0" applyNumberFormat="1" applyFont="1" applyFill="1" applyBorder="1" applyAlignment="1">
      <alignment vertical="top"/>
    </xf>
    <xf numFmtId="3" fontId="3" fillId="0" borderId="62" xfId="0" applyNumberFormat="1" applyFont="1" applyFill="1" applyBorder="1" applyAlignment="1">
      <alignment vertical="top"/>
    </xf>
    <xf numFmtId="0" fontId="7" fillId="4" borderId="29" xfId="2" applyFont="1" applyFill="1" applyBorder="1" applyAlignment="1">
      <alignment horizontal="left" vertical="center"/>
    </xf>
    <xf numFmtId="165" fontId="3" fillId="4" borderId="62" xfId="0" applyNumberFormat="1" applyFont="1" applyFill="1" applyBorder="1" applyAlignment="1">
      <alignment vertical="top"/>
    </xf>
    <xf numFmtId="165" fontId="3" fillId="0" borderId="62" xfId="0" applyNumberFormat="1" applyFont="1" applyFill="1" applyBorder="1" applyAlignment="1">
      <alignment vertical="top"/>
    </xf>
    <xf numFmtId="165" fontId="2" fillId="0" borderId="68" xfId="0" applyNumberFormat="1" applyFont="1" applyFill="1" applyBorder="1" applyAlignment="1">
      <alignment vertical="top"/>
    </xf>
    <xf numFmtId="3" fontId="2" fillId="0" borderId="68" xfId="0" applyNumberFormat="1" applyFont="1" applyFill="1" applyBorder="1" applyAlignment="1">
      <alignment vertical="top"/>
    </xf>
    <xf numFmtId="0" fontId="28" fillId="0" borderId="31" xfId="0" applyFont="1" applyBorder="1" applyAlignment="1">
      <alignment horizontal="center" vertical="center" wrapText="1"/>
    </xf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2" fillId="0" borderId="87" xfId="0" applyFont="1" applyBorder="1"/>
    <xf numFmtId="0" fontId="2" fillId="0" borderId="88" xfId="0" applyFont="1" applyBorder="1"/>
    <xf numFmtId="0" fontId="2" fillId="0" borderId="1" xfId="0" applyFont="1" applyBorder="1"/>
    <xf numFmtId="0" fontId="2" fillId="3" borderId="88" xfId="0" applyFont="1" applyFill="1" applyBorder="1"/>
    <xf numFmtId="3" fontId="15" fillId="2" borderId="110" xfId="0" quotePrefix="1" applyNumberFormat="1" applyFont="1" applyFill="1" applyBorder="1" applyAlignment="1">
      <alignment vertical="center"/>
    </xf>
    <xf numFmtId="3" fontId="15" fillId="2" borderId="108" xfId="0" quotePrefix="1" applyNumberFormat="1" applyFont="1" applyFill="1" applyBorder="1" applyAlignment="1">
      <alignment vertical="center"/>
    </xf>
    <xf numFmtId="3" fontId="15" fillId="2" borderId="128" xfId="0" quotePrefix="1" applyNumberFormat="1" applyFont="1" applyFill="1" applyBorder="1" applyAlignment="1">
      <alignment vertical="center"/>
    </xf>
    <xf numFmtId="165" fontId="15" fillId="0" borderId="114" xfId="2" applyNumberFormat="1" applyFont="1" applyFill="1" applyBorder="1" applyAlignment="1">
      <alignment horizontal="right" vertical="center"/>
    </xf>
    <xf numFmtId="3" fontId="15" fillId="2" borderId="114" xfId="0" quotePrefix="1" applyNumberFormat="1" applyFont="1" applyFill="1" applyBorder="1" applyAlignment="1">
      <alignment vertical="center"/>
    </xf>
    <xf numFmtId="3" fontId="15" fillId="2" borderId="109" xfId="0" quotePrefix="1" applyNumberFormat="1" applyFont="1" applyFill="1" applyBorder="1" applyAlignment="1">
      <alignment vertical="center"/>
    </xf>
    <xf numFmtId="3" fontId="9" fillId="5" borderId="25" xfId="0" applyNumberFormat="1" applyFont="1" applyFill="1" applyBorder="1" applyAlignment="1">
      <alignment vertical="center" wrapText="1"/>
    </xf>
    <xf numFmtId="3" fontId="9" fillId="5" borderId="88" xfId="0" applyNumberFormat="1" applyFont="1" applyFill="1" applyBorder="1" applyAlignment="1">
      <alignment vertical="center" wrapText="1"/>
    </xf>
    <xf numFmtId="0" fontId="15" fillId="0" borderId="115" xfId="0" applyFont="1" applyBorder="1" applyAlignment="1">
      <alignment horizontal="left" vertical="center"/>
    </xf>
    <xf numFmtId="3" fontId="15" fillId="2" borderId="113" xfId="0" quotePrefix="1" applyNumberFormat="1" applyFont="1" applyFill="1" applyBorder="1" applyAlignment="1">
      <alignment vertical="center"/>
    </xf>
    <xf numFmtId="3" fontId="15" fillId="2" borderId="111" xfId="0" quotePrefix="1" applyNumberFormat="1" applyFont="1" applyFill="1" applyBorder="1" applyAlignment="1">
      <alignment vertical="center"/>
    </xf>
    <xf numFmtId="3" fontId="15" fillId="2" borderId="124" xfId="0" quotePrefix="1" applyNumberFormat="1" applyFont="1" applyFill="1" applyBorder="1" applyAlignment="1">
      <alignment vertical="center"/>
    </xf>
    <xf numFmtId="3" fontId="15" fillId="2" borderId="122" xfId="0" quotePrefix="1" applyNumberFormat="1" applyFont="1" applyFill="1" applyBorder="1" applyAlignment="1">
      <alignment vertical="center"/>
    </xf>
    <xf numFmtId="165" fontId="15" fillId="0" borderId="115" xfId="2" applyNumberFormat="1" applyFont="1" applyFill="1" applyBorder="1" applyAlignment="1">
      <alignment horizontal="right" vertical="center"/>
    </xf>
    <xf numFmtId="165" fontId="15" fillId="0" borderId="112" xfId="2" applyNumberFormat="1" applyFont="1" applyFill="1" applyBorder="1" applyAlignment="1">
      <alignment horizontal="right" vertical="center"/>
    </xf>
    <xf numFmtId="3" fontId="15" fillId="2" borderId="112" xfId="0" quotePrefix="1" applyNumberFormat="1" applyFont="1" applyFill="1" applyBorder="1" applyAlignment="1">
      <alignment vertical="center"/>
    </xf>
    <xf numFmtId="3" fontId="15" fillId="2" borderId="126" xfId="0" quotePrefix="1" applyNumberFormat="1" applyFont="1" applyFill="1" applyBorder="1" applyAlignment="1">
      <alignment vertical="center"/>
    </xf>
    <xf numFmtId="165" fontId="15" fillId="0" borderId="106" xfId="2" applyNumberFormat="1" applyFont="1" applyFill="1" applyBorder="1" applyAlignment="1">
      <alignment horizontal="right" vertical="center"/>
    </xf>
    <xf numFmtId="3" fontId="22" fillId="4" borderId="30" xfId="0" applyNumberFormat="1" applyFont="1" applyFill="1" applyBorder="1" applyAlignment="1">
      <alignment horizontal="right" vertical="center" wrapText="1"/>
    </xf>
    <xf numFmtId="3" fontId="22" fillId="4" borderId="28" xfId="0" applyNumberFormat="1" applyFont="1" applyFill="1" applyBorder="1" applyAlignment="1">
      <alignment horizontal="right" vertical="center" wrapText="1"/>
    </xf>
    <xf numFmtId="3" fontId="22" fillId="4" borderId="89" xfId="0" applyNumberFormat="1" applyFont="1" applyFill="1" applyBorder="1" applyAlignment="1">
      <alignment horizontal="right" vertical="center" wrapText="1"/>
    </xf>
    <xf numFmtId="3" fontId="22" fillId="4" borderId="26" xfId="0" applyNumberFormat="1" applyFont="1" applyFill="1" applyBorder="1" applyAlignment="1">
      <alignment horizontal="right" vertical="center" wrapText="1"/>
    </xf>
    <xf numFmtId="164" fontId="22" fillId="4" borderId="28" xfId="0" applyNumberFormat="1" applyFont="1" applyFill="1" applyBorder="1" applyAlignment="1">
      <alignment horizontal="right" vertical="center" wrapText="1"/>
    </xf>
    <xf numFmtId="164" fontId="22" fillId="4" borderId="56" xfId="0" applyNumberFormat="1" applyFont="1" applyFill="1" applyBorder="1" applyAlignment="1">
      <alignment horizontal="right" vertical="center" wrapText="1"/>
    </xf>
    <xf numFmtId="3" fontId="22" fillId="4" borderId="56" xfId="0" applyNumberFormat="1" applyFont="1" applyFill="1" applyBorder="1" applyAlignment="1">
      <alignment horizontal="right" vertical="center" wrapText="1"/>
    </xf>
    <xf numFmtId="0" fontId="15" fillId="6" borderId="30" xfId="2" applyFont="1" applyFill="1" applyBorder="1" applyAlignment="1">
      <alignment vertical="center"/>
    </xf>
    <xf numFmtId="3" fontId="15" fillId="6" borderId="30" xfId="0" applyNumberFormat="1" applyFont="1" applyFill="1" applyBorder="1" applyAlignment="1">
      <alignment horizontal="right" vertical="center" wrapText="1"/>
    </xf>
    <xf numFmtId="3" fontId="15" fillId="6" borderId="89" xfId="0" applyNumberFormat="1" applyFont="1" applyFill="1" applyBorder="1" applyAlignment="1">
      <alignment horizontal="right" vertical="center" wrapText="1"/>
    </xf>
    <xf numFmtId="164" fontId="15" fillId="6" borderId="4" xfId="0" applyNumberFormat="1" applyFont="1" applyFill="1" applyBorder="1" applyAlignment="1">
      <alignment horizontal="right" vertical="center" wrapText="1"/>
    </xf>
    <xf numFmtId="164" fontId="15" fillId="6" borderId="55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vertical="center" wrapText="1"/>
    </xf>
    <xf numFmtId="3" fontId="4" fillId="0" borderId="30" xfId="0" applyNumberFormat="1" applyFont="1" applyFill="1" applyBorder="1" applyAlignment="1">
      <alignment vertical="center" wrapText="1"/>
    </xf>
    <xf numFmtId="3" fontId="4" fillId="0" borderId="28" xfId="0" applyNumberFormat="1" applyFont="1" applyFill="1" applyBorder="1" applyAlignment="1">
      <alignment vertical="center" wrapText="1"/>
    </xf>
    <xf numFmtId="3" fontId="4" fillId="0" borderId="89" xfId="0" applyNumberFormat="1" applyFont="1" applyFill="1" applyBorder="1" applyAlignment="1">
      <alignment vertical="center" wrapText="1"/>
    </xf>
    <xf numFmtId="3" fontId="4" fillId="0" borderId="26" xfId="0" applyNumberFormat="1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165" fontId="4" fillId="0" borderId="55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3" fontId="9" fillId="0" borderId="88" xfId="0" applyNumberFormat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3" fontId="4" fillId="0" borderId="127" xfId="0" applyNumberFormat="1" applyFont="1" applyFill="1" applyBorder="1" applyAlignment="1">
      <alignment vertical="center" wrapText="1"/>
    </xf>
    <xf numFmtId="43" fontId="4" fillId="0" borderId="22" xfId="1" applyFont="1" applyFill="1" applyBorder="1" applyAlignment="1">
      <alignment vertical="center" wrapText="1"/>
    </xf>
    <xf numFmtId="43" fontId="4" fillId="0" borderId="55" xfId="1" applyFont="1" applyFill="1" applyBorder="1" applyAlignment="1">
      <alignment vertical="center" wrapText="1"/>
    </xf>
    <xf numFmtId="3" fontId="4" fillId="0" borderId="21" xfId="0" applyNumberFormat="1" applyFont="1" applyFill="1" applyBorder="1" applyAlignment="1">
      <alignment vertical="center" wrapText="1"/>
    </xf>
    <xf numFmtId="0" fontId="15" fillId="6" borderId="30" xfId="2" applyFont="1" applyFill="1" applyBorder="1" applyAlignment="1">
      <alignment vertical="center" wrapText="1"/>
    </xf>
    <xf numFmtId="3" fontId="15" fillId="6" borderId="29" xfId="0" applyNumberFormat="1" applyFont="1" applyFill="1" applyBorder="1" applyAlignment="1">
      <alignment vertical="center" wrapText="1"/>
    </xf>
    <xf numFmtId="3" fontId="15" fillId="6" borderId="4" xfId="0" applyNumberFormat="1" applyFont="1" applyFill="1" applyBorder="1" applyAlignment="1">
      <alignment vertical="center" wrapText="1"/>
    </xf>
    <xf numFmtId="3" fontId="15" fillId="6" borderId="127" xfId="0" applyNumberFormat="1" applyFont="1" applyFill="1" applyBorder="1" applyAlignment="1">
      <alignment vertical="center" wrapText="1"/>
    </xf>
    <xf numFmtId="3" fontId="15" fillId="6" borderId="21" xfId="0" applyNumberFormat="1" applyFont="1" applyFill="1" applyBorder="1" applyAlignment="1">
      <alignment vertical="center" wrapText="1"/>
    </xf>
    <xf numFmtId="164" fontId="15" fillId="6" borderId="28" xfId="0" applyNumberFormat="1" applyFont="1" applyFill="1" applyBorder="1" applyAlignment="1">
      <alignment horizontal="right" vertical="center" wrapText="1"/>
    </xf>
    <xf numFmtId="164" fontId="15" fillId="6" borderId="56" xfId="0" applyNumberFormat="1" applyFont="1" applyFill="1" applyBorder="1" applyAlignment="1">
      <alignment horizontal="right" vertical="center" wrapText="1"/>
    </xf>
    <xf numFmtId="3" fontId="15" fillId="6" borderId="55" xfId="0" applyNumberFormat="1" applyFont="1" applyFill="1" applyBorder="1" applyAlignment="1">
      <alignment vertical="center" wrapText="1"/>
    </xf>
    <xf numFmtId="43" fontId="4" fillId="0" borderId="4" xfId="1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3" fontId="2" fillId="0" borderId="55" xfId="1" applyFont="1" applyFill="1" applyBorder="1" applyAlignment="1">
      <alignment vertical="center" wrapText="1"/>
    </xf>
    <xf numFmtId="3" fontId="2" fillId="0" borderId="89" xfId="0" applyNumberFormat="1" applyFont="1" applyFill="1" applyBorder="1" applyAlignment="1">
      <alignment vertical="center" wrapText="1"/>
    </xf>
    <xf numFmtId="3" fontId="22" fillId="4" borderId="29" xfId="0" applyNumberFormat="1" applyFont="1" applyFill="1" applyBorder="1" applyAlignment="1">
      <alignment vertical="center" wrapText="1"/>
    </xf>
    <xf numFmtId="3" fontId="22" fillId="4" borderId="4" xfId="0" applyNumberFormat="1" applyFont="1" applyFill="1" applyBorder="1" applyAlignment="1">
      <alignment vertical="center" wrapText="1"/>
    </xf>
    <xf numFmtId="3" fontId="22" fillId="4" borderId="127" xfId="0" applyNumberFormat="1" applyFont="1" applyFill="1" applyBorder="1" applyAlignment="1">
      <alignment vertical="center" wrapText="1"/>
    </xf>
    <xf numFmtId="3" fontId="22" fillId="4" borderId="21" xfId="0" applyNumberFormat="1" applyFont="1" applyFill="1" applyBorder="1" applyAlignment="1">
      <alignment vertical="center" wrapText="1"/>
    </xf>
    <xf numFmtId="164" fontId="22" fillId="4" borderId="4" xfId="0" applyNumberFormat="1" applyFont="1" applyFill="1" applyBorder="1" applyAlignment="1">
      <alignment horizontal="right" vertical="center" wrapText="1"/>
    </xf>
    <xf numFmtId="164" fontId="22" fillId="4" borderId="55" xfId="0" applyNumberFormat="1" applyFont="1" applyFill="1" applyBorder="1" applyAlignment="1">
      <alignment horizontal="right" vertical="center" wrapText="1"/>
    </xf>
    <xf numFmtId="3" fontId="22" fillId="4" borderId="55" xfId="0" applyNumberFormat="1" applyFont="1" applyFill="1" applyBorder="1" applyAlignment="1">
      <alignment vertical="center" wrapText="1"/>
    </xf>
    <xf numFmtId="3" fontId="9" fillId="5" borderId="9" xfId="0" applyNumberFormat="1" applyFont="1" applyFill="1" applyBorder="1" applyAlignment="1">
      <alignment vertical="center" wrapText="1"/>
    </xf>
    <xf numFmtId="3" fontId="4" fillId="0" borderId="86" xfId="0" applyNumberFormat="1" applyFont="1" applyFill="1" applyBorder="1" applyAlignment="1">
      <alignment vertical="center" wrapText="1"/>
    </xf>
    <xf numFmtId="3" fontId="4" fillId="0" borderId="77" xfId="0" applyNumberFormat="1" applyFont="1" applyFill="1" applyBorder="1" applyAlignment="1">
      <alignment vertical="center" wrapText="1"/>
    </xf>
    <xf numFmtId="3" fontId="4" fillId="0" borderId="84" xfId="0" applyNumberFormat="1" applyFont="1" applyFill="1" applyBorder="1" applyAlignment="1">
      <alignment vertical="center" wrapText="1"/>
    </xf>
    <xf numFmtId="165" fontId="4" fillId="0" borderId="77" xfId="0" applyNumberFormat="1" applyFont="1" applyFill="1" applyBorder="1" applyAlignment="1">
      <alignment vertical="center" wrapText="1"/>
    </xf>
    <xf numFmtId="165" fontId="4" fillId="0" borderId="78" xfId="0" applyNumberFormat="1" applyFont="1" applyFill="1" applyBorder="1" applyAlignment="1">
      <alignment vertical="center" wrapText="1"/>
    </xf>
    <xf numFmtId="3" fontId="9" fillId="5" borderId="98" xfId="0" applyNumberFormat="1" applyFont="1" applyFill="1" applyBorder="1" applyAlignment="1">
      <alignment vertical="center" wrapText="1"/>
    </xf>
    <xf numFmtId="3" fontId="9" fillId="5" borderId="87" xfId="0" applyNumberFormat="1" applyFont="1" applyFill="1" applyBorder="1" applyAlignment="1">
      <alignment vertical="center" wrapText="1"/>
    </xf>
    <xf numFmtId="3" fontId="9" fillId="5" borderId="99" xfId="0" applyNumberFormat="1" applyFont="1" applyFill="1" applyBorder="1" applyAlignment="1">
      <alignment vertical="center" wrapText="1"/>
    </xf>
    <xf numFmtId="0" fontId="15" fillId="6" borderId="71" xfId="2" applyFont="1" applyFill="1" applyBorder="1" applyAlignment="1">
      <alignment vertical="center" wrapText="1"/>
    </xf>
    <xf numFmtId="3" fontId="15" fillId="6" borderId="71" xfId="0" applyNumberFormat="1" applyFont="1" applyFill="1" applyBorder="1" applyAlignment="1">
      <alignment vertical="center" wrapText="1"/>
    </xf>
    <xf numFmtId="3" fontId="15" fillId="6" borderId="62" xfId="0" applyNumberFormat="1" applyFont="1" applyFill="1" applyBorder="1" applyAlignment="1">
      <alignment vertical="center" wrapText="1"/>
    </xf>
    <xf numFmtId="3" fontId="15" fillId="6" borderId="102" xfId="0" applyNumberFormat="1" applyFont="1" applyFill="1" applyBorder="1" applyAlignment="1">
      <alignment vertical="center" wrapText="1"/>
    </xf>
    <xf numFmtId="3" fontId="9" fillId="5" borderId="66" xfId="0" applyNumberFormat="1" applyFont="1" applyFill="1" applyBorder="1" applyAlignment="1">
      <alignment vertical="center" wrapText="1"/>
    </xf>
    <xf numFmtId="0" fontId="4" fillId="0" borderId="71" xfId="0" applyFont="1" applyFill="1" applyBorder="1" applyAlignment="1">
      <alignment vertical="center" wrapText="1"/>
    </xf>
    <xf numFmtId="3" fontId="4" fillId="0" borderId="71" xfId="0" applyNumberFormat="1" applyFont="1" applyFill="1" applyBorder="1" applyAlignment="1">
      <alignment vertical="center" wrapText="1"/>
    </xf>
    <xf numFmtId="3" fontId="4" fillId="0" borderId="62" xfId="0" applyNumberFormat="1" applyFont="1" applyFill="1" applyBorder="1" applyAlignment="1">
      <alignment vertical="center" wrapText="1"/>
    </xf>
    <xf numFmtId="3" fontId="4" fillId="0" borderId="65" xfId="0" applyNumberFormat="1" applyFont="1" applyFill="1" applyBorder="1" applyAlignment="1">
      <alignment vertical="center" wrapText="1"/>
    </xf>
    <xf numFmtId="165" fontId="4" fillId="0" borderId="62" xfId="0" applyNumberFormat="1" applyFont="1" applyFill="1" applyBorder="1" applyAlignment="1">
      <alignment vertical="center" wrapText="1"/>
    </xf>
    <xf numFmtId="165" fontId="4" fillId="0" borderId="63" xfId="0" applyNumberFormat="1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3" fontId="9" fillId="0" borderId="10" xfId="0" applyNumberFormat="1" applyFont="1" applyFill="1" applyBorder="1" applyAlignment="1">
      <alignment vertical="center" wrapText="1"/>
    </xf>
    <xf numFmtId="3" fontId="25" fillId="0" borderId="9" xfId="0" applyNumberFormat="1" applyFont="1" applyFill="1" applyBorder="1" applyAlignment="1">
      <alignment vertical="center" wrapText="1"/>
    </xf>
    <xf numFmtId="3" fontId="12" fillId="7" borderId="38" xfId="0" applyNumberFormat="1" applyFont="1" applyFill="1" applyBorder="1" applyAlignment="1">
      <alignment vertical="center" wrapText="1"/>
    </xf>
    <xf numFmtId="3" fontId="12" fillId="7" borderId="36" xfId="0" applyNumberFormat="1" applyFont="1" applyFill="1" applyBorder="1" applyAlignment="1">
      <alignment vertical="center" wrapText="1"/>
    </xf>
    <xf numFmtId="3" fontId="12" fillId="7" borderId="48" xfId="0" applyNumberFormat="1" applyFont="1" applyFill="1" applyBorder="1" applyAlignment="1">
      <alignment vertical="center" wrapText="1"/>
    </xf>
    <xf numFmtId="164" fontId="12" fillId="7" borderId="38" xfId="0" applyNumberFormat="1" applyFont="1" applyFill="1" applyBorder="1" applyAlignment="1">
      <alignment vertical="center" wrapText="1"/>
    </xf>
    <xf numFmtId="3" fontId="12" fillId="7" borderId="49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3" fontId="9" fillId="0" borderId="19" xfId="0" applyNumberFormat="1" applyFont="1" applyFill="1" applyBorder="1" applyAlignment="1">
      <alignment vertical="center" wrapText="1"/>
    </xf>
    <xf numFmtId="3" fontId="25" fillId="0" borderId="19" xfId="0" applyNumberFormat="1" applyFont="1" applyFill="1" applyBorder="1" applyAlignment="1">
      <alignment vertical="center" wrapText="1"/>
    </xf>
    <xf numFmtId="0" fontId="2" fillId="0" borderId="102" xfId="0" applyFont="1" applyFill="1" applyBorder="1" applyAlignment="1">
      <alignment vertical="center"/>
    </xf>
    <xf numFmtId="0" fontId="2" fillId="0" borderId="102" xfId="0" applyFont="1" applyBorder="1"/>
    <xf numFmtId="0" fontId="2" fillId="0" borderId="135" xfId="0" applyFont="1" applyBorder="1"/>
    <xf numFmtId="0" fontId="2" fillId="0" borderId="104" xfId="0" applyFont="1" applyBorder="1"/>
    <xf numFmtId="3" fontId="9" fillId="5" borderId="96" xfId="0" applyNumberFormat="1" applyFont="1" applyFill="1" applyBorder="1" applyAlignment="1">
      <alignment vertical="center" wrapText="1"/>
    </xf>
    <xf numFmtId="3" fontId="9" fillId="5" borderId="92" xfId="0" applyNumberFormat="1" applyFont="1" applyFill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15" fillId="0" borderId="60" xfId="0" applyFont="1" applyBorder="1" applyAlignment="1">
      <alignment horizontal="left" vertical="center"/>
    </xf>
    <xf numFmtId="3" fontId="15" fillId="2" borderId="101" xfId="0" quotePrefix="1" applyNumberFormat="1" applyFont="1" applyFill="1" applyBorder="1" applyAlignment="1">
      <alignment vertical="center"/>
    </xf>
    <xf numFmtId="3" fontId="15" fillId="2" borderId="58" xfId="0" quotePrefix="1" applyNumberFormat="1" applyFont="1" applyFill="1" applyBorder="1" applyAlignment="1">
      <alignment vertical="center"/>
    </xf>
    <xf numFmtId="3" fontId="15" fillId="2" borderId="104" xfId="0" quotePrefix="1" applyNumberFormat="1" applyFont="1" applyFill="1" applyBorder="1" applyAlignment="1">
      <alignment vertical="center"/>
    </xf>
    <xf numFmtId="3" fontId="15" fillId="2" borderId="57" xfId="0" quotePrefix="1" applyNumberFormat="1" applyFont="1" applyFill="1" applyBorder="1" applyAlignment="1">
      <alignment vertical="center"/>
    </xf>
    <xf numFmtId="3" fontId="15" fillId="2" borderId="125" xfId="0" quotePrefix="1" applyNumberFormat="1" applyFont="1" applyFill="1" applyBorder="1" applyAlignment="1">
      <alignment vertical="center"/>
    </xf>
    <xf numFmtId="165" fontId="15" fillId="0" borderId="58" xfId="2" applyNumberFormat="1" applyFont="1" applyFill="1" applyBorder="1" applyAlignment="1">
      <alignment horizontal="right" vertical="center"/>
    </xf>
    <xf numFmtId="3" fontId="15" fillId="2" borderId="60" xfId="0" quotePrefix="1" applyNumberFormat="1" applyFont="1" applyFill="1" applyBorder="1" applyAlignment="1">
      <alignment vertical="center"/>
    </xf>
    <xf numFmtId="165" fontId="15" fillId="0" borderId="59" xfId="2" applyNumberFormat="1" applyFont="1" applyFill="1" applyBorder="1" applyAlignment="1">
      <alignment horizontal="right" vertical="center"/>
    </xf>
    <xf numFmtId="3" fontId="15" fillId="2" borderId="131" xfId="0" quotePrefix="1" applyNumberFormat="1" applyFont="1" applyFill="1" applyBorder="1" applyAlignment="1">
      <alignment vertical="center"/>
    </xf>
    <xf numFmtId="0" fontId="2" fillId="3" borderId="87" xfId="0" applyFont="1" applyFill="1" applyBorder="1"/>
    <xf numFmtId="0" fontId="15" fillId="0" borderId="71" xfId="0" applyFont="1" applyBorder="1" applyAlignment="1">
      <alignment horizontal="left" vertical="top"/>
    </xf>
    <xf numFmtId="3" fontId="15" fillId="2" borderId="71" xfId="0" quotePrefix="1" applyNumberFormat="1" applyFont="1" applyFill="1" applyBorder="1" applyAlignment="1">
      <alignment vertical="center"/>
    </xf>
    <xf numFmtId="3" fontId="15" fillId="2" borderId="62" xfId="0" quotePrefix="1" applyNumberFormat="1" applyFont="1" applyFill="1" applyBorder="1" applyAlignment="1">
      <alignment vertical="center"/>
    </xf>
    <xf numFmtId="3" fontId="15" fillId="2" borderId="102" xfId="0" quotePrefix="1" applyNumberFormat="1" applyFont="1" applyFill="1" applyBorder="1" applyAlignment="1">
      <alignment vertical="center"/>
    </xf>
    <xf numFmtId="3" fontId="15" fillId="2" borderId="65" xfId="0" quotePrefix="1" applyNumberFormat="1" applyFont="1" applyFill="1" applyBorder="1" applyAlignment="1">
      <alignment vertical="center"/>
    </xf>
    <xf numFmtId="165" fontId="15" fillId="0" borderId="62" xfId="2" applyNumberFormat="1" applyFont="1" applyFill="1" applyBorder="1" applyAlignment="1">
      <alignment horizontal="right" vertical="center"/>
    </xf>
    <xf numFmtId="165" fontId="15" fillId="0" borderId="63" xfId="2" applyNumberFormat="1" applyFont="1" applyFill="1" applyBorder="1" applyAlignment="1">
      <alignment horizontal="right" vertical="center"/>
    </xf>
    <xf numFmtId="3" fontId="15" fillId="2" borderId="132" xfId="0" quotePrefix="1" applyNumberFormat="1" applyFont="1" applyFill="1" applyBorder="1" applyAlignment="1">
      <alignment vertical="center"/>
    </xf>
    <xf numFmtId="3" fontId="4" fillId="0" borderId="102" xfId="0" applyNumberFormat="1" applyFont="1" applyFill="1" applyBorder="1" applyAlignment="1">
      <alignment vertical="center" wrapText="1"/>
    </xf>
    <xf numFmtId="3" fontId="4" fillId="0" borderId="64" xfId="0" applyNumberFormat="1" applyFont="1" applyFill="1" applyBorder="1" applyAlignment="1">
      <alignment vertical="center" wrapText="1"/>
    </xf>
    <xf numFmtId="0" fontId="4" fillId="0" borderId="86" xfId="0" applyFont="1" applyFill="1" applyBorder="1" applyAlignment="1">
      <alignment vertical="center"/>
    </xf>
    <xf numFmtId="3" fontId="4" fillId="0" borderId="129" xfId="0" applyNumberFormat="1" applyFont="1" applyFill="1" applyBorder="1" applyAlignment="1">
      <alignment vertical="center" wrapText="1"/>
    </xf>
    <xf numFmtId="3" fontId="15" fillId="6" borderId="65" xfId="0" applyNumberFormat="1" applyFont="1" applyFill="1" applyBorder="1" applyAlignment="1">
      <alignment vertical="center" wrapText="1"/>
    </xf>
    <xf numFmtId="165" fontId="15" fillId="6" borderId="62" xfId="0" applyNumberFormat="1" applyFont="1" applyFill="1" applyBorder="1" applyAlignment="1">
      <alignment horizontal="right" vertical="center" wrapText="1"/>
    </xf>
    <xf numFmtId="165" fontId="15" fillId="6" borderId="63" xfId="0" applyNumberFormat="1" applyFont="1" applyFill="1" applyBorder="1" applyAlignment="1">
      <alignment horizontal="right" vertical="center" wrapText="1"/>
    </xf>
    <xf numFmtId="3" fontId="4" fillId="0" borderId="82" xfId="0" applyNumberFormat="1" applyFont="1" applyFill="1" applyBorder="1" applyAlignment="1">
      <alignment vertical="center" wrapText="1"/>
    </xf>
    <xf numFmtId="3" fontId="4" fillId="0" borderId="63" xfId="0" applyNumberFormat="1" applyFont="1" applyFill="1" applyBorder="1" applyAlignment="1">
      <alignment vertical="center" wrapText="1"/>
    </xf>
    <xf numFmtId="3" fontId="9" fillId="5" borderId="61" xfId="0" applyNumberFormat="1" applyFont="1" applyFill="1" applyBorder="1" applyAlignment="1">
      <alignment vertical="center" wrapText="1"/>
    </xf>
    <xf numFmtId="3" fontId="22" fillId="4" borderId="30" xfId="0" applyNumberFormat="1" applyFont="1" applyFill="1" applyBorder="1" applyAlignment="1">
      <alignment vertical="center" wrapText="1"/>
    </xf>
    <xf numFmtId="3" fontId="22" fillId="4" borderId="73" xfId="0" applyNumberFormat="1" applyFont="1" applyFill="1" applyBorder="1" applyAlignment="1">
      <alignment vertical="center" wrapText="1"/>
    </xf>
    <xf numFmtId="3" fontId="22" fillId="4" borderId="74" xfId="0" applyNumberFormat="1" applyFont="1" applyFill="1" applyBorder="1" applyAlignment="1">
      <alignment vertical="center" wrapText="1"/>
    </xf>
    <xf numFmtId="3" fontId="22" fillId="4" borderId="138" xfId="0" applyNumberFormat="1" applyFont="1" applyFill="1" applyBorder="1" applyAlignment="1">
      <alignment vertical="center" wrapText="1"/>
    </xf>
    <xf numFmtId="165" fontId="22" fillId="4" borderId="73" xfId="0" applyNumberFormat="1" applyFont="1" applyFill="1" applyBorder="1" applyAlignment="1">
      <alignment horizontal="right" vertical="center" wrapText="1"/>
    </xf>
    <xf numFmtId="165" fontId="22" fillId="4" borderId="74" xfId="0" applyNumberFormat="1" applyFont="1" applyFill="1" applyBorder="1" applyAlignment="1">
      <alignment horizontal="right" vertical="center" wrapText="1"/>
    </xf>
    <xf numFmtId="3" fontId="22" fillId="4" borderId="137" xfId="0" applyNumberFormat="1" applyFont="1" applyFill="1" applyBorder="1" applyAlignment="1">
      <alignment vertical="center" wrapText="1"/>
    </xf>
    <xf numFmtId="3" fontId="9" fillId="5" borderId="75" xfId="0" applyNumberFormat="1" applyFont="1" applyFill="1" applyBorder="1" applyAlignment="1">
      <alignment vertical="center" wrapText="1"/>
    </xf>
    <xf numFmtId="165" fontId="15" fillId="6" borderId="28" xfId="0" applyNumberFormat="1" applyFont="1" applyFill="1" applyBorder="1" applyAlignment="1">
      <alignment horizontal="right" vertical="center" wrapText="1"/>
    </xf>
    <xf numFmtId="165" fontId="15" fillId="6" borderId="56" xfId="0" applyNumberFormat="1" applyFont="1" applyFill="1" applyBorder="1" applyAlignment="1">
      <alignment horizontal="right" vertical="center" wrapText="1"/>
    </xf>
    <xf numFmtId="3" fontId="4" fillId="2" borderId="30" xfId="0" applyNumberFormat="1" applyFont="1" applyFill="1" applyBorder="1" applyAlignment="1">
      <alignment vertical="center" wrapText="1"/>
    </xf>
    <xf numFmtId="3" fontId="4" fillId="2" borderId="28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89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/>
    </xf>
    <xf numFmtId="0" fontId="15" fillId="6" borderId="126" xfId="2" applyFont="1" applyFill="1" applyBorder="1" applyAlignment="1">
      <alignment vertical="center" wrapText="1"/>
    </xf>
    <xf numFmtId="3" fontId="15" fillId="6" borderId="126" xfId="0" applyNumberFormat="1" applyFont="1" applyFill="1" applyBorder="1" applyAlignment="1">
      <alignment vertical="center" wrapText="1"/>
    </xf>
    <xf numFmtId="3" fontId="15" fillId="6" borderId="33" xfId="0" applyNumberFormat="1" applyFont="1" applyFill="1" applyBorder="1" applyAlignment="1">
      <alignment vertical="center" wrapText="1"/>
    </xf>
    <xf numFmtId="3" fontId="15" fillId="6" borderId="133" xfId="0" applyNumberFormat="1" applyFont="1" applyFill="1" applyBorder="1" applyAlignment="1">
      <alignment vertical="center" wrapText="1"/>
    </xf>
    <xf numFmtId="3" fontId="15" fillId="6" borderId="130" xfId="0" applyNumberFormat="1" applyFont="1" applyFill="1" applyBorder="1" applyAlignment="1">
      <alignment vertical="center" wrapText="1"/>
    </xf>
    <xf numFmtId="165" fontId="15" fillId="6" borderId="33" xfId="0" applyNumberFormat="1" applyFont="1" applyFill="1" applyBorder="1" applyAlignment="1">
      <alignment horizontal="right" vertical="center" wrapText="1"/>
    </xf>
    <xf numFmtId="165" fontId="15" fillId="6" borderId="105" xfId="0" applyNumberFormat="1" applyFont="1" applyFill="1" applyBorder="1" applyAlignment="1">
      <alignment horizontal="right" vertical="center" wrapText="1"/>
    </xf>
    <xf numFmtId="3" fontId="15" fillId="6" borderId="105" xfId="0" applyNumberFormat="1" applyFont="1" applyFill="1" applyBorder="1" applyAlignment="1">
      <alignment vertical="center" wrapText="1"/>
    </xf>
    <xf numFmtId="3" fontId="9" fillId="5" borderId="14" xfId="0" applyNumberFormat="1" applyFont="1" applyFill="1" applyBorder="1" applyAlignment="1">
      <alignment vertical="center" wrapText="1"/>
    </xf>
    <xf numFmtId="3" fontId="9" fillId="5" borderId="107" xfId="0" applyNumberFormat="1" applyFont="1" applyFill="1" applyBorder="1" applyAlignment="1">
      <alignment vertical="center" wrapText="1"/>
    </xf>
    <xf numFmtId="0" fontId="2" fillId="0" borderId="133" xfId="0" applyFont="1" applyFill="1" applyBorder="1" applyAlignment="1">
      <alignment vertical="center"/>
    </xf>
    <xf numFmtId="3" fontId="12" fillId="7" borderId="37" xfId="0" applyNumberFormat="1" applyFont="1" applyFill="1" applyBorder="1" applyAlignment="1">
      <alignment vertical="center" wrapText="1"/>
    </xf>
    <xf numFmtId="3" fontId="12" fillId="7" borderId="44" xfId="0" applyNumberFormat="1" applyFont="1" applyFill="1" applyBorder="1" applyAlignment="1">
      <alignment vertical="center" wrapText="1"/>
    </xf>
    <xf numFmtId="164" fontId="12" fillId="7" borderId="49" xfId="0" applyNumberFormat="1" applyFont="1" applyFill="1" applyBorder="1" applyAlignment="1">
      <alignment vertical="center" wrapText="1"/>
    </xf>
    <xf numFmtId="3" fontId="12" fillId="7" borderId="45" xfId="0" applyNumberFormat="1" applyFont="1" applyFill="1" applyBorder="1" applyAlignment="1">
      <alignment vertical="center" wrapText="1"/>
    </xf>
    <xf numFmtId="3" fontId="12" fillId="7" borderId="14" xfId="0" applyNumberFormat="1" applyFont="1" applyFill="1" applyBorder="1" applyAlignment="1">
      <alignment vertical="center" wrapText="1"/>
    </xf>
    <xf numFmtId="3" fontId="12" fillId="7" borderId="13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46" xfId="0" applyNumberFormat="1" applyFont="1" applyFill="1" applyBorder="1" applyAlignment="1">
      <alignment vertical="center" wrapText="1"/>
    </xf>
    <xf numFmtId="164" fontId="12" fillId="7" borderId="13" xfId="0" applyNumberFormat="1" applyFont="1" applyFill="1" applyBorder="1" applyAlignment="1">
      <alignment vertical="center" wrapText="1"/>
    </xf>
    <xf numFmtId="164" fontId="12" fillId="7" borderId="31" xfId="0" applyNumberFormat="1" applyFont="1" applyFill="1" applyBorder="1" applyAlignment="1">
      <alignment vertical="center" wrapText="1"/>
    </xf>
    <xf numFmtId="3" fontId="12" fillId="7" borderId="42" xfId="0" applyNumberFormat="1" applyFont="1" applyFill="1" applyBorder="1" applyAlignment="1">
      <alignment vertical="center" wrapText="1"/>
    </xf>
    <xf numFmtId="3" fontId="12" fillId="8" borderId="38" xfId="0" applyNumberFormat="1" applyFont="1" applyFill="1" applyBorder="1" applyAlignment="1">
      <alignment vertical="center" wrapText="1"/>
    </xf>
    <xf numFmtId="3" fontId="12" fillId="8" borderId="44" xfId="0" applyNumberFormat="1" applyFont="1" applyFill="1" applyBorder="1" applyAlignment="1">
      <alignment vertical="center" wrapText="1"/>
    </xf>
    <xf numFmtId="164" fontId="12" fillId="8" borderId="38" xfId="0" applyNumberFormat="1" applyFont="1" applyFill="1" applyBorder="1" applyAlignment="1">
      <alignment vertical="center" wrapText="1"/>
    </xf>
    <xf numFmtId="164" fontId="12" fillId="8" borderId="49" xfId="0" applyNumberFormat="1" applyFont="1" applyFill="1" applyBorder="1" applyAlignment="1">
      <alignment vertical="center" wrapText="1"/>
    </xf>
    <xf numFmtId="3" fontId="12" fillId="8" borderId="45" xfId="0" applyNumberFormat="1" applyFont="1" applyFill="1" applyBorder="1" applyAlignment="1">
      <alignment vertical="center" wrapText="1"/>
    </xf>
    <xf numFmtId="3" fontId="15" fillId="0" borderId="37" xfId="0" applyNumberFormat="1" applyFont="1" applyFill="1" applyBorder="1" applyAlignment="1">
      <alignment vertical="center" wrapText="1"/>
    </xf>
    <xf numFmtId="3" fontId="15" fillId="0" borderId="38" xfId="0" applyNumberFormat="1" applyFont="1" applyFill="1" applyBorder="1" applyAlignment="1">
      <alignment vertical="center" wrapText="1"/>
    </xf>
    <xf numFmtId="3" fontId="15" fillId="0" borderId="97" xfId="0" applyNumberFormat="1" applyFont="1" applyFill="1" applyBorder="1" applyAlignment="1">
      <alignment vertical="center" wrapText="1"/>
    </xf>
    <xf numFmtId="3" fontId="15" fillId="0" borderId="48" xfId="0" applyNumberFormat="1" applyFont="1" applyFill="1" applyBorder="1" applyAlignment="1">
      <alignment vertical="center" wrapText="1"/>
    </xf>
    <xf numFmtId="164" fontId="15" fillId="16" borderId="38" xfId="0" applyNumberFormat="1" applyFont="1" applyFill="1" applyBorder="1" applyAlignment="1">
      <alignment vertical="center" wrapText="1"/>
    </xf>
    <xf numFmtId="164" fontId="15" fillId="16" borderId="97" xfId="0" applyNumberFormat="1" applyFont="1" applyFill="1" applyBorder="1" applyAlignment="1">
      <alignment vertical="center" wrapText="1"/>
    </xf>
    <xf numFmtId="3" fontId="22" fillId="0" borderId="45" xfId="0" applyNumberFormat="1" applyFont="1" applyFill="1" applyBorder="1" applyAlignment="1">
      <alignment vertical="center" wrapText="1"/>
    </xf>
    <xf numFmtId="3" fontId="15" fillId="0" borderId="18" xfId="0" applyNumberFormat="1" applyFont="1" applyFill="1" applyBorder="1" applyAlignment="1">
      <alignment vertical="center" wrapText="1"/>
    </xf>
    <xf numFmtId="3" fontId="15" fillId="0" borderId="20" xfId="0" applyNumberFormat="1" applyFont="1" applyFill="1" applyBorder="1" applyAlignment="1">
      <alignment vertical="center" wrapText="1"/>
    </xf>
    <xf numFmtId="3" fontId="15" fillId="0" borderId="87" xfId="0" applyNumberFormat="1" applyFont="1" applyFill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 wrapText="1"/>
    </xf>
    <xf numFmtId="164" fontId="15" fillId="16" borderId="20" xfId="0" applyNumberFormat="1" applyFont="1" applyFill="1" applyBorder="1" applyAlignment="1">
      <alignment vertical="center" wrapText="1"/>
    </xf>
    <xf numFmtId="164" fontId="15" fillId="16" borderId="87" xfId="0" applyNumberFormat="1" applyFont="1" applyFill="1" applyBorder="1" applyAlignment="1">
      <alignment vertical="center" wrapText="1"/>
    </xf>
    <xf numFmtId="3" fontId="22" fillId="0" borderId="39" xfId="0" applyNumberFormat="1" applyFont="1" applyFill="1" applyBorder="1" applyAlignment="1">
      <alignment vertical="center" wrapText="1"/>
    </xf>
    <xf numFmtId="3" fontId="12" fillId="8" borderId="37" xfId="0" applyNumberFormat="1" applyFont="1" applyFill="1" applyBorder="1" applyAlignment="1">
      <alignment vertical="center" wrapText="1"/>
    </xf>
    <xf numFmtId="3" fontId="12" fillId="8" borderId="36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0" fontId="8" fillId="0" borderId="0" xfId="0" applyFont="1"/>
    <xf numFmtId="0" fontId="23" fillId="0" borderId="0" xfId="0" applyFont="1" applyFill="1" applyAlignment="1">
      <alignment horizontal="left"/>
    </xf>
    <xf numFmtId="0" fontId="27" fillId="2" borderId="0" xfId="0" applyFont="1" applyFill="1" applyBorder="1" applyAlignment="1">
      <alignment horizontal="right" vertical="center" wrapText="1"/>
    </xf>
    <xf numFmtId="0" fontId="8" fillId="0" borderId="0" xfId="0" applyFont="1" applyBorder="1"/>
    <xf numFmtId="0" fontId="23" fillId="0" borderId="0" xfId="0" applyFont="1" applyFill="1" applyBorder="1" applyAlignment="1">
      <alignment horizontal="left"/>
    </xf>
    <xf numFmtId="0" fontId="30" fillId="2" borderId="46" xfId="2" applyFont="1" applyFill="1" applyBorder="1" applyAlignment="1">
      <alignment wrapText="1"/>
    </xf>
    <xf numFmtId="0" fontId="37" fillId="0" borderId="12" xfId="0" applyFont="1" applyBorder="1" applyAlignment="1">
      <alignment wrapText="1"/>
    </xf>
    <xf numFmtId="0" fontId="38" fillId="0" borderId="12" xfId="0" applyFont="1" applyBorder="1" applyAlignment="1">
      <alignment wrapText="1"/>
    </xf>
    <xf numFmtId="0" fontId="38" fillId="0" borderId="92" xfId="0" applyFont="1" applyBorder="1" applyAlignment="1">
      <alignment wrapText="1"/>
    </xf>
    <xf numFmtId="0" fontId="25" fillId="2" borderId="49" xfId="0" quotePrefix="1" applyFont="1" applyFill="1" applyBorder="1" applyAlignment="1">
      <alignment horizontal="center" vertical="top"/>
    </xf>
    <xf numFmtId="0" fontId="25" fillId="2" borderId="48" xfId="0" quotePrefix="1" applyFont="1" applyFill="1" applyBorder="1" applyAlignment="1">
      <alignment horizontal="center" vertical="top"/>
    </xf>
    <xf numFmtId="0" fontId="25" fillId="2" borderId="38" xfId="0" quotePrefix="1" applyFont="1" applyFill="1" applyBorder="1" applyAlignment="1">
      <alignment horizontal="center" vertical="top"/>
    </xf>
    <xf numFmtId="0" fontId="25" fillId="2" borderId="36" xfId="0" quotePrefix="1" applyFont="1" applyFill="1" applyBorder="1" applyAlignment="1">
      <alignment horizontal="center" vertical="top"/>
    </xf>
    <xf numFmtId="0" fontId="25" fillId="2" borderId="49" xfId="0" quotePrefix="1" applyFont="1" applyFill="1" applyBorder="1" applyAlignment="1">
      <alignment horizontal="center" vertical="top" wrapText="1"/>
    </xf>
    <xf numFmtId="0" fontId="39" fillId="2" borderId="0" xfId="0" applyFont="1" applyFill="1"/>
    <xf numFmtId="0" fontId="4" fillId="0" borderId="17" xfId="0" applyFont="1" applyBorder="1" applyAlignment="1">
      <alignment vertical="top"/>
    </xf>
    <xf numFmtId="0" fontId="15" fillId="0" borderId="108" xfId="0" applyFont="1" applyBorder="1" applyAlignment="1">
      <alignment horizontal="left" vertical="center"/>
    </xf>
    <xf numFmtId="0" fontId="32" fillId="0" borderId="109" xfId="0" quotePrefix="1" applyFont="1" applyBorder="1" applyAlignment="1">
      <alignment horizontal="center" vertical="center"/>
    </xf>
    <xf numFmtId="3" fontId="15" fillId="16" borderId="114" xfId="0" quotePrefix="1" applyNumberFormat="1" applyFont="1" applyFill="1" applyBorder="1" applyAlignment="1">
      <alignment vertical="center"/>
    </xf>
    <xf numFmtId="165" fontId="15" fillId="0" borderId="108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wrapText="1"/>
    </xf>
    <xf numFmtId="3" fontId="1" fillId="0" borderId="0" xfId="0" applyNumberFormat="1" applyFont="1"/>
    <xf numFmtId="0" fontId="16" fillId="0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4" fillId="0" borderId="7" xfId="0" applyFont="1" applyBorder="1" applyAlignment="1">
      <alignment vertical="center"/>
    </xf>
    <xf numFmtId="0" fontId="15" fillId="0" borderId="111" xfId="0" applyFont="1" applyBorder="1" applyAlignment="1">
      <alignment horizontal="left" vertical="center"/>
    </xf>
    <xf numFmtId="0" fontId="27" fillId="0" borderId="112" xfId="0" quotePrefix="1" applyFont="1" applyBorder="1" applyAlignment="1">
      <alignment horizontal="center" vertical="center"/>
    </xf>
    <xf numFmtId="3" fontId="15" fillId="16" borderId="115" xfId="0" quotePrefix="1" applyNumberFormat="1" applyFont="1" applyFill="1" applyBorder="1" applyAlignment="1">
      <alignment vertical="center"/>
    </xf>
    <xf numFmtId="3" fontId="15" fillId="2" borderId="115" xfId="0" quotePrefix="1" applyNumberFormat="1" applyFont="1" applyFill="1" applyBorder="1" applyAlignment="1">
      <alignment vertical="center"/>
    </xf>
    <xf numFmtId="43" fontId="15" fillId="0" borderId="111" xfId="1" applyFont="1" applyFill="1" applyBorder="1" applyAlignment="1">
      <alignment horizontal="right" vertical="center"/>
    </xf>
    <xf numFmtId="43" fontId="15" fillId="2" borderId="111" xfId="1" quotePrefix="1" applyFont="1" applyFill="1" applyBorder="1" applyAlignment="1">
      <alignment vertical="center"/>
    </xf>
    <xf numFmtId="43" fontId="15" fillId="0" borderId="115" xfId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4" fillId="0" borderId="7" xfId="0" applyFont="1" applyBorder="1" applyAlignment="1">
      <alignment vertical="top"/>
    </xf>
    <xf numFmtId="0" fontId="15" fillId="0" borderId="28" xfId="0" applyFont="1" applyBorder="1" applyAlignment="1">
      <alignment horizontal="left" vertical="top"/>
    </xf>
    <xf numFmtId="0" fontId="27" fillId="0" borderId="56" xfId="0" quotePrefix="1" applyFont="1" applyBorder="1" applyAlignment="1">
      <alignment horizontal="center" vertical="top"/>
    </xf>
    <xf numFmtId="3" fontId="15" fillId="2" borderId="126" xfId="0" quotePrefix="1" applyNumberFormat="1" applyFont="1" applyFill="1" applyBorder="1" applyAlignment="1">
      <alignment vertical="top"/>
    </xf>
    <xf numFmtId="3" fontId="15" fillId="16" borderId="106" xfId="0" quotePrefix="1" applyNumberFormat="1" applyFont="1" applyFill="1" applyBorder="1" applyAlignment="1">
      <alignment vertical="top"/>
    </xf>
    <xf numFmtId="3" fontId="15" fillId="2" borderId="106" xfId="0" quotePrefix="1" applyNumberFormat="1" applyFont="1" applyFill="1" applyBorder="1" applyAlignment="1">
      <alignment vertical="top"/>
    </xf>
    <xf numFmtId="3" fontId="15" fillId="2" borderId="105" xfId="0" quotePrefix="1" applyNumberFormat="1" applyFont="1" applyFill="1" applyBorder="1" applyAlignment="1">
      <alignment vertical="top"/>
    </xf>
    <xf numFmtId="3" fontId="15" fillId="2" borderId="32" xfId="0" quotePrefix="1" applyNumberFormat="1" applyFont="1" applyFill="1" applyBorder="1" applyAlignment="1">
      <alignment vertical="top"/>
    </xf>
    <xf numFmtId="165" fontId="15" fillId="0" borderId="33" xfId="2" applyNumberFormat="1" applyFont="1" applyFill="1" applyBorder="1" applyAlignment="1">
      <alignment horizontal="right" vertical="center"/>
    </xf>
    <xf numFmtId="3" fontId="15" fillId="2" borderId="33" xfId="0" quotePrefix="1" applyNumberFormat="1" applyFont="1" applyFill="1" applyBorder="1" applyAlignment="1">
      <alignment vertical="top"/>
    </xf>
    <xf numFmtId="3" fontId="15" fillId="2" borderId="27" xfId="0" quotePrefix="1" applyNumberFormat="1" applyFont="1" applyFill="1" applyBorder="1" applyAlignment="1">
      <alignment vertical="top"/>
    </xf>
    <xf numFmtId="0" fontId="22" fillId="4" borderId="58" xfId="2" applyFont="1" applyFill="1" applyBorder="1" applyAlignment="1">
      <alignment horizontal="left" vertical="center"/>
    </xf>
    <xf numFmtId="0" fontId="7" fillId="4" borderId="59" xfId="2" applyFont="1" applyFill="1" applyBorder="1" applyAlignment="1">
      <alignment horizontal="left" vertical="center"/>
    </xf>
    <xf numFmtId="3" fontId="22" fillId="4" borderId="101" xfId="2" applyNumberFormat="1" applyFont="1" applyFill="1" applyBorder="1" applyAlignment="1">
      <alignment vertical="top"/>
    </xf>
    <xf numFmtId="3" fontId="22" fillId="4" borderId="60" xfId="2" applyNumberFormat="1" applyFont="1" applyFill="1" applyBorder="1" applyAlignment="1">
      <alignment vertical="top"/>
    </xf>
    <xf numFmtId="3" fontId="22" fillId="4" borderId="59" xfId="2" applyNumberFormat="1" applyFont="1" applyFill="1" applyBorder="1" applyAlignment="1">
      <alignment vertical="top"/>
    </xf>
    <xf numFmtId="3" fontId="3" fillId="4" borderId="58" xfId="2" applyNumberFormat="1" applyFont="1" applyFill="1" applyBorder="1" applyAlignment="1">
      <alignment vertical="top"/>
    </xf>
    <xf numFmtId="165" fontId="3" fillId="4" borderId="58" xfId="2" applyNumberFormat="1" applyFont="1" applyFill="1" applyBorder="1" applyAlignment="1">
      <alignment vertical="top"/>
    </xf>
    <xf numFmtId="165" fontId="3" fillId="4" borderId="60" xfId="2" applyNumberFormat="1" applyFont="1" applyFill="1" applyBorder="1" applyAlignment="1">
      <alignment vertical="top"/>
    </xf>
    <xf numFmtId="3" fontId="3" fillId="4" borderId="60" xfId="2" applyNumberFormat="1" applyFont="1" applyFill="1" applyBorder="1" applyAlignment="1">
      <alignment vertical="top"/>
    </xf>
    <xf numFmtId="0" fontId="40" fillId="6" borderId="62" xfId="2" applyFont="1" applyFill="1" applyBorder="1" applyAlignment="1">
      <alignment vertical="top"/>
    </xf>
    <xf numFmtId="3" fontId="15" fillId="6" borderId="71" xfId="2" applyNumberFormat="1" applyFont="1" applyFill="1" applyBorder="1" applyAlignment="1">
      <alignment vertical="top"/>
    </xf>
    <xf numFmtId="3" fontId="15" fillId="6" borderId="64" xfId="2" applyNumberFormat="1" applyFont="1" applyFill="1" applyBorder="1" applyAlignment="1">
      <alignment vertical="top"/>
    </xf>
    <xf numFmtId="3" fontId="15" fillId="6" borderId="63" xfId="2" applyNumberFormat="1" applyFont="1" applyFill="1" applyBorder="1" applyAlignment="1">
      <alignment vertical="top"/>
    </xf>
    <xf numFmtId="3" fontId="40" fillId="6" borderId="62" xfId="2" applyNumberFormat="1" applyFont="1" applyFill="1" applyBorder="1" applyAlignment="1">
      <alignment vertical="top"/>
    </xf>
    <xf numFmtId="165" fontId="40" fillId="6" borderId="62" xfId="2" applyNumberFormat="1" applyFont="1" applyFill="1" applyBorder="1" applyAlignment="1">
      <alignment vertical="top"/>
    </xf>
    <xf numFmtId="165" fontId="40" fillId="6" borderId="64" xfId="2" applyNumberFormat="1" applyFont="1" applyFill="1" applyBorder="1" applyAlignment="1">
      <alignment vertical="top"/>
    </xf>
    <xf numFmtId="3" fontId="40" fillId="6" borderId="64" xfId="2" applyNumberFormat="1" applyFont="1" applyFill="1" applyBorder="1" applyAlignment="1">
      <alignment vertical="top"/>
    </xf>
    <xf numFmtId="0" fontId="17" fillId="0" borderId="0" xfId="0" applyFont="1"/>
    <xf numFmtId="0" fontId="2" fillId="6" borderId="62" xfId="2" applyFont="1" applyFill="1" applyBorder="1" applyAlignment="1">
      <alignment vertical="top"/>
    </xf>
    <xf numFmtId="3" fontId="4" fillId="6" borderId="71" xfId="2" applyNumberFormat="1" applyFont="1" applyFill="1" applyBorder="1" applyAlignment="1">
      <alignment vertical="top"/>
    </xf>
    <xf numFmtId="3" fontId="4" fillId="6" borderId="64" xfId="2" applyNumberFormat="1" applyFont="1" applyFill="1" applyBorder="1" applyAlignment="1">
      <alignment vertical="top"/>
    </xf>
    <xf numFmtId="3" fontId="4" fillId="6" borderId="63" xfId="2" applyNumberFormat="1" applyFont="1" applyFill="1" applyBorder="1" applyAlignment="1">
      <alignment vertical="top"/>
    </xf>
    <xf numFmtId="3" fontId="2" fillId="6" borderId="61" xfId="2" applyNumberFormat="1" applyFont="1" applyFill="1" applyBorder="1" applyAlignment="1">
      <alignment vertical="top"/>
    </xf>
    <xf numFmtId="165" fontId="2" fillId="6" borderId="62" xfId="2" applyNumberFormat="1" applyFont="1" applyFill="1" applyBorder="1" applyAlignment="1">
      <alignment vertical="top"/>
    </xf>
    <xf numFmtId="3" fontId="2" fillId="6" borderId="62" xfId="2" applyNumberFormat="1" applyFont="1" applyFill="1" applyBorder="1" applyAlignment="1">
      <alignment vertical="top"/>
    </xf>
    <xf numFmtId="165" fontId="2" fillId="6" borderId="64" xfId="2" applyNumberFormat="1" applyFont="1" applyFill="1" applyBorder="1" applyAlignment="1">
      <alignment vertical="top"/>
    </xf>
    <xf numFmtId="3" fontId="2" fillId="6" borderId="64" xfId="2" applyNumberFormat="1" applyFont="1" applyFill="1" applyBorder="1" applyAlignment="1">
      <alignment vertical="top"/>
    </xf>
    <xf numFmtId="3" fontId="2" fillId="6" borderId="62" xfId="2" applyNumberFormat="1" applyFont="1" applyFill="1" applyBorder="1" applyAlignment="1">
      <alignment vertical="top" wrapText="1"/>
    </xf>
    <xf numFmtId="43" fontId="2" fillId="6" borderId="64" xfId="1" applyFont="1" applyFill="1" applyBorder="1" applyAlignment="1">
      <alignment vertical="top"/>
    </xf>
    <xf numFmtId="43" fontId="4" fillId="6" borderId="71" xfId="1" applyFont="1" applyFill="1" applyBorder="1" applyAlignment="1">
      <alignment vertical="top"/>
    </xf>
    <xf numFmtId="43" fontId="4" fillId="6" borderId="64" xfId="1" applyFont="1" applyFill="1" applyBorder="1" applyAlignment="1">
      <alignment vertical="top"/>
    </xf>
    <xf numFmtId="43" fontId="4" fillId="6" borderId="63" xfId="1" applyFont="1" applyFill="1" applyBorder="1" applyAlignment="1">
      <alignment vertical="top"/>
    </xf>
    <xf numFmtId="43" fontId="4" fillId="6" borderId="62" xfId="1" applyFont="1" applyFill="1" applyBorder="1" applyAlignment="1">
      <alignment vertical="top"/>
    </xf>
    <xf numFmtId="3" fontId="2" fillId="6" borderId="71" xfId="2" applyNumberFormat="1" applyFont="1" applyFill="1" applyBorder="1" applyAlignment="1">
      <alignment vertical="top"/>
    </xf>
    <xf numFmtId="43" fontId="2" fillId="6" borderId="62" xfId="1" applyFont="1" applyFill="1" applyBorder="1" applyAlignment="1">
      <alignment vertical="top"/>
    </xf>
    <xf numFmtId="43" fontId="2" fillId="6" borderId="66" xfId="1" applyFont="1" applyFill="1" applyBorder="1" applyAlignment="1">
      <alignment vertical="top"/>
    </xf>
    <xf numFmtId="0" fontId="2" fillId="6" borderId="62" xfId="2" applyFont="1" applyFill="1" applyBorder="1" applyAlignment="1">
      <alignment vertical="top" wrapText="1"/>
    </xf>
    <xf numFmtId="0" fontId="22" fillId="4" borderId="62" xfId="2" applyFont="1" applyFill="1" applyBorder="1" applyAlignment="1">
      <alignment horizontal="left" vertical="center"/>
    </xf>
    <xf numFmtId="3" fontId="22" fillId="4" borderId="71" xfId="2" applyNumberFormat="1" applyFont="1" applyFill="1" applyBorder="1" applyAlignment="1">
      <alignment vertical="top"/>
    </xf>
    <xf numFmtId="3" fontId="22" fillId="4" borderId="64" xfId="2" applyNumberFormat="1" applyFont="1" applyFill="1" applyBorder="1" applyAlignment="1">
      <alignment vertical="top"/>
    </xf>
    <xf numFmtId="3" fontId="22" fillId="4" borderId="63" xfId="2" applyNumberFormat="1" applyFont="1" applyFill="1" applyBorder="1" applyAlignment="1">
      <alignment vertical="top"/>
    </xf>
    <xf numFmtId="3" fontId="22" fillId="4" borderId="62" xfId="2" applyNumberFormat="1" applyFont="1" applyFill="1" applyBorder="1" applyAlignment="1">
      <alignment vertical="top"/>
    </xf>
    <xf numFmtId="165" fontId="22" fillId="4" borderId="62" xfId="2" applyNumberFormat="1" applyFont="1" applyFill="1" applyBorder="1" applyAlignment="1">
      <alignment vertical="top"/>
    </xf>
    <xf numFmtId="165" fontId="22" fillId="4" borderId="64" xfId="2" applyNumberFormat="1" applyFont="1" applyFill="1" applyBorder="1" applyAlignment="1">
      <alignment vertical="top"/>
    </xf>
    <xf numFmtId="3" fontId="15" fillId="6" borderId="77" xfId="2" applyNumberFormat="1" applyFont="1" applyFill="1" applyBorder="1" applyAlignment="1">
      <alignment vertical="top" wrapText="1"/>
    </xf>
    <xf numFmtId="3" fontId="15" fillId="6" borderId="86" xfId="2" applyNumberFormat="1" applyFont="1" applyFill="1" applyBorder="1" applyAlignment="1">
      <alignment vertical="top"/>
    </xf>
    <xf numFmtId="3" fontId="15" fillId="6" borderId="80" xfId="2" applyNumberFormat="1" applyFont="1" applyFill="1" applyBorder="1" applyAlignment="1">
      <alignment vertical="top"/>
    </xf>
    <xf numFmtId="3" fontId="15" fillId="6" borderId="78" xfId="2" applyNumberFormat="1" applyFont="1" applyFill="1" applyBorder="1" applyAlignment="1">
      <alignment vertical="top"/>
    </xf>
    <xf numFmtId="3" fontId="15" fillId="6" borderId="77" xfId="2" applyNumberFormat="1" applyFont="1" applyFill="1" applyBorder="1" applyAlignment="1">
      <alignment vertical="top"/>
    </xf>
    <xf numFmtId="165" fontId="15" fillId="6" borderId="77" xfId="2" applyNumberFormat="1" applyFont="1" applyFill="1" applyBorder="1" applyAlignment="1">
      <alignment vertical="top"/>
    </xf>
    <xf numFmtId="165" fontId="15" fillId="6" borderId="80" xfId="2" applyNumberFormat="1" applyFont="1" applyFill="1" applyBorder="1" applyAlignment="1">
      <alignment vertical="top"/>
    </xf>
    <xf numFmtId="3" fontId="4" fillId="6" borderId="61" xfId="2" applyNumberFormat="1" applyFont="1" applyFill="1" applyBorder="1" applyAlignment="1">
      <alignment vertical="top"/>
    </xf>
    <xf numFmtId="165" fontId="4" fillId="6" borderId="62" xfId="2" applyNumberFormat="1" applyFont="1" applyFill="1" applyBorder="1" applyAlignment="1">
      <alignment vertical="top"/>
    </xf>
    <xf numFmtId="3" fontId="4" fillId="6" borderId="62" xfId="2" applyNumberFormat="1" applyFont="1" applyFill="1" applyBorder="1" applyAlignment="1">
      <alignment vertical="top"/>
    </xf>
    <xf numFmtId="0" fontId="2" fillId="6" borderId="62" xfId="2" applyFont="1" applyFill="1" applyBorder="1" applyAlignment="1">
      <alignment horizontal="left" vertical="center"/>
    </xf>
    <xf numFmtId="3" fontId="2" fillId="6" borderId="66" xfId="2" applyNumberFormat="1" applyFont="1" applyFill="1" applyBorder="1" applyAlignment="1">
      <alignment vertical="top"/>
    </xf>
    <xf numFmtId="0" fontId="15" fillId="6" borderId="62" xfId="2" applyFont="1" applyFill="1" applyBorder="1" applyAlignment="1">
      <alignment vertical="top"/>
    </xf>
    <xf numFmtId="3" fontId="15" fillId="6" borderId="61" xfId="2" applyNumberFormat="1" applyFont="1" applyFill="1" applyBorder="1" applyAlignment="1">
      <alignment vertical="top"/>
    </xf>
    <xf numFmtId="165" fontId="15" fillId="6" borderId="64" xfId="2" applyNumberFormat="1" applyFont="1" applyFill="1" applyBorder="1" applyAlignment="1">
      <alignment vertical="top"/>
    </xf>
    <xf numFmtId="3" fontId="15" fillId="6" borderId="62" xfId="2" applyNumberFormat="1" applyFont="1" applyFill="1" applyBorder="1" applyAlignment="1">
      <alignment vertical="top"/>
    </xf>
    <xf numFmtId="0" fontId="2" fillId="6" borderId="94" xfId="2" applyFont="1" applyFill="1" applyBorder="1" applyAlignment="1">
      <alignment vertical="center"/>
    </xf>
    <xf numFmtId="3" fontId="4" fillId="6" borderId="117" xfId="2" applyNumberFormat="1" applyFont="1" applyFill="1" applyBorder="1" applyAlignment="1">
      <alignment vertical="top"/>
    </xf>
    <xf numFmtId="3" fontId="4" fillId="6" borderId="91" xfId="2" applyNumberFormat="1" applyFont="1" applyFill="1" applyBorder="1" applyAlignment="1">
      <alignment vertical="top"/>
    </xf>
    <xf numFmtId="3" fontId="4" fillId="6" borderId="95" xfId="2" applyNumberFormat="1" applyFont="1" applyFill="1" applyBorder="1" applyAlignment="1">
      <alignment vertical="top"/>
    </xf>
    <xf numFmtId="3" fontId="2" fillId="6" borderId="94" xfId="2" applyNumberFormat="1" applyFont="1" applyFill="1" applyBorder="1" applyAlignment="1">
      <alignment vertical="top"/>
    </xf>
    <xf numFmtId="165" fontId="2" fillId="6" borderId="91" xfId="2" applyNumberFormat="1" applyFont="1" applyFill="1" applyBorder="1" applyAlignment="1">
      <alignment vertical="top"/>
    </xf>
    <xf numFmtId="3" fontId="2" fillId="6" borderId="91" xfId="2" applyNumberFormat="1" applyFont="1" applyFill="1" applyBorder="1" applyAlignment="1">
      <alignment vertical="top"/>
    </xf>
    <xf numFmtId="0" fontId="3" fillId="18" borderId="58" xfId="2" applyFont="1" applyFill="1" applyBorder="1" applyAlignment="1">
      <alignment vertical="center" wrapText="1"/>
    </xf>
    <xf numFmtId="0" fontId="6" fillId="18" borderId="104" xfId="2" applyFont="1" applyFill="1" applyBorder="1" applyAlignment="1">
      <alignment vertical="top" wrapText="1"/>
    </xf>
    <xf numFmtId="3" fontId="2" fillId="18" borderId="57" xfId="2" applyNumberFormat="1" applyFont="1" applyFill="1" applyBorder="1" applyAlignment="1">
      <alignment horizontal="right" vertical="center"/>
    </xf>
    <xf numFmtId="3" fontId="2" fillId="18" borderId="58" xfId="2" applyNumberFormat="1" applyFont="1" applyFill="1" applyBorder="1" applyAlignment="1">
      <alignment horizontal="right" vertical="center"/>
    </xf>
    <xf numFmtId="3" fontId="2" fillId="18" borderId="59" xfId="2" applyNumberFormat="1" applyFont="1" applyFill="1" applyBorder="1" applyAlignment="1">
      <alignment horizontal="right" vertical="center"/>
    </xf>
    <xf numFmtId="3" fontId="2" fillId="18" borderId="98" xfId="2" applyNumberFormat="1" applyFont="1" applyFill="1" applyBorder="1" applyAlignment="1">
      <alignment horizontal="right" vertical="center"/>
    </xf>
    <xf numFmtId="165" fontId="2" fillId="18" borderId="58" xfId="2" applyNumberFormat="1" applyFont="1" applyFill="1" applyBorder="1" applyAlignment="1">
      <alignment horizontal="right" vertical="center"/>
    </xf>
    <xf numFmtId="165" fontId="2" fillId="18" borderId="60" xfId="2" applyNumberFormat="1" applyFont="1" applyFill="1" applyBorder="1" applyAlignment="1">
      <alignment horizontal="right" vertical="center"/>
    </xf>
    <xf numFmtId="3" fontId="2" fillId="18" borderId="60" xfId="2" applyNumberFormat="1" applyFont="1" applyFill="1" applyBorder="1" applyAlignment="1">
      <alignment horizontal="right" vertical="center"/>
    </xf>
    <xf numFmtId="0" fontId="22" fillId="20" borderId="62" xfId="2" applyFont="1" applyFill="1" applyBorder="1" applyAlignment="1">
      <alignment horizontal="left" vertical="center"/>
    </xf>
    <xf numFmtId="0" fontId="7" fillId="20" borderId="102" xfId="2" applyFont="1" applyFill="1" applyBorder="1" applyAlignment="1">
      <alignment horizontal="left" vertical="center"/>
    </xf>
    <xf numFmtId="3" fontId="3" fillId="20" borderId="61" xfId="2" applyNumberFormat="1" applyFont="1" applyFill="1" applyBorder="1" applyAlignment="1">
      <alignment horizontal="right" vertical="center"/>
    </xf>
    <xf numFmtId="3" fontId="3" fillId="20" borderId="62" xfId="2" applyNumberFormat="1" applyFont="1" applyFill="1" applyBorder="1" applyAlignment="1">
      <alignment horizontal="right" vertical="center"/>
    </xf>
    <xf numFmtId="3" fontId="3" fillId="20" borderId="63" xfId="2" applyNumberFormat="1" applyFont="1" applyFill="1" applyBorder="1" applyAlignment="1">
      <alignment horizontal="right" vertical="center"/>
    </xf>
    <xf numFmtId="3" fontId="3" fillId="20" borderId="66" xfId="2" applyNumberFormat="1" applyFont="1" applyFill="1" applyBorder="1" applyAlignment="1">
      <alignment horizontal="right" vertical="center"/>
    </xf>
    <xf numFmtId="165" fontId="3" fillId="20" borderId="64" xfId="2" applyNumberFormat="1" applyFont="1" applyFill="1" applyBorder="1" applyAlignment="1">
      <alignment horizontal="right" vertical="center"/>
    </xf>
    <xf numFmtId="165" fontId="3" fillId="20" borderId="66" xfId="2" applyNumberFormat="1" applyFont="1" applyFill="1" applyBorder="1" applyAlignment="1">
      <alignment horizontal="right" vertical="center"/>
    </xf>
    <xf numFmtId="3" fontId="3" fillId="20" borderId="102" xfId="2" applyNumberFormat="1" applyFont="1" applyFill="1" applyBorder="1" applyAlignment="1">
      <alignment horizontal="right" vertical="center"/>
    </xf>
    <xf numFmtId="3" fontId="40" fillId="18" borderId="62" xfId="2" applyNumberFormat="1" applyFont="1" applyFill="1" applyBorder="1" applyAlignment="1">
      <alignment vertical="top" wrapText="1"/>
    </xf>
    <xf numFmtId="3" fontId="40" fillId="18" borderId="61" xfId="2" applyNumberFormat="1" applyFont="1" applyFill="1" applyBorder="1" applyAlignment="1">
      <alignment horizontal="right" vertical="center"/>
    </xf>
    <xf numFmtId="3" fontId="40" fillId="18" borderId="62" xfId="2" applyNumberFormat="1" applyFont="1" applyFill="1" applyBorder="1" applyAlignment="1">
      <alignment horizontal="right" vertical="center"/>
    </xf>
    <xf numFmtId="3" fontId="40" fillId="18" borderId="63" xfId="2" applyNumberFormat="1" applyFont="1" applyFill="1" applyBorder="1" applyAlignment="1">
      <alignment horizontal="right" vertical="center"/>
    </xf>
    <xf numFmtId="3" fontId="40" fillId="18" borderId="66" xfId="2" applyNumberFormat="1" applyFont="1" applyFill="1" applyBorder="1" applyAlignment="1">
      <alignment horizontal="right" vertical="center"/>
    </xf>
    <xf numFmtId="165" fontId="40" fillId="18" borderId="64" xfId="2" applyNumberFormat="1" applyFont="1" applyFill="1" applyBorder="1" applyAlignment="1">
      <alignment horizontal="right" vertical="center"/>
    </xf>
    <xf numFmtId="165" fontId="40" fillId="18" borderId="66" xfId="2" applyNumberFormat="1" applyFont="1" applyFill="1" applyBorder="1" applyAlignment="1">
      <alignment horizontal="right" vertical="center"/>
    </xf>
    <xf numFmtId="3" fontId="40" fillId="18" borderId="102" xfId="2" applyNumberFormat="1" applyFont="1" applyFill="1" applyBorder="1" applyAlignment="1">
      <alignment horizontal="right" vertical="center"/>
    </xf>
    <xf numFmtId="3" fontId="2" fillId="18" borderId="62" xfId="2" applyNumberFormat="1" applyFont="1" applyFill="1" applyBorder="1" applyAlignment="1">
      <alignment vertical="top" wrapText="1"/>
    </xf>
    <xf numFmtId="3" fontId="2" fillId="18" borderId="61" xfId="2" applyNumberFormat="1" applyFont="1" applyFill="1" applyBorder="1" applyAlignment="1">
      <alignment horizontal="right" vertical="center"/>
    </xf>
    <xf numFmtId="3" fontId="2" fillId="18" borderId="62" xfId="2" applyNumberFormat="1" applyFont="1" applyFill="1" applyBorder="1" applyAlignment="1">
      <alignment horizontal="right" vertical="center"/>
    </xf>
    <xf numFmtId="3" fontId="2" fillId="18" borderId="63" xfId="2" applyNumberFormat="1" applyFont="1" applyFill="1" applyBorder="1" applyAlignment="1">
      <alignment horizontal="right" vertical="center"/>
    </xf>
    <xf numFmtId="3" fontId="2" fillId="18" borderId="66" xfId="2" applyNumberFormat="1" applyFont="1" applyFill="1" applyBorder="1" applyAlignment="1">
      <alignment horizontal="right" vertical="center"/>
    </xf>
    <xf numFmtId="165" fontId="2" fillId="18" borderId="64" xfId="2" applyNumberFormat="1" applyFont="1" applyFill="1" applyBorder="1" applyAlignment="1">
      <alignment horizontal="right" vertical="center"/>
    </xf>
    <xf numFmtId="165" fontId="2" fillId="18" borderId="66" xfId="2" applyNumberFormat="1" applyFont="1" applyFill="1" applyBorder="1" applyAlignment="1">
      <alignment horizontal="right" vertical="center"/>
    </xf>
    <xf numFmtId="3" fontId="2" fillId="18" borderId="102" xfId="2" applyNumberFormat="1" applyFont="1" applyFill="1" applyBorder="1" applyAlignment="1">
      <alignment horizontal="right" vertical="center"/>
    </xf>
    <xf numFmtId="0" fontId="2" fillId="18" borderId="62" xfId="2" applyFont="1" applyFill="1" applyBorder="1" applyAlignment="1">
      <alignment vertical="top"/>
    </xf>
    <xf numFmtId="43" fontId="2" fillId="18" borderId="62" xfId="1" applyFont="1" applyFill="1" applyBorder="1" applyAlignment="1">
      <alignment horizontal="right" vertical="center"/>
    </xf>
    <xf numFmtId="43" fontId="2" fillId="18" borderId="66" xfId="1" applyFont="1" applyFill="1" applyBorder="1" applyAlignment="1">
      <alignment horizontal="right" vertical="center"/>
    </xf>
    <xf numFmtId="0" fontId="40" fillId="18" borderId="62" xfId="2" applyFont="1" applyFill="1" applyBorder="1" applyAlignment="1">
      <alignment vertical="top"/>
    </xf>
    <xf numFmtId="43" fontId="1" fillId="18" borderId="61" xfId="1" applyFont="1" applyFill="1" applyBorder="1" applyAlignment="1">
      <alignment vertical="center"/>
    </xf>
    <xf numFmtId="43" fontId="1" fillId="18" borderId="62" xfId="1" applyFont="1" applyFill="1" applyBorder="1" applyAlignment="1">
      <alignment vertical="center"/>
    </xf>
    <xf numFmtId="43" fontId="1" fillId="18" borderId="63" xfId="1" applyFont="1" applyFill="1" applyBorder="1" applyAlignment="1">
      <alignment vertical="center"/>
    </xf>
    <xf numFmtId="43" fontId="1" fillId="18" borderId="66" xfId="1" applyFont="1" applyFill="1" applyBorder="1" applyAlignment="1">
      <alignment vertical="center"/>
    </xf>
    <xf numFmtId="43" fontId="1" fillId="18" borderId="64" xfId="1" applyFont="1" applyFill="1" applyBorder="1" applyAlignment="1">
      <alignment vertical="center"/>
    </xf>
    <xf numFmtId="43" fontId="1" fillId="18" borderId="102" xfId="1" applyFont="1" applyFill="1" applyBorder="1" applyAlignment="1">
      <alignment vertical="center"/>
    </xf>
    <xf numFmtId="3" fontId="1" fillId="18" borderId="61" xfId="3" applyNumberFormat="1" applyFont="1" applyFill="1" applyBorder="1" applyAlignment="1">
      <alignment vertical="center"/>
    </xf>
    <xf numFmtId="3" fontId="1" fillId="18" borderId="62" xfId="3" applyNumberFormat="1" applyFont="1" applyFill="1" applyBorder="1" applyAlignment="1">
      <alignment vertical="center"/>
    </xf>
    <xf numFmtId="3" fontId="1" fillId="18" borderId="63" xfId="3" applyNumberFormat="1" applyFont="1" applyFill="1" applyBorder="1" applyAlignment="1">
      <alignment vertical="center"/>
    </xf>
    <xf numFmtId="3" fontId="1" fillId="18" borderId="102" xfId="3" applyNumberFormat="1" applyFont="1" applyFill="1" applyBorder="1" applyAlignment="1">
      <alignment vertical="center"/>
    </xf>
    <xf numFmtId="165" fontId="1" fillId="18" borderId="102" xfId="3" applyNumberFormat="1" applyFont="1" applyFill="1" applyBorder="1" applyAlignment="1">
      <alignment vertical="center"/>
    </xf>
    <xf numFmtId="165" fontId="1" fillId="18" borderId="66" xfId="3" applyNumberFormat="1" applyFont="1" applyFill="1" applyBorder="1" applyAlignment="1">
      <alignment vertical="center"/>
    </xf>
    <xf numFmtId="0" fontId="7" fillId="4" borderId="102" xfId="2" applyFont="1" applyFill="1" applyBorder="1" applyAlignment="1">
      <alignment horizontal="left" vertical="center"/>
    </xf>
    <xf numFmtId="3" fontId="3" fillId="4" borderId="61" xfId="2" applyNumberFormat="1" applyFont="1" applyFill="1" applyBorder="1" applyAlignment="1"/>
    <xf numFmtId="3" fontId="3" fillId="4" borderId="62" xfId="2" applyNumberFormat="1" applyFont="1" applyFill="1" applyBorder="1" applyAlignment="1"/>
    <xf numFmtId="3" fontId="3" fillId="4" borderId="63" xfId="2" applyNumberFormat="1" applyFont="1" applyFill="1" applyBorder="1" applyAlignment="1"/>
    <xf numFmtId="3" fontId="3" fillId="4" borderId="102" xfId="2" applyNumberFormat="1" applyFont="1" applyFill="1" applyBorder="1" applyAlignment="1"/>
    <xf numFmtId="3" fontId="15" fillId="18" borderId="62" xfId="2" applyNumberFormat="1" applyFont="1" applyFill="1" applyBorder="1" applyAlignment="1">
      <alignment vertical="top" wrapText="1"/>
    </xf>
    <xf numFmtId="3" fontId="29" fillId="18" borderId="71" xfId="3" applyNumberFormat="1" applyFont="1" applyFill="1" applyBorder="1" applyAlignment="1">
      <alignment vertical="center"/>
    </xf>
    <xf numFmtId="3" fontId="29" fillId="18" borderId="64" xfId="3" applyNumberFormat="1" applyFont="1" applyFill="1" applyBorder="1" applyAlignment="1">
      <alignment vertical="center"/>
    </xf>
    <xf numFmtId="3" fontId="29" fillId="18" borderId="62" xfId="3" applyNumberFormat="1" applyFont="1" applyFill="1" applyBorder="1" applyAlignment="1">
      <alignment vertical="center"/>
    </xf>
    <xf numFmtId="3" fontId="29" fillId="18" borderId="66" xfId="3" applyNumberFormat="1" applyFont="1" applyFill="1" applyBorder="1" applyAlignment="1">
      <alignment vertical="center"/>
    </xf>
    <xf numFmtId="3" fontId="29" fillId="18" borderId="61" xfId="3" applyNumberFormat="1" applyFont="1" applyFill="1" applyBorder="1" applyAlignment="1">
      <alignment vertical="center"/>
    </xf>
    <xf numFmtId="165" fontId="29" fillId="18" borderId="64" xfId="3" applyNumberFormat="1" applyFont="1" applyFill="1" applyBorder="1" applyAlignment="1">
      <alignment vertical="center"/>
    </xf>
    <xf numFmtId="3" fontId="29" fillId="18" borderId="102" xfId="3" applyNumberFormat="1" applyFont="1" applyFill="1" applyBorder="1" applyAlignment="1">
      <alignment vertical="center"/>
    </xf>
    <xf numFmtId="0" fontId="2" fillId="18" borderId="62" xfId="2" applyFont="1" applyFill="1" applyBorder="1" applyAlignment="1">
      <alignment horizontal="left" vertical="center"/>
    </xf>
    <xf numFmtId="3" fontId="1" fillId="18" borderId="66" xfId="3" applyNumberFormat="1" applyFont="1" applyFill="1" applyBorder="1" applyAlignment="1">
      <alignment vertical="center"/>
    </xf>
    <xf numFmtId="165" fontId="1" fillId="18" borderId="64" xfId="3" applyNumberFormat="1" applyFont="1" applyFill="1" applyBorder="1" applyAlignment="1">
      <alignment vertical="center"/>
    </xf>
    <xf numFmtId="0" fontId="2" fillId="18" borderId="62" xfId="2" applyFont="1" applyFill="1" applyBorder="1" applyAlignment="1">
      <alignment vertical="top" wrapText="1"/>
    </xf>
    <xf numFmtId="3" fontId="1" fillId="18" borderId="71" xfId="3" applyNumberFormat="1" applyFont="1" applyFill="1" applyBorder="1" applyAlignment="1">
      <alignment vertical="center"/>
    </xf>
    <xf numFmtId="0" fontId="15" fillId="18" borderId="62" xfId="2" applyFont="1" applyFill="1" applyBorder="1" applyAlignment="1">
      <alignment vertical="top"/>
    </xf>
    <xf numFmtId="3" fontId="29" fillId="18" borderId="63" xfId="3" applyNumberFormat="1" applyFont="1" applyFill="1" applyBorder="1" applyAlignment="1">
      <alignment vertical="center"/>
    </xf>
    <xf numFmtId="165" fontId="40" fillId="18" borderId="62" xfId="2" applyNumberFormat="1" applyFont="1" applyFill="1" applyBorder="1" applyAlignment="1">
      <alignment horizontal="right" vertical="center"/>
    </xf>
    <xf numFmtId="0" fontId="2" fillId="18" borderId="68" xfId="2" applyFont="1" applyFill="1" applyBorder="1" applyAlignment="1">
      <alignment vertical="center"/>
    </xf>
    <xf numFmtId="3" fontId="1" fillId="18" borderId="67" xfId="3" applyNumberFormat="1" applyFont="1" applyFill="1" applyBorder="1" applyAlignment="1">
      <alignment vertical="center"/>
    </xf>
    <xf numFmtId="3" fontId="1" fillId="18" borderId="68" xfId="3" applyNumberFormat="1" applyFont="1" applyFill="1" applyBorder="1" applyAlignment="1">
      <alignment vertical="center"/>
    </xf>
    <xf numFmtId="3" fontId="1" fillId="18" borderId="69" xfId="3" applyNumberFormat="1" applyFont="1" applyFill="1" applyBorder="1" applyAlignment="1">
      <alignment vertical="center"/>
    </xf>
    <xf numFmtId="3" fontId="1" fillId="18" borderId="96" xfId="3" applyNumberFormat="1" applyFont="1" applyFill="1" applyBorder="1" applyAlignment="1">
      <alignment vertical="center"/>
    </xf>
    <xf numFmtId="165" fontId="1" fillId="18" borderId="70" xfId="3" applyNumberFormat="1" applyFont="1" applyFill="1" applyBorder="1" applyAlignment="1">
      <alignment vertical="center"/>
    </xf>
    <xf numFmtId="3" fontId="1" fillId="18" borderId="103" xfId="3" applyNumberFormat="1" applyFont="1" applyFill="1" applyBorder="1" applyAlignment="1">
      <alignment vertical="center"/>
    </xf>
    <xf numFmtId="0" fontId="3" fillId="15" borderId="58" xfId="2" applyFont="1" applyFill="1" applyBorder="1" applyAlignment="1">
      <alignment vertical="top" wrapText="1"/>
    </xf>
    <xf numFmtId="0" fontId="6" fillId="15" borderId="59" xfId="2" applyFont="1" applyFill="1" applyBorder="1" applyAlignment="1">
      <alignment horizontal="center" vertical="center" wrapText="1"/>
    </xf>
    <xf numFmtId="3" fontId="3" fillId="15" borderId="57" xfId="2" applyNumberFormat="1" applyFont="1" applyFill="1" applyBorder="1" applyAlignment="1">
      <alignment horizontal="right" vertical="center"/>
    </xf>
    <xf numFmtId="3" fontId="3" fillId="15" borderId="58" xfId="2" applyNumberFormat="1" applyFont="1" applyFill="1" applyBorder="1" applyAlignment="1">
      <alignment horizontal="right" vertical="center"/>
    </xf>
    <xf numFmtId="3" fontId="3" fillId="15" borderId="59" xfId="2" applyNumberFormat="1" applyFont="1" applyFill="1" applyBorder="1" applyAlignment="1">
      <alignment horizontal="right" vertical="center"/>
    </xf>
    <xf numFmtId="165" fontId="3" fillId="15" borderId="58" xfId="2" applyNumberFormat="1" applyFont="1" applyFill="1" applyBorder="1" applyAlignment="1">
      <alignment horizontal="right" vertical="center"/>
    </xf>
    <xf numFmtId="165" fontId="3" fillId="15" borderId="60" xfId="2" applyNumberFormat="1" applyFont="1" applyFill="1" applyBorder="1" applyAlignment="1">
      <alignment horizontal="right" vertical="center"/>
    </xf>
    <xf numFmtId="3" fontId="3" fillId="15" borderId="60" xfId="2" applyNumberFormat="1" applyFont="1" applyFill="1" applyBorder="1" applyAlignment="1">
      <alignment horizontal="right" vertical="center"/>
    </xf>
    <xf numFmtId="0" fontId="7" fillId="0" borderId="81" xfId="2" applyFont="1" applyFill="1" applyBorder="1" applyAlignment="1">
      <alignment horizontal="center" vertical="center" wrapText="1"/>
    </xf>
    <xf numFmtId="3" fontId="3" fillId="4" borderId="71" xfId="2" applyNumberFormat="1" applyFont="1" applyFill="1" applyBorder="1" applyAlignment="1"/>
    <xf numFmtId="165" fontId="3" fillId="4" borderId="64" xfId="2" applyNumberFormat="1" applyFont="1" applyFill="1" applyBorder="1" applyAlignment="1"/>
    <xf numFmtId="3" fontId="3" fillId="4" borderId="64" xfId="2" applyNumberFormat="1" applyFont="1" applyFill="1" applyBorder="1" applyAlignment="1"/>
    <xf numFmtId="3" fontId="15" fillId="2" borderId="62" xfId="2" applyNumberFormat="1" applyFont="1" applyFill="1" applyBorder="1" applyAlignment="1">
      <alignment vertical="top" wrapText="1"/>
    </xf>
    <xf numFmtId="3" fontId="15" fillId="0" borderId="61" xfId="2" applyNumberFormat="1" applyFont="1" applyFill="1" applyBorder="1" applyAlignment="1"/>
    <xf numFmtId="3" fontId="15" fillId="0" borderId="62" xfId="2" applyNumberFormat="1" applyFont="1" applyFill="1" applyBorder="1" applyAlignment="1"/>
    <xf numFmtId="165" fontId="15" fillId="0" borderId="62" xfId="2" applyNumberFormat="1" applyFont="1" applyFill="1" applyBorder="1" applyAlignment="1"/>
    <xf numFmtId="165" fontId="15" fillId="0" borderId="64" xfId="2" applyNumberFormat="1" applyFont="1" applyFill="1" applyBorder="1" applyAlignment="1"/>
    <xf numFmtId="3" fontId="15" fillId="0" borderId="64" xfId="2" applyNumberFormat="1" applyFont="1" applyFill="1" applyBorder="1" applyAlignment="1"/>
    <xf numFmtId="0" fontId="2" fillId="0" borderId="62" xfId="2" applyFont="1" applyFill="1" applyBorder="1" applyAlignment="1">
      <alignment vertical="top"/>
    </xf>
    <xf numFmtId="3" fontId="1" fillId="0" borderId="61" xfId="3" applyNumberFormat="1" applyFont="1" applyFill="1" applyBorder="1" applyAlignment="1">
      <alignment vertical="center"/>
    </xf>
    <xf numFmtId="3" fontId="4" fillId="0" borderId="62" xfId="2" applyNumberFormat="1" applyFont="1" applyFill="1" applyBorder="1" applyAlignment="1">
      <alignment horizontal="right" vertical="center"/>
    </xf>
    <xf numFmtId="3" fontId="2" fillId="0" borderId="62" xfId="2" applyNumberFormat="1" applyFont="1" applyFill="1" applyBorder="1" applyAlignment="1">
      <alignment horizontal="right" vertical="center"/>
    </xf>
    <xf numFmtId="3" fontId="2" fillId="0" borderId="61" xfId="2" applyNumberFormat="1" applyFont="1" applyFill="1" applyBorder="1" applyAlignment="1">
      <alignment horizontal="right" vertical="center"/>
    </xf>
    <xf numFmtId="165" fontId="2" fillId="0" borderId="62" xfId="2" applyNumberFormat="1" applyFont="1" applyFill="1" applyBorder="1" applyAlignment="1">
      <alignment horizontal="right" vertical="center"/>
    </xf>
    <xf numFmtId="165" fontId="2" fillId="0" borderId="64" xfId="2" applyNumberFormat="1" applyFont="1" applyFill="1" applyBorder="1" applyAlignment="1">
      <alignment horizontal="right" vertical="center"/>
    </xf>
    <xf numFmtId="3" fontId="2" fillId="0" borderId="64" xfId="2" applyNumberFormat="1" applyFont="1" applyFill="1" applyBorder="1" applyAlignment="1">
      <alignment horizontal="right" vertical="center"/>
    </xf>
    <xf numFmtId="43" fontId="2" fillId="0" borderId="63" xfId="1" applyFont="1" applyFill="1" applyBorder="1" applyAlignment="1">
      <alignment horizontal="right" vertical="center"/>
    </xf>
    <xf numFmtId="165" fontId="4" fillId="0" borderId="62" xfId="2" applyNumberFormat="1" applyFont="1" applyFill="1" applyBorder="1" applyAlignment="1">
      <alignment horizontal="right" vertical="center"/>
    </xf>
    <xf numFmtId="43" fontId="2" fillId="0" borderId="62" xfId="1" applyFont="1" applyFill="1" applyBorder="1" applyAlignment="1">
      <alignment horizontal="right" vertical="center"/>
    </xf>
    <xf numFmtId="43" fontId="4" fillId="0" borderId="64" xfId="1" applyFont="1" applyFill="1" applyBorder="1" applyAlignment="1">
      <alignment horizontal="right" vertical="center"/>
    </xf>
    <xf numFmtId="0" fontId="1" fillId="0" borderId="0" xfId="0" applyFont="1" applyFill="1"/>
    <xf numFmtId="0" fontId="15" fillId="2" borderId="62" xfId="2" applyFont="1" applyFill="1" applyBorder="1" applyAlignment="1">
      <alignment vertical="top"/>
    </xf>
    <xf numFmtId="3" fontId="29" fillId="0" borderId="61" xfId="3" applyNumberFormat="1" applyFont="1" applyFill="1" applyBorder="1" applyAlignment="1">
      <alignment vertical="center"/>
    </xf>
    <xf numFmtId="3" fontId="29" fillId="0" borderId="62" xfId="3" applyNumberFormat="1" applyFont="1" applyFill="1" applyBorder="1" applyAlignment="1">
      <alignment vertical="center"/>
    </xf>
    <xf numFmtId="43" fontId="29" fillId="0" borderId="63" xfId="1" applyFont="1" applyFill="1" applyBorder="1" applyAlignment="1">
      <alignment vertical="center"/>
    </xf>
    <xf numFmtId="43" fontId="29" fillId="0" borderId="62" xfId="1" applyFont="1" applyFill="1" applyBorder="1" applyAlignment="1">
      <alignment vertical="center"/>
    </xf>
    <xf numFmtId="43" fontId="29" fillId="0" borderId="64" xfId="1" applyFont="1" applyFill="1" applyBorder="1" applyAlignment="1">
      <alignment vertical="center"/>
    </xf>
    <xf numFmtId="3" fontId="29" fillId="0" borderId="64" xfId="3" applyNumberFormat="1" applyFont="1" applyFill="1" applyBorder="1" applyAlignment="1">
      <alignment vertical="center"/>
    </xf>
    <xf numFmtId="43" fontId="1" fillId="0" borderId="61" xfId="1" applyFont="1" applyFill="1" applyBorder="1" applyAlignment="1">
      <alignment vertical="center"/>
    </xf>
    <xf numFmtId="43" fontId="2" fillId="0" borderId="61" xfId="1" applyFont="1" applyFill="1" applyBorder="1" applyAlignment="1">
      <alignment horizontal="right" vertical="center"/>
    </xf>
    <xf numFmtId="43" fontId="4" fillId="0" borderId="62" xfId="1" applyFont="1" applyFill="1" applyBorder="1" applyAlignment="1">
      <alignment horizontal="right" vertical="center"/>
    </xf>
    <xf numFmtId="43" fontId="2" fillId="0" borderId="64" xfId="1" applyFont="1" applyFill="1" applyBorder="1" applyAlignment="1">
      <alignment horizontal="right" vertical="center"/>
    </xf>
    <xf numFmtId="43" fontId="3" fillId="4" borderId="63" xfId="1" applyFont="1" applyFill="1" applyBorder="1" applyAlignment="1"/>
    <xf numFmtId="165" fontId="3" fillId="4" borderId="102" xfId="2" applyNumberFormat="1" applyFont="1" applyFill="1" applyBorder="1" applyAlignment="1"/>
    <xf numFmtId="3" fontId="15" fillId="2" borderId="64" xfId="2" applyNumberFormat="1" applyFont="1" applyFill="1" applyBorder="1" applyAlignment="1">
      <alignment vertical="top" wrapText="1"/>
    </xf>
    <xf numFmtId="3" fontId="3" fillId="0" borderId="93" xfId="2" applyNumberFormat="1" applyFont="1" applyFill="1" applyBorder="1" applyAlignment="1"/>
    <xf numFmtId="3" fontId="3" fillId="0" borderId="94" xfId="2" applyNumberFormat="1" applyFont="1" applyFill="1" applyBorder="1" applyAlignment="1"/>
    <xf numFmtId="43" fontId="3" fillId="0" borderId="63" xfId="1" applyFont="1" applyFill="1" applyBorder="1" applyAlignment="1"/>
    <xf numFmtId="3" fontId="3" fillId="0" borderId="61" xfId="2" applyNumberFormat="1" applyFont="1" applyFill="1" applyBorder="1" applyAlignment="1"/>
    <xf numFmtId="165" fontId="2" fillId="0" borderId="102" xfId="2" applyNumberFormat="1" applyFont="1" applyFill="1" applyBorder="1" applyAlignment="1">
      <alignment horizontal="right" vertical="center"/>
    </xf>
    <xf numFmtId="3" fontId="3" fillId="0" borderId="64" xfId="2" applyNumberFormat="1" applyFont="1" applyFill="1" applyBorder="1" applyAlignment="1"/>
    <xf numFmtId="0" fontId="2" fillId="0" borderId="64" xfId="2" applyFont="1" applyFill="1" applyBorder="1" applyAlignment="1">
      <alignment vertical="top"/>
    </xf>
    <xf numFmtId="43" fontId="2" fillId="0" borderId="65" xfId="1" applyFont="1" applyFill="1" applyBorder="1" applyAlignment="1">
      <alignment horizontal="right" vertical="center"/>
    </xf>
    <xf numFmtId="0" fontId="15" fillId="2" borderId="64" xfId="2" applyFont="1" applyFill="1" applyBorder="1" applyAlignment="1">
      <alignment vertical="top"/>
    </xf>
    <xf numFmtId="43" fontId="3" fillId="0" borderId="65" xfId="1" applyFont="1" applyFill="1" applyBorder="1" applyAlignment="1"/>
    <xf numFmtId="165" fontId="29" fillId="0" borderId="102" xfId="3" applyNumberFormat="1" applyFont="1" applyFill="1" applyBorder="1" applyAlignment="1">
      <alignment vertical="center"/>
    </xf>
    <xf numFmtId="43" fontId="2" fillId="0" borderId="102" xfId="1" applyFont="1" applyFill="1" applyBorder="1" applyAlignment="1">
      <alignment horizontal="right" vertical="center"/>
    </xf>
    <xf numFmtId="0" fontId="2" fillId="0" borderId="70" xfId="2" applyFont="1" applyFill="1" applyBorder="1" applyAlignment="1">
      <alignment vertical="center"/>
    </xf>
    <xf numFmtId="3" fontId="1" fillId="0" borderId="67" xfId="3" applyNumberFormat="1" applyFont="1" applyFill="1" applyBorder="1" applyAlignment="1">
      <alignment vertical="center"/>
    </xf>
    <xf numFmtId="3" fontId="4" fillId="0" borderId="68" xfId="2" applyNumberFormat="1" applyFont="1" applyFill="1" applyBorder="1" applyAlignment="1">
      <alignment horizontal="right" vertical="center"/>
    </xf>
    <xf numFmtId="3" fontId="2" fillId="0" borderId="68" xfId="2" applyNumberFormat="1" applyFont="1" applyFill="1" applyBorder="1" applyAlignment="1">
      <alignment horizontal="right" vertical="center"/>
    </xf>
    <xf numFmtId="43" fontId="4" fillId="0" borderId="85" xfId="1" applyFont="1" applyFill="1" applyBorder="1" applyAlignment="1"/>
    <xf numFmtId="3" fontId="2" fillId="0" borderId="67" xfId="2" applyNumberFormat="1" applyFont="1" applyFill="1" applyBorder="1" applyAlignment="1">
      <alignment horizontal="right" vertical="center"/>
    </xf>
    <xf numFmtId="165" fontId="2" fillId="0" borderId="68" xfId="2" applyNumberFormat="1" applyFont="1" applyFill="1" applyBorder="1" applyAlignment="1">
      <alignment horizontal="right" vertical="center"/>
    </xf>
    <xf numFmtId="165" fontId="2" fillId="0" borderId="103" xfId="2" applyNumberFormat="1" applyFont="1" applyFill="1" applyBorder="1" applyAlignment="1">
      <alignment horizontal="right" vertical="center"/>
    </xf>
    <xf numFmtId="3" fontId="2" fillId="0" borderId="70" xfId="2" applyNumberFormat="1" applyFont="1" applyFill="1" applyBorder="1" applyAlignment="1">
      <alignment horizontal="right" vertical="center"/>
    </xf>
    <xf numFmtId="0" fontId="3" fillId="15" borderId="60" xfId="2" applyFont="1" applyFill="1" applyBorder="1" applyAlignment="1">
      <alignment vertical="top" wrapText="1"/>
    </xf>
    <xf numFmtId="3" fontId="3" fillId="15" borderId="125" xfId="2" applyNumberFormat="1" applyFont="1" applyFill="1" applyBorder="1" applyAlignment="1">
      <alignment horizontal="right" vertical="center"/>
    </xf>
    <xf numFmtId="165" fontId="3" fillId="15" borderId="104" xfId="2" applyNumberFormat="1" applyFont="1" applyFill="1" applyBorder="1" applyAlignment="1">
      <alignment horizontal="right" vertical="center"/>
    </xf>
    <xf numFmtId="0" fontId="1" fillId="0" borderId="0" xfId="0" applyFont="1" applyAlignment="1"/>
    <xf numFmtId="0" fontId="22" fillId="4" borderId="64" xfId="2" applyFont="1" applyFill="1" applyBorder="1" applyAlignment="1">
      <alignment horizontal="left" vertical="center"/>
    </xf>
    <xf numFmtId="3" fontId="22" fillId="4" borderId="61" xfId="2" applyNumberFormat="1" applyFont="1" applyFill="1" applyBorder="1" applyAlignment="1">
      <alignment horizontal="right" vertical="center"/>
    </xf>
    <xf numFmtId="3" fontId="22" fillId="4" borderId="62" xfId="2" applyNumberFormat="1" applyFont="1" applyFill="1" applyBorder="1" applyAlignment="1">
      <alignment horizontal="right" vertical="center"/>
    </xf>
    <xf numFmtId="43" fontId="3" fillId="4" borderId="65" xfId="1" applyFont="1" applyFill="1" applyBorder="1" applyAlignment="1"/>
    <xf numFmtId="165" fontId="22" fillId="4" borderId="62" xfId="2" applyNumberFormat="1" applyFont="1" applyFill="1" applyBorder="1" applyAlignment="1">
      <alignment horizontal="right" vertical="center"/>
    </xf>
    <xf numFmtId="165" fontId="22" fillId="4" borderId="102" xfId="2" applyNumberFormat="1" applyFont="1" applyFill="1" applyBorder="1" applyAlignment="1">
      <alignment horizontal="right" vertical="center"/>
    </xf>
    <xf numFmtId="3" fontId="22" fillId="4" borderId="64" xfId="2" applyNumberFormat="1" applyFont="1" applyFill="1" applyBorder="1" applyAlignment="1">
      <alignment horizontal="right" vertical="center"/>
    </xf>
    <xf numFmtId="3" fontId="15" fillId="0" borderId="61" xfId="2" applyNumberFormat="1" applyFont="1" applyFill="1" applyBorder="1" applyAlignment="1">
      <alignment horizontal="right" vertical="center"/>
    </xf>
    <xf numFmtId="3" fontId="15" fillId="0" borderId="62" xfId="2" applyNumberFormat="1" applyFont="1" applyFill="1" applyBorder="1" applyAlignment="1">
      <alignment horizontal="right" vertical="center"/>
    </xf>
    <xf numFmtId="3" fontId="15" fillId="0" borderId="64" xfId="2" applyNumberFormat="1" applyFont="1" applyFill="1" applyBorder="1" applyAlignment="1">
      <alignment horizontal="right" vertical="center"/>
    </xf>
    <xf numFmtId="43" fontId="4" fillId="0" borderId="65" xfId="1" applyFont="1" applyFill="1" applyBorder="1" applyAlignment="1">
      <alignment horizontal="right" vertical="center"/>
    </xf>
    <xf numFmtId="0" fontId="1" fillId="0" borderId="0" xfId="0" applyFont="1" applyFill="1" applyAlignment="1"/>
    <xf numFmtId="43" fontId="29" fillId="0" borderId="65" xfId="1" applyFont="1" applyFill="1" applyBorder="1" applyAlignment="1">
      <alignment vertical="center"/>
    </xf>
    <xf numFmtId="43" fontId="1" fillId="0" borderId="67" xfId="1" applyFont="1" applyFill="1" applyBorder="1" applyAlignment="1">
      <alignment vertical="center"/>
    </xf>
    <xf numFmtId="43" fontId="2" fillId="0" borderId="68" xfId="1" applyFont="1" applyFill="1" applyBorder="1" applyAlignment="1">
      <alignment horizontal="right" vertical="center"/>
    </xf>
    <xf numFmtId="43" fontId="4" fillId="0" borderId="68" xfId="1" applyFont="1" applyFill="1" applyBorder="1" applyAlignment="1">
      <alignment horizontal="right" vertical="center"/>
    </xf>
    <xf numFmtId="3" fontId="7" fillId="2" borderId="84" xfId="2" applyNumberFormat="1" applyFont="1" applyFill="1" applyBorder="1" applyAlignment="1">
      <alignment horizontal="center" vertical="center" wrapText="1"/>
    </xf>
    <xf numFmtId="3" fontId="1" fillId="0" borderId="79" xfId="3" applyNumberFormat="1" applyFont="1" applyFill="1" applyBorder="1" applyAlignment="1">
      <alignment vertical="center"/>
    </xf>
    <xf numFmtId="3" fontId="4" fillId="0" borderId="77" xfId="2" applyNumberFormat="1" applyFont="1" applyFill="1" applyBorder="1" applyAlignment="1">
      <alignment horizontal="right" vertical="center"/>
    </xf>
    <xf numFmtId="0" fontId="7" fillId="4" borderId="65" xfId="2" applyFont="1" applyFill="1" applyBorder="1" applyAlignment="1">
      <alignment horizontal="left" vertical="center"/>
    </xf>
    <xf numFmtId="43" fontId="3" fillId="4" borderId="64" xfId="1" applyFont="1" applyFill="1" applyBorder="1" applyAlignment="1"/>
    <xf numFmtId="43" fontId="15" fillId="0" borderId="63" xfId="1" applyFont="1" applyFill="1" applyBorder="1" applyAlignment="1"/>
    <xf numFmtId="43" fontId="4" fillId="0" borderId="63" xfId="1" applyFont="1" applyFill="1" applyBorder="1" applyAlignment="1"/>
    <xf numFmtId="43" fontId="4" fillId="0" borderId="63" xfId="1" applyFont="1" applyFill="1" applyBorder="1" applyAlignment="1">
      <alignment horizontal="right" vertical="center"/>
    </xf>
    <xf numFmtId="0" fontId="1" fillId="3" borderId="0" xfId="0" applyFont="1" applyFill="1" applyAlignment="1"/>
    <xf numFmtId="0" fontId="2" fillId="0" borderId="68" xfId="2" applyFont="1" applyFill="1" applyBorder="1" applyAlignment="1">
      <alignment vertical="center"/>
    </xf>
    <xf numFmtId="43" fontId="4" fillId="0" borderId="69" xfId="1" applyFont="1" applyFill="1" applyBorder="1" applyAlignment="1">
      <alignment horizontal="right" vertical="center"/>
    </xf>
    <xf numFmtId="165" fontId="4" fillId="0" borderId="68" xfId="2" applyNumberFormat="1" applyFont="1" applyFill="1" applyBorder="1" applyAlignment="1">
      <alignment horizontal="right" vertical="center"/>
    </xf>
    <xf numFmtId="43" fontId="4" fillId="0" borderId="70" xfId="1" applyFont="1" applyFill="1" applyBorder="1" applyAlignment="1">
      <alignment horizontal="right" vertical="center"/>
    </xf>
    <xf numFmtId="0" fontId="3" fillId="15" borderId="58" xfId="2" applyFont="1" applyFill="1" applyBorder="1" applyAlignment="1">
      <alignment vertical="center" wrapText="1"/>
    </xf>
    <xf numFmtId="0" fontId="6" fillId="15" borderId="125" xfId="2" applyFont="1" applyFill="1" applyBorder="1" applyAlignment="1">
      <alignment horizontal="center" vertical="center" wrapText="1"/>
    </xf>
    <xf numFmtId="165" fontId="22" fillId="4" borderId="64" xfId="2" applyNumberFormat="1" applyFont="1" applyFill="1" applyBorder="1" applyAlignment="1">
      <alignment horizontal="right" vertical="center"/>
    </xf>
    <xf numFmtId="3" fontId="15" fillId="0" borderId="71" xfId="2" applyNumberFormat="1" applyFont="1" applyFill="1" applyBorder="1" applyAlignment="1">
      <alignment horizontal="right" vertical="center"/>
    </xf>
    <xf numFmtId="165" fontId="29" fillId="0" borderId="64" xfId="3" applyNumberFormat="1" applyFont="1" applyFill="1" applyBorder="1" applyAlignment="1">
      <alignment vertical="center"/>
    </xf>
    <xf numFmtId="3" fontId="3" fillId="0" borderId="71" xfId="2" applyNumberFormat="1" applyFont="1" applyFill="1" applyBorder="1" applyAlignment="1"/>
    <xf numFmtId="3" fontId="3" fillId="0" borderId="62" xfId="2" applyNumberFormat="1" applyFont="1" applyFill="1" applyBorder="1" applyAlignment="1"/>
    <xf numFmtId="43" fontId="2" fillId="0" borderId="69" xfId="1" applyFont="1" applyFill="1" applyBorder="1" applyAlignment="1">
      <alignment horizontal="right" vertical="center"/>
    </xf>
    <xf numFmtId="165" fontId="4" fillId="0" borderId="70" xfId="2" applyNumberFormat="1" applyFont="1" applyFill="1" applyBorder="1" applyAlignment="1">
      <alignment horizontal="right" vertical="center"/>
    </xf>
    <xf numFmtId="3" fontId="4" fillId="0" borderId="61" xfId="2" applyNumberFormat="1" applyFont="1" applyFill="1" applyBorder="1" applyAlignment="1">
      <alignment horizontal="right" vertical="center"/>
    </xf>
    <xf numFmtId="0" fontId="7" fillId="0" borderId="63" xfId="2" applyFont="1" applyFill="1" applyBorder="1" applyAlignment="1">
      <alignment horizontal="left" vertical="center"/>
    </xf>
    <xf numFmtId="43" fontId="40" fillId="0" borderId="63" xfId="1" applyFont="1" applyFill="1" applyBorder="1" applyAlignment="1">
      <alignment horizontal="right" vertical="center"/>
    </xf>
    <xf numFmtId="3" fontId="3" fillId="0" borderId="66" xfId="2" applyNumberFormat="1" applyFont="1" applyFill="1" applyBorder="1" applyAlignment="1"/>
    <xf numFmtId="3" fontId="2" fillId="0" borderId="62" xfId="2" applyNumberFormat="1" applyFont="1" applyFill="1" applyBorder="1" applyAlignment="1"/>
    <xf numFmtId="43" fontId="4" fillId="0" borderId="62" xfId="1" applyFont="1" applyFill="1" applyBorder="1" applyAlignment="1"/>
    <xf numFmtId="3" fontId="2" fillId="0" borderId="62" xfId="2" applyNumberFormat="1" applyFont="1" applyFill="1" applyBorder="1" applyAlignment="1">
      <alignment horizontal="right"/>
    </xf>
    <xf numFmtId="165" fontId="4" fillId="0" borderId="64" xfId="2" applyNumberFormat="1" applyFont="1" applyFill="1" applyBorder="1" applyAlignment="1">
      <alignment horizontal="right" vertical="center"/>
    </xf>
    <xf numFmtId="3" fontId="15" fillId="2" borderId="61" xfId="2" applyNumberFormat="1" applyFont="1" applyFill="1" applyBorder="1" applyAlignment="1"/>
    <xf numFmtId="3" fontId="15" fillId="2" borderId="62" xfId="2" applyNumberFormat="1" applyFont="1" applyFill="1" applyBorder="1" applyAlignment="1"/>
    <xf numFmtId="3" fontId="40" fillId="2" borderId="62" xfId="2" applyNumberFormat="1" applyFont="1" applyFill="1" applyBorder="1" applyAlignment="1"/>
    <xf numFmtId="43" fontId="40" fillId="2" borderId="63" xfId="1" applyFont="1" applyFill="1" applyBorder="1" applyAlignment="1"/>
    <xf numFmtId="0" fontId="2" fillId="0" borderId="68" xfId="2" applyFont="1" applyFill="1" applyBorder="1" applyAlignment="1">
      <alignment vertical="top"/>
    </xf>
    <xf numFmtId="3" fontId="2" fillId="0" borderId="68" xfId="2" applyNumberFormat="1" applyFont="1" applyFill="1" applyBorder="1" applyAlignment="1">
      <alignment horizontal="right"/>
    </xf>
    <xf numFmtId="43" fontId="2" fillId="0" borderId="69" xfId="1" applyFont="1" applyFill="1" applyBorder="1" applyAlignment="1">
      <alignment horizontal="right"/>
    </xf>
    <xf numFmtId="3" fontId="4" fillId="0" borderId="67" xfId="2" applyNumberFormat="1" applyFont="1" applyFill="1" applyBorder="1" applyAlignment="1">
      <alignment horizontal="right" vertical="center"/>
    </xf>
    <xf numFmtId="0" fontId="3" fillId="4" borderId="62" xfId="2" applyFont="1" applyFill="1" applyBorder="1" applyAlignment="1">
      <alignment horizontal="left" vertical="center"/>
    </xf>
    <xf numFmtId="0" fontId="6" fillId="4" borderId="63" xfId="2" applyFont="1" applyFill="1" applyBorder="1" applyAlignment="1">
      <alignment horizontal="left" vertical="center"/>
    </xf>
    <xf numFmtId="43" fontId="22" fillId="4" borderId="63" xfId="1" applyFont="1" applyFill="1" applyBorder="1" applyAlignment="1">
      <alignment horizontal="right" vertical="center"/>
    </xf>
    <xf numFmtId="3" fontId="40" fillId="2" borderId="62" xfId="2" applyNumberFormat="1" applyFont="1" applyFill="1" applyBorder="1" applyAlignment="1">
      <alignment vertical="top" wrapText="1"/>
    </xf>
    <xf numFmtId="43" fontId="15" fillId="0" borderId="63" xfId="1" applyFont="1" applyFill="1" applyBorder="1" applyAlignment="1">
      <alignment horizontal="right" vertical="center"/>
    </xf>
    <xf numFmtId="3" fontId="15" fillId="0" borderId="66" xfId="2" applyNumberFormat="1" applyFont="1" applyFill="1" applyBorder="1" applyAlignment="1">
      <alignment horizontal="right" vertical="center"/>
    </xf>
    <xf numFmtId="0" fontId="40" fillId="2" borderId="62" xfId="2" applyFont="1" applyFill="1" applyBorder="1" applyAlignment="1">
      <alignment vertical="top"/>
    </xf>
    <xf numFmtId="3" fontId="4" fillId="0" borderId="64" xfId="2" applyNumberFormat="1" applyFont="1" applyFill="1" applyBorder="1" applyAlignment="1">
      <alignment horizontal="right" vertical="center"/>
    </xf>
    <xf numFmtId="3" fontId="1" fillId="0" borderId="62" xfId="3" applyNumberFormat="1" applyFont="1" applyFill="1" applyBorder="1" applyAlignment="1">
      <alignment vertical="center"/>
    </xf>
    <xf numFmtId="3" fontId="4" fillId="0" borderId="64" xfId="2" applyNumberFormat="1" applyFont="1" applyFill="1" applyBorder="1" applyAlignment="1"/>
    <xf numFmtId="43" fontId="15" fillId="2" borderId="63" xfId="1" applyFont="1" applyFill="1" applyBorder="1" applyAlignment="1"/>
    <xf numFmtId="3" fontId="1" fillId="0" borderId="68" xfId="3" applyNumberFormat="1" applyFont="1" applyFill="1" applyBorder="1" applyAlignment="1">
      <alignment vertical="center"/>
    </xf>
    <xf numFmtId="43" fontId="1" fillId="0" borderId="69" xfId="1" applyFont="1" applyFill="1" applyBorder="1" applyAlignment="1">
      <alignment vertical="center"/>
    </xf>
    <xf numFmtId="0" fontId="3" fillId="15" borderId="77" xfId="2" applyFont="1" applyFill="1" applyBorder="1" applyAlignment="1">
      <alignment vertical="center" wrapText="1"/>
    </xf>
    <xf numFmtId="0" fontId="6" fillId="15" borderId="78" xfId="2" applyFont="1" applyFill="1" applyBorder="1" applyAlignment="1">
      <alignment horizontal="center" vertical="center" wrapText="1"/>
    </xf>
    <xf numFmtId="3" fontId="3" fillId="15" borderId="79" xfId="2" applyNumberFormat="1" applyFont="1" applyFill="1" applyBorder="1" applyAlignment="1">
      <alignment horizontal="right" vertical="center"/>
    </xf>
    <xf numFmtId="3" fontId="3" fillId="15" borderId="77" xfId="2" applyNumberFormat="1" applyFont="1" applyFill="1" applyBorder="1" applyAlignment="1">
      <alignment horizontal="right" vertical="center"/>
    </xf>
    <xf numFmtId="3" fontId="3" fillId="15" borderId="78" xfId="2" applyNumberFormat="1" applyFont="1" applyFill="1" applyBorder="1" applyAlignment="1">
      <alignment horizontal="right" vertical="center"/>
    </xf>
    <xf numFmtId="3" fontId="3" fillId="15" borderId="80" xfId="2" applyNumberFormat="1" applyFont="1" applyFill="1" applyBorder="1" applyAlignment="1">
      <alignment horizontal="right" vertical="center"/>
    </xf>
    <xf numFmtId="43" fontId="15" fillId="2" borderId="62" xfId="1" applyFont="1" applyFill="1" applyBorder="1" applyAlignment="1"/>
    <xf numFmtId="43" fontId="1" fillId="0" borderId="63" xfId="1" applyFont="1" applyFill="1" applyBorder="1" applyAlignment="1">
      <alignment vertical="center"/>
    </xf>
    <xf numFmtId="3" fontId="15" fillId="2" borderId="66" xfId="2" applyNumberFormat="1" applyFont="1" applyFill="1" applyBorder="1" applyAlignment="1"/>
    <xf numFmtId="43" fontId="3" fillId="15" borderId="59" xfId="1" applyFont="1" applyFill="1" applyBorder="1" applyAlignment="1">
      <alignment horizontal="right" vertical="center"/>
    </xf>
    <xf numFmtId="3" fontId="22" fillId="4" borderId="63" xfId="2" applyNumberFormat="1" applyFont="1" applyFill="1" applyBorder="1" applyAlignment="1">
      <alignment horizontal="right" vertical="center"/>
    </xf>
    <xf numFmtId="3" fontId="15" fillId="0" borderId="63" xfId="2" applyNumberFormat="1" applyFont="1" applyFill="1" applyBorder="1" applyAlignment="1">
      <alignment horizontal="right" vertical="center"/>
    </xf>
    <xf numFmtId="3" fontId="4" fillId="0" borderId="63" xfId="2" applyNumberFormat="1" applyFont="1" applyFill="1" applyBorder="1" applyAlignment="1">
      <alignment horizontal="right" vertical="center"/>
    </xf>
    <xf numFmtId="3" fontId="29" fillId="0" borderId="63" xfId="3" applyNumberFormat="1" applyFont="1" applyFill="1" applyBorder="1" applyAlignment="1">
      <alignment vertical="center"/>
    </xf>
    <xf numFmtId="43" fontId="3" fillId="4" borderId="62" xfId="1" applyFont="1" applyFill="1" applyBorder="1" applyAlignment="1"/>
    <xf numFmtId="3" fontId="3" fillId="4" borderId="65" xfId="2" applyNumberFormat="1" applyFont="1" applyFill="1" applyBorder="1" applyAlignment="1"/>
    <xf numFmtId="3" fontId="29" fillId="0" borderId="65" xfId="3" applyNumberFormat="1" applyFont="1" applyFill="1" applyBorder="1" applyAlignment="1">
      <alignment vertical="center"/>
    </xf>
    <xf numFmtId="3" fontId="3" fillId="2" borderId="62" xfId="2" applyNumberFormat="1" applyFont="1" applyFill="1" applyBorder="1" applyAlignment="1"/>
    <xf numFmtId="43" fontId="3" fillId="2" borderId="62" xfId="1" applyFont="1" applyFill="1" applyBorder="1" applyAlignment="1"/>
    <xf numFmtId="3" fontId="4" fillId="2" borderId="62" xfId="2" applyNumberFormat="1" applyFont="1" applyFill="1" applyBorder="1" applyAlignment="1"/>
    <xf numFmtId="3" fontId="4" fillId="2" borderId="65" xfId="2" applyNumberFormat="1" applyFont="1" applyFill="1" applyBorder="1" applyAlignment="1"/>
    <xf numFmtId="3" fontId="15" fillId="2" borderId="65" xfId="2" applyNumberFormat="1" applyFont="1" applyFill="1" applyBorder="1" applyAlignment="1"/>
    <xf numFmtId="43" fontId="1" fillId="0" borderId="68" xfId="1" applyFont="1" applyFill="1" applyBorder="1" applyAlignment="1">
      <alignment vertical="center"/>
    </xf>
    <xf numFmtId="3" fontId="1" fillId="0" borderId="85" xfId="3" applyNumberFormat="1" applyFont="1" applyFill="1" applyBorder="1" applyAlignment="1">
      <alignment vertical="center"/>
    </xf>
    <xf numFmtId="43" fontId="2" fillId="0" borderId="70" xfId="1" applyFont="1" applyFill="1" applyBorder="1" applyAlignment="1">
      <alignment horizontal="right" vertical="center"/>
    </xf>
    <xf numFmtId="3" fontId="15" fillId="2" borderId="64" xfId="2" applyNumberFormat="1" applyFont="1" applyFill="1" applyBorder="1" applyAlignment="1"/>
    <xf numFmtId="43" fontId="40" fillId="2" borderId="62" xfId="1" applyFont="1" applyFill="1" applyBorder="1" applyAlignment="1"/>
    <xf numFmtId="43" fontId="22" fillId="4" borderId="62" xfId="1" applyFont="1" applyFill="1" applyBorder="1" applyAlignment="1">
      <alignment horizontal="right" vertical="center"/>
    </xf>
    <xf numFmtId="43" fontId="15" fillId="0" borderId="62" xfId="1" applyFont="1" applyFill="1" applyBorder="1" applyAlignment="1">
      <alignment horizontal="right" vertical="center"/>
    </xf>
    <xf numFmtId="0" fontId="2" fillId="0" borderId="62" xfId="2" applyFont="1" applyFill="1" applyBorder="1" applyAlignment="1">
      <alignment horizontal="left" vertical="center"/>
    </xf>
    <xf numFmtId="43" fontId="1" fillId="0" borderId="62" xfId="1" applyFont="1" applyFill="1" applyBorder="1" applyAlignment="1">
      <alignment vertical="center"/>
    </xf>
    <xf numFmtId="3" fontId="22" fillId="15" borderId="57" xfId="2" applyNumberFormat="1" applyFont="1" applyFill="1" applyBorder="1" applyAlignment="1">
      <alignment horizontal="right" vertical="center"/>
    </xf>
    <xf numFmtId="3" fontId="22" fillId="15" borderId="58" xfId="2" applyNumberFormat="1" applyFont="1" applyFill="1" applyBorder="1" applyAlignment="1">
      <alignment horizontal="right" vertical="center"/>
    </xf>
    <xf numFmtId="3" fontId="22" fillId="15" borderId="59" xfId="2" applyNumberFormat="1" applyFont="1" applyFill="1" applyBorder="1" applyAlignment="1">
      <alignment horizontal="right" vertical="center"/>
    </xf>
    <xf numFmtId="3" fontId="22" fillId="15" borderId="60" xfId="2" applyNumberFormat="1" applyFont="1" applyFill="1" applyBorder="1" applyAlignment="1">
      <alignment horizontal="right" vertical="center"/>
    </xf>
    <xf numFmtId="3" fontId="15" fillId="2" borderId="77" xfId="2" applyNumberFormat="1" applyFont="1" applyFill="1" applyBorder="1" applyAlignment="1">
      <alignment vertical="top" wrapText="1"/>
    </xf>
    <xf numFmtId="3" fontId="15" fillId="0" borderId="79" xfId="2" applyNumberFormat="1" applyFont="1" applyFill="1" applyBorder="1" applyAlignment="1"/>
    <xf numFmtId="3" fontId="15" fillId="0" borderId="77" xfId="2" applyNumberFormat="1" applyFont="1" applyFill="1" applyBorder="1" applyAlignment="1"/>
    <xf numFmtId="165" fontId="29" fillId="0" borderId="77" xfId="3" applyNumberFormat="1" applyFont="1" applyFill="1" applyBorder="1" applyAlignment="1">
      <alignment vertical="center"/>
    </xf>
    <xf numFmtId="165" fontId="29" fillId="0" borderId="80" xfId="3" applyNumberFormat="1" applyFont="1" applyFill="1" applyBorder="1" applyAlignment="1">
      <alignment vertical="center"/>
    </xf>
    <xf numFmtId="3" fontId="15" fillId="0" borderId="79" xfId="2" applyNumberFormat="1" applyFont="1" applyFill="1" applyBorder="1" applyAlignment="1">
      <alignment horizontal="right" vertical="center"/>
    </xf>
    <xf numFmtId="3" fontId="15" fillId="0" borderId="77" xfId="2" applyNumberFormat="1" applyFont="1" applyFill="1" applyBorder="1" applyAlignment="1">
      <alignment horizontal="right" vertical="center"/>
    </xf>
    <xf numFmtId="43" fontId="15" fillId="0" borderId="77" xfId="1" applyFont="1" applyFill="1" applyBorder="1" applyAlignment="1">
      <alignment horizontal="right" vertical="center"/>
    </xf>
    <xf numFmtId="43" fontId="15" fillId="0" borderId="78" xfId="1" applyFont="1" applyFill="1" applyBorder="1" applyAlignment="1">
      <alignment horizontal="right" vertical="center"/>
    </xf>
    <xf numFmtId="43" fontId="29" fillId="0" borderId="80" xfId="1" applyFont="1" applyFill="1" applyBorder="1" applyAlignment="1">
      <alignment vertical="center"/>
    </xf>
    <xf numFmtId="43" fontId="2" fillId="0" borderId="85" xfId="1" applyFont="1" applyFill="1" applyBorder="1" applyAlignment="1">
      <alignment horizontal="right" vertical="center"/>
    </xf>
    <xf numFmtId="0" fontId="2" fillId="0" borderId="94" xfId="2" applyFont="1" applyFill="1" applyBorder="1" applyAlignment="1">
      <alignment vertical="center"/>
    </xf>
    <xf numFmtId="3" fontId="1" fillId="0" borderId="93" xfId="3" applyNumberFormat="1" applyFont="1" applyFill="1" applyBorder="1" applyAlignment="1">
      <alignment vertical="center"/>
    </xf>
    <xf numFmtId="3" fontId="2" fillId="0" borderId="94" xfId="2" applyNumberFormat="1" applyFont="1" applyFill="1" applyBorder="1" applyAlignment="1">
      <alignment horizontal="right" vertical="center"/>
    </xf>
    <xf numFmtId="43" fontId="2" fillId="0" borderId="95" xfId="1" applyFont="1" applyFill="1" applyBorder="1" applyAlignment="1">
      <alignment horizontal="right" vertical="center"/>
    </xf>
    <xf numFmtId="3" fontId="4" fillId="0" borderId="93" xfId="2" applyNumberFormat="1" applyFont="1" applyFill="1" applyBorder="1" applyAlignment="1">
      <alignment horizontal="right" vertical="center"/>
    </xf>
    <xf numFmtId="165" fontId="2" fillId="0" borderId="94" xfId="2" applyNumberFormat="1" applyFont="1" applyFill="1" applyBorder="1" applyAlignment="1">
      <alignment horizontal="right" vertical="center"/>
    </xf>
    <xf numFmtId="165" fontId="2" fillId="0" borderId="91" xfId="2" applyNumberFormat="1" applyFont="1" applyFill="1" applyBorder="1" applyAlignment="1">
      <alignment horizontal="right" vertical="center"/>
    </xf>
    <xf numFmtId="3" fontId="15" fillId="2" borderId="61" xfId="2" applyNumberFormat="1" applyFont="1" applyFill="1" applyBorder="1" applyAlignment="1">
      <alignment horizontal="right" vertical="center"/>
    </xf>
    <xf numFmtId="3" fontId="15" fillId="2" borderId="62" xfId="2" applyNumberFormat="1" applyFont="1" applyFill="1" applyBorder="1" applyAlignment="1">
      <alignment horizontal="right" vertical="center"/>
    </xf>
    <xf numFmtId="0" fontId="1" fillId="2" borderId="0" xfId="0" applyFont="1" applyFill="1" applyAlignment="1"/>
    <xf numFmtId="165" fontId="2" fillId="0" borderId="70" xfId="2" applyNumberFormat="1" applyFont="1" applyFill="1" applyBorder="1" applyAlignment="1">
      <alignment horizontal="right" vertical="center"/>
    </xf>
    <xf numFmtId="3" fontId="40" fillId="2" borderId="77" xfId="2" applyNumberFormat="1" applyFont="1" applyFill="1" applyBorder="1" applyAlignment="1">
      <alignment vertical="top" wrapText="1"/>
    </xf>
    <xf numFmtId="43" fontId="15" fillId="0" borderId="77" xfId="1" applyFont="1" applyFill="1" applyBorder="1" applyAlignment="1"/>
    <xf numFmtId="43" fontId="15" fillId="0" borderId="78" xfId="1" applyFont="1" applyFill="1" applyBorder="1" applyAlignment="1"/>
    <xf numFmtId="43" fontId="40" fillId="0" borderId="77" xfId="1" applyFont="1" applyFill="1" applyBorder="1" applyAlignment="1">
      <alignment horizontal="right" vertical="center"/>
    </xf>
    <xf numFmtId="3" fontId="2" fillId="2" borderId="62" xfId="2" applyNumberFormat="1" applyFont="1" applyFill="1" applyBorder="1" applyAlignment="1"/>
    <xf numFmtId="43" fontId="2" fillId="2" borderId="62" xfId="1" applyFont="1" applyFill="1" applyBorder="1" applyAlignment="1"/>
    <xf numFmtId="43" fontId="4" fillId="2" borderId="63" xfId="1" applyFont="1" applyFill="1" applyBorder="1" applyAlignment="1"/>
    <xf numFmtId="43" fontId="2" fillId="0" borderId="68" xfId="1" applyFont="1" applyFill="1" applyBorder="1" applyAlignment="1">
      <alignment horizontal="right"/>
    </xf>
    <xf numFmtId="43" fontId="2" fillId="0" borderId="85" xfId="1" applyFont="1" applyFill="1" applyBorder="1" applyAlignment="1">
      <alignment horizontal="right"/>
    </xf>
    <xf numFmtId="0" fontId="3" fillId="15" borderId="77" xfId="2" applyFont="1" applyFill="1" applyBorder="1" applyAlignment="1">
      <alignment vertical="top" wrapText="1"/>
    </xf>
    <xf numFmtId="165" fontId="15" fillId="0" borderId="64" xfId="2" applyNumberFormat="1" applyFont="1" applyFill="1" applyBorder="1" applyAlignment="1">
      <alignment horizontal="right" vertical="center"/>
    </xf>
    <xf numFmtId="0" fontId="4" fillId="0" borderId="62" xfId="2" applyFont="1" applyFill="1" applyBorder="1" applyAlignment="1">
      <alignment vertical="top"/>
    </xf>
    <xf numFmtId="3" fontId="4" fillId="0" borderId="65" xfId="2" applyNumberFormat="1" applyFont="1" applyFill="1" applyBorder="1" applyAlignment="1">
      <alignment horizontal="right" vertical="center"/>
    </xf>
    <xf numFmtId="0" fontId="4" fillId="0" borderId="68" xfId="2" applyFont="1" applyFill="1" applyBorder="1" applyAlignment="1">
      <alignment vertical="top"/>
    </xf>
    <xf numFmtId="43" fontId="4" fillId="2" borderId="68" xfId="1" applyFont="1" applyFill="1" applyBorder="1" applyAlignment="1"/>
    <xf numFmtId="3" fontId="4" fillId="2" borderId="68" xfId="2" applyNumberFormat="1" applyFont="1" applyFill="1" applyBorder="1" applyAlignment="1"/>
    <xf numFmtId="3" fontId="4" fillId="2" borderId="85" xfId="2" applyNumberFormat="1" applyFont="1" applyFill="1" applyBorder="1" applyAlignment="1"/>
    <xf numFmtId="0" fontId="22" fillId="15" borderId="58" xfId="2" applyFont="1" applyFill="1" applyBorder="1" applyAlignment="1">
      <alignment vertical="center" wrapText="1"/>
    </xf>
    <xf numFmtId="0" fontId="22" fillId="4" borderId="94" xfId="2" applyFont="1" applyFill="1" applyBorder="1" applyAlignment="1">
      <alignment horizontal="left" vertical="center"/>
    </xf>
    <xf numFmtId="0" fontId="7" fillId="4" borderId="95" xfId="2" applyFont="1" applyFill="1" applyBorder="1" applyAlignment="1">
      <alignment horizontal="left" vertical="center"/>
    </xf>
    <xf numFmtId="3" fontId="3" fillId="4" borderId="117" xfId="2" applyNumberFormat="1" applyFont="1" applyFill="1" applyBorder="1" applyAlignment="1"/>
    <xf numFmtId="3" fontId="3" fillId="4" borderId="91" xfId="2" applyNumberFormat="1" applyFont="1" applyFill="1" applyBorder="1" applyAlignment="1"/>
    <xf numFmtId="165" fontId="3" fillId="4" borderId="94" xfId="2" applyNumberFormat="1" applyFont="1" applyFill="1" applyBorder="1" applyAlignment="1"/>
    <xf numFmtId="3" fontId="22" fillId="4" borderId="94" xfId="2" applyNumberFormat="1" applyFont="1" applyFill="1" applyBorder="1" applyAlignment="1">
      <alignment horizontal="right" vertical="center"/>
    </xf>
    <xf numFmtId="165" fontId="3" fillId="4" borderId="91" xfId="2" applyNumberFormat="1" applyFont="1" applyFill="1" applyBorder="1" applyAlignment="1"/>
    <xf numFmtId="3" fontId="40" fillId="0" borderId="61" xfId="2" applyNumberFormat="1" applyFont="1" applyFill="1" applyBorder="1" applyAlignment="1"/>
    <xf numFmtId="3" fontId="40" fillId="0" borderId="62" xfId="2" applyNumberFormat="1" applyFont="1" applyFill="1" applyBorder="1" applyAlignment="1"/>
    <xf numFmtId="3" fontId="40" fillId="0" borderId="77" xfId="2" applyNumberFormat="1" applyFont="1" applyFill="1" applyBorder="1" applyAlignment="1">
      <alignment horizontal="right" vertical="center"/>
    </xf>
    <xf numFmtId="0" fontId="2" fillId="0" borderId="94" xfId="2" applyFont="1" applyFill="1" applyBorder="1" applyAlignment="1">
      <alignment vertical="top"/>
    </xf>
    <xf numFmtId="43" fontId="2" fillId="0" borderId="94" xfId="1" applyFont="1" applyFill="1" applyBorder="1" applyAlignment="1">
      <alignment horizontal="right" vertical="center"/>
    </xf>
    <xf numFmtId="3" fontId="2" fillId="0" borderId="94" xfId="2" applyNumberFormat="1" applyFont="1" applyFill="1" applyBorder="1" applyAlignment="1">
      <alignment horizontal="right"/>
    </xf>
    <xf numFmtId="43" fontId="2" fillId="0" borderId="95" xfId="1" applyFont="1" applyFill="1" applyBorder="1" applyAlignment="1">
      <alignment horizontal="right"/>
    </xf>
    <xf numFmtId="0" fontId="2" fillId="0" borderId="62" xfId="2" applyFont="1" applyFill="1" applyBorder="1" applyAlignment="1">
      <alignment horizontal="left" vertical="center" wrapText="1"/>
    </xf>
    <xf numFmtId="3" fontId="2" fillId="2" borderId="62" xfId="2" applyNumberFormat="1" applyFont="1" applyFill="1" applyBorder="1" applyAlignment="1">
      <alignment vertical="center"/>
    </xf>
    <xf numFmtId="43" fontId="4" fillId="0" borderId="68" xfId="1" applyFont="1" applyFill="1" applyBorder="1" applyAlignment="1">
      <alignment horizontal="right"/>
    </xf>
    <xf numFmtId="3" fontId="2" fillId="0" borderId="85" xfId="2" applyNumberFormat="1" applyFont="1" applyFill="1" applyBorder="1" applyAlignment="1">
      <alignment horizontal="right"/>
    </xf>
    <xf numFmtId="0" fontId="3" fillId="15" borderId="58" xfId="2" applyFont="1" applyFill="1" applyBorder="1" applyAlignment="1">
      <alignment horizontal="left" vertical="center" wrapText="1"/>
    </xf>
    <xf numFmtId="43" fontId="3" fillId="4" borderId="61" xfId="1" applyFont="1" applyFill="1" applyBorder="1" applyAlignment="1"/>
    <xf numFmtId="43" fontId="22" fillId="4" borderId="64" xfId="1" applyFont="1" applyFill="1" applyBorder="1" applyAlignment="1">
      <alignment horizontal="right" vertical="center"/>
    </xf>
    <xf numFmtId="43" fontId="15" fillId="2" borderId="61" xfId="1" applyFont="1" applyFill="1" applyBorder="1" applyAlignment="1"/>
    <xf numFmtId="43" fontId="15" fillId="0" borderId="64" xfId="1" applyFont="1" applyFill="1" applyBorder="1" applyAlignment="1">
      <alignment horizontal="right" vertical="center"/>
    </xf>
    <xf numFmtId="43" fontId="4" fillId="0" borderId="93" xfId="1" applyFont="1" applyFill="1" applyBorder="1" applyAlignment="1">
      <alignment horizontal="right" vertical="center"/>
    </xf>
    <xf numFmtId="165" fontId="4" fillId="0" borderId="94" xfId="2" applyNumberFormat="1" applyFont="1" applyFill="1" applyBorder="1" applyAlignment="1">
      <alignment horizontal="right" vertical="center"/>
    </xf>
    <xf numFmtId="3" fontId="1" fillId="0" borderId="94" xfId="3" applyNumberFormat="1" applyFont="1" applyFill="1" applyBorder="1" applyAlignment="1">
      <alignment vertical="center"/>
    </xf>
    <xf numFmtId="43" fontId="15" fillId="0" borderId="91" xfId="1" applyFont="1" applyFill="1" applyBorder="1" applyAlignment="1">
      <alignment horizontal="right" vertical="center"/>
    </xf>
    <xf numFmtId="0" fontId="22" fillId="15" borderId="58" xfId="2" applyFont="1" applyFill="1" applyBorder="1" applyAlignment="1">
      <alignment vertical="top" wrapText="1"/>
    </xf>
    <xf numFmtId="0" fontId="6" fillId="15" borderId="59" xfId="2" applyFont="1" applyFill="1" applyBorder="1" applyAlignment="1">
      <alignment vertical="top" wrapText="1"/>
    </xf>
    <xf numFmtId="43" fontId="29" fillId="0" borderId="61" xfId="1" applyFont="1" applyFill="1" applyBorder="1" applyAlignment="1">
      <alignment vertical="center"/>
    </xf>
    <xf numFmtId="43" fontId="4" fillId="0" borderId="61" xfId="1" applyFont="1" applyFill="1" applyBorder="1" applyAlignment="1">
      <alignment horizontal="right" vertical="center"/>
    </xf>
    <xf numFmtId="43" fontId="15" fillId="2" borderId="64" xfId="1" applyFont="1" applyFill="1" applyBorder="1" applyAlignment="1"/>
    <xf numFmtId="43" fontId="2" fillId="2" borderId="68" xfId="1" applyFont="1" applyFill="1" applyBorder="1" applyAlignment="1"/>
    <xf numFmtId="43" fontId="4" fillId="2" borderId="69" xfId="1" applyFont="1" applyFill="1" applyBorder="1" applyAlignment="1"/>
    <xf numFmtId="43" fontId="4" fillId="0" borderId="67" xfId="1" applyFont="1" applyFill="1" applyBorder="1" applyAlignment="1">
      <alignment horizontal="right" vertical="center"/>
    </xf>
    <xf numFmtId="43" fontId="1" fillId="0" borderId="70" xfId="1" applyFont="1" applyFill="1" applyBorder="1" applyAlignment="1">
      <alignment vertical="center"/>
    </xf>
    <xf numFmtId="0" fontId="22" fillId="15" borderId="77" xfId="2" applyFont="1" applyFill="1" applyBorder="1" applyAlignment="1">
      <alignment vertical="top" wrapText="1"/>
    </xf>
    <xf numFmtId="3" fontId="22" fillId="15" borderId="79" xfId="2" applyNumberFormat="1" applyFont="1" applyFill="1" applyBorder="1" applyAlignment="1">
      <alignment horizontal="right" vertical="center"/>
    </xf>
    <xf numFmtId="3" fontId="22" fillId="15" borderId="77" xfId="2" applyNumberFormat="1" applyFont="1" applyFill="1" applyBorder="1" applyAlignment="1">
      <alignment horizontal="right" vertical="center"/>
    </xf>
    <xf numFmtId="3" fontId="22" fillId="15" borderId="78" xfId="2" applyNumberFormat="1" applyFont="1" applyFill="1" applyBorder="1" applyAlignment="1">
      <alignment horizontal="right" vertical="center"/>
    </xf>
    <xf numFmtId="3" fontId="22" fillId="15" borderId="80" xfId="2" applyNumberFormat="1" applyFont="1" applyFill="1" applyBorder="1" applyAlignment="1">
      <alignment horizontal="right" vertical="center"/>
    </xf>
    <xf numFmtId="43" fontId="15" fillId="2" borderId="68" xfId="1" applyFont="1" applyFill="1" applyBorder="1" applyAlignment="1"/>
    <xf numFmtId="43" fontId="15" fillId="2" borderId="65" xfId="1" applyFont="1" applyFill="1" applyBorder="1" applyAlignment="1"/>
    <xf numFmtId="0" fontId="4" fillId="0" borderId="94" xfId="2" applyFont="1" applyFill="1" applyBorder="1" applyAlignment="1">
      <alignment vertical="top"/>
    </xf>
    <xf numFmtId="43" fontId="1" fillId="0" borderId="93" xfId="1" applyFont="1" applyFill="1" applyBorder="1" applyAlignment="1">
      <alignment vertical="center"/>
    </xf>
    <xf numFmtId="43" fontId="4" fillId="2" borderId="94" xfId="1" applyFont="1" applyFill="1" applyBorder="1" applyAlignment="1"/>
    <xf numFmtId="43" fontId="4" fillId="2" borderId="100" xfId="1" applyFont="1" applyFill="1" applyBorder="1" applyAlignment="1"/>
    <xf numFmtId="43" fontId="1" fillId="0" borderId="94" xfId="1" applyFont="1" applyFill="1" applyBorder="1" applyAlignment="1">
      <alignment vertical="center"/>
    </xf>
    <xf numFmtId="43" fontId="1" fillId="0" borderId="91" xfId="1" applyFont="1" applyFill="1" applyBorder="1" applyAlignment="1">
      <alignment vertical="center"/>
    </xf>
    <xf numFmtId="3" fontId="22" fillId="4" borderId="61" xfId="2" applyNumberFormat="1" applyFont="1" applyFill="1" applyBorder="1" applyAlignment="1"/>
    <xf numFmtId="43" fontId="22" fillId="4" borderId="62" xfId="1" applyFont="1" applyFill="1" applyBorder="1" applyAlignment="1"/>
    <xf numFmtId="3" fontId="22" fillId="4" borderId="65" xfId="2" applyNumberFormat="1" applyFont="1" applyFill="1" applyBorder="1" applyAlignment="1">
      <alignment horizontal="right" vertical="center"/>
    </xf>
    <xf numFmtId="3" fontId="15" fillId="0" borderId="65" xfId="2" applyNumberFormat="1" applyFont="1" applyFill="1" applyBorder="1" applyAlignment="1">
      <alignment horizontal="right" vertical="center"/>
    </xf>
    <xf numFmtId="3" fontId="4" fillId="0" borderId="85" xfId="2" applyNumberFormat="1" applyFont="1" applyFill="1" applyBorder="1" applyAlignment="1">
      <alignment horizontal="right" vertical="center"/>
    </xf>
    <xf numFmtId="0" fontId="3" fillId="18" borderId="58" xfId="2" applyFont="1" applyFill="1" applyBorder="1" applyAlignment="1">
      <alignment vertical="center"/>
    </xf>
    <xf numFmtId="0" fontId="6" fillId="18" borderId="59" xfId="2" applyFont="1" applyFill="1" applyBorder="1" applyAlignment="1">
      <alignment vertical="top" wrapText="1"/>
    </xf>
    <xf numFmtId="0" fontId="7" fillId="20" borderId="63" xfId="2" applyFont="1" applyFill="1" applyBorder="1" applyAlignment="1">
      <alignment horizontal="left" vertical="center"/>
    </xf>
    <xf numFmtId="165" fontId="3" fillId="20" borderId="62" xfId="2" applyNumberFormat="1" applyFont="1" applyFill="1" applyBorder="1" applyAlignment="1">
      <alignment horizontal="right" vertical="center"/>
    </xf>
    <xf numFmtId="3" fontId="3" fillId="20" borderId="64" xfId="2" applyNumberFormat="1" applyFont="1" applyFill="1" applyBorder="1" applyAlignment="1">
      <alignment horizontal="right" vertical="center"/>
    </xf>
    <xf numFmtId="0" fontId="40" fillId="18" borderId="77" xfId="2" applyFont="1" applyFill="1" applyBorder="1" applyAlignment="1">
      <alignment horizontal="left" vertical="center"/>
    </xf>
    <xf numFmtId="3" fontId="40" fillId="18" borderId="79" xfId="2" applyNumberFormat="1" applyFont="1" applyFill="1" applyBorder="1" applyAlignment="1">
      <alignment horizontal="right" vertical="center"/>
    </xf>
    <xf numFmtId="3" fontId="40" fillId="18" borderId="77" xfId="2" applyNumberFormat="1" applyFont="1" applyFill="1" applyBorder="1" applyAlignment="1">
      <alignment horizontal="right" vertical="center"/>
    </xf>
    <xf numFmtId="3" fontId="40" fillId="18" borderId="78" xfId="2" applyNumberFormat="1" applyFont="1" applyFill="1" applyBorder="1" applyAlignment="1">
      <alignment horizontal="right" vertical="center"/>
    </xf>
    <xf numFmtId="165" fontId="40" fillId="18" borderId="77" xfId="2" applyNumberFormat="1" applyFont="1" applyFill="1" applyBorder="1" applyAlignment="1">
      <alignment horizontal="right" vertical="center"/>
    </xf>
    <xf numFmtId="165" fontId="40" fillId="18" borderId="80" xfId="2" applyNumberFormat="1" applyFont="1" applyFill="1" applyBorder="1" applyAlignment="1">
      <alignment horizontal="right" vertical="center"/>
    </xf>
    <xf numFmtId="3" fontId="40" fillId="18" borderId="80" xfId="2" applyNumberFormat="1" applyFont="1" applyFill="1" applyBorder="1" applyAlignment="1">
      <alignment horizontal="right" vertical="center"/>
    </xf>
    <xf numFmtId="0" fontId="17" fillId="0" borderId="0" xfId="0" applyFont="1" applyFill="1"/>
    <xf numFmtId="165" fontId="2" fillId="18" borderId="62" xfId="2" applyNumberFormat="1" applyFont="1" applyFill="1" applyBorder="1" applyAlignment="1">
      <alignment horizontal="right" vertical="center"/>
    </xf>
    <xf numFmtId="3" fontId="2" fillId="18" borderId="64" xfId="2" applyNumberFormat="1" applyFont="1" applyFill="1" applyBorder="1" applyAlignment="1">
      <alignment horizontal="right" vertical="center"/>
    </xf>
    <xf numFmtId="3" fontId="15" fillId="18" borderId="61" xfId="2" applyNumberFormat="1" applyFont="1" applyFill="1" applyBorder="1" applyAlignment="1">
      <alignment horizontal="right" vertical="center"/>
    </xf>
    <xf numFmtId="43" fontId="40" fillId="18" borderId="62" xfId="1" applyFont="1" applyFill="1" applyBorder="1" applyAlignment="1">
      <alignment horizontal="right" vertical="center"/>
    </xf>
    <xf numFmtId="43" fontId="40" fillId="18" borderId="80" xfId="1" applyFont="1" applyFill="1" applyBorder="1" applyAlignment="1">
      <alignment horizontal="right" vertical="center"/>
    </xf>
    <xf numFmtId="43" fontId="2" fillId="18" borderId="64" xfId="1" applyFont="1" applyFill="1" applyBorder="1" applyAlignment="1">
      <alignment horizontal="right" vertical="center"/>
    </xf>
    <xf numFmtId="3" fontId="22" fillId="20" borderId="61" xfId="2" applyNumberFormat="1" applyFont="1" applyFill="1" applyBorder="1" applyAlignment="1">
      <alignment horizontal="right" vertical="center"/>
    </xf>
    <xf numFmtId="0" fontId="15" fillId="18" borderId="77" xfId="2" applyFont="1" applyFill="1" applyBorder="1" applyAlignment="1">
      <alignment vertical="top"/>
    </xf>
    <xf numFmtId="3" fontId="15" fillId="18" borderId="79" xfId="2" applyNumberFormat="1" applyFont="1" applyFill="1" applyBorder="1" applyAlignment="1">
      <alignment horizontal="right" vertical="center"/>
    </xf>
    <xf numFmtId="0" fontId="2" fillId="18" borderId="68" xfId="2" applyFont="1" applyFill="1" applyBorder="1" applyAlignment="1">
      <alignment vertical="top"/>
    </xf>
    <xf numFmtId="3" fontId="2" fillId="18" borderId="67" xfId="2" applyNumberFormat="1" applyFont="1" applyFill="1" applyBorder="1" applyAlignment="1">
      <alignment horizontal="right" vertical="center"/>
    </xf>
    <xf numFmtId="3" fontId="2" fillId="18" borderId="68" xfId="2" applyNumberFormat="1" applyFont="1" applyFill="1" applyBorder="1" applyAlignment="1">
      <alignment horizontal="right" vertical="center"/>
    </xf>
    <xf numFmtId="3" fontId="2" fillId="18" borderId="69" xfId="2" applyNumberFormat="1" applyFont="1" applyFill="1" applyBorder="1" applyAlignment="1">
      <alignment horizontal="right" vertical="center"/>
    </xf>
    <xf numFmtId="165" fontId="2" fillId="18" borderId="68" xfId="2" applyNumberFormat="1" applyFont="1" applyFill="1" applyBorder="1" applyAlignment="1">
      <alignment horizontal="right" vertical="center"/>
    </xf>
    <xf numFmtId="165" fontId="2" fillId="18" borderId="70" xfId="2" applyNumberFormat="1" applyFont="1" applyFill="1" applyBorder="1" applyAlignment="1">
      <alignment horizontal="right" vertical="center"/>
    </xf>
    <xf numFmtId="0" fontId="22" fillId="10" borderId="77" xfId="2" applyFont="1" applyFill="1" applyBorder="1" applyAlignment="1">
      <alignment horizontal="left" vertical="center" wrapText="1"/>
    </xf>
    <xf numFmtId="0" fontId="7" fillId="10" borderId="78" xfId="2" applyFont="1" applyFill="1" applyBorder="1" applyAlignment="1">
      <alignment horizontal="left" vertical="center" wrapText="1"/>
    </xf>
    <xf numFmtId="3" fontId="4" fillId="10" borderId="79" xfId="2" applyNumberFormat="1" applyFont="1" applyFill="1" applyBorder="1" applyAlignment="1">
      <alignment horizontal="right" vertical="center"/>
    </xf>
    <xf numFmtId="3" fontId="3" fillId="10" borderId="77" xfId="2" applyNumberFormat="1" applyFont="1" applyFill="1" applyBorder="1" applyAlignment="1">
      <alignment horizontal="right" vertical="center"/>
    </xf>
    <xf numFmtId="3" fontId="3" fillId="10" borderId="78" xfId="2" applyNumberFormat="1" applyFont="1" applyFill="1" applyBorder="1" applyAlignment="1">
      <alignment horizontal="right" vertical="center"/>
    </xf>
    <xf numFmtId="3" fontId="3" fillId="10" borderId="79" xfId="2" applyNumberFormat="1" applyFont="1" applyFill="1" applyBorder="1" applyAlignment="1">
      <alignment horizontal="right" vertical="center"/>
    </xf>
    <xf numFmtId="165" fontId="4" fillId="0" borderId="77" xfId="2" applyNumberFormat="1" applyFont="1" applyFill="1" applyBorder="1" applyAlignment="1">
      <alignment horizontal="right" vertical="center"/>
    </xf>
    <xf numFmtId="165" fontId="4" fillId="0" borderId="80" xfId="2" applyNumberFormat="1" applyFont="1" applyFill="1" applyBorder="1" applyAlignment="1">
      <alignment horizontal="right" vertical="center"/>
    </xf>
    <xf numFmtId="3" fontId="3" fillId="10" borderId="80" xfId="2" applyNumberFormat="1" applyFont="1" applyFill="1" applyBorder="1" applyAlignment="1">
      <alignment horizontal="right" vertical="center"/>
    </xf>
    <xf numFmtId="3" fontId="18" fillId="4" borderId="61" xfId="3" applyNumberFormat="1" applyFont="1" applyFill="1" applyBorder="1" applyAlignment="1">
      <alignment horizontal="right" vertical="center"/>
    </xf>
    <xf numFmtId="3" fontId="18" fillId="4" borderId="62" xfId="3" applyNumberFormat="1" applyFont="1" applyFill="1" applyBorder="1" applyAlignment="1">
      <alignment horizontal="right" vertical="center"/>
    </xf>
    <xf numFmtId="3" fontId="18" fillId="4" borderId="63" xfId="3" applyNumberFormat="1" applyFont="1" applyFill="1" applyBorder="1" applyAlignment="1">
      <alignment horizontal="right" vertical="center"/>
    </xf>
    <xf numFmtId="3" fontId="18" fillId="4" borderId="64" xfId="3" applyNumberFormat="1" applyFont="1" applyFill="1" applyBorder="1" applyAlignment="1">
      <alignment horizontal="right" vertical="center"/>
    </xf>
    <xf numFmtId="3" fontId="29" fillId="2" borderId="61" xfId="3" applyNumberFormat="1" applyFont="1" applyFill="1" applyBorder="1" applyAlignment="1">
      <alignment horizontal="right" vertical="center"/>
    </xf>
    <xf numFmtId="3" fontId="29" fillId="2" borderId="62" xfId="3" applyNumberFormat="1" applyFont="1" applyFill="1" applyBorder="1" applyAlignment="1">
      <alignment horizontal="right" vertical="center"/>
    </xf>
    <xf numFmtId="3" fontId="29" fillId="2" borderId="63" xfId="3" applyNumberFormat="1" applyFont="1" applyFill="1" applyBorder="1" applyAlignment="1">
      <alignment horizontal="right" vertical="center"/>
    </xf>
    <xf numFmtId="3" fontId="29" fillId="2" borderId="64" xfId="3" applyNumberFormat="1" applyFont="1" applyFill="1" applyBorder="1" applyAlignment="1">
      <alignment horizontal="right" vertical="center"/>
    </xf>
    <xf numFmtId="3" fontId="15" fillId="2" borderId="63" xfId="2" applyNumberFormat="1" applyFont="1" applyFill="1" applyBorder="1" applyAlignment="1"/>
    <xf numFmtId="3" fontId="2" fillId="0" borderId="93" xfId="2" applyNumberFormat="1" applyFont="1" applyFill="1" applyBorder="1" applyAlignment="1">
      <alignment horizontal="right"/>
    </xf>
    <xf numFmtId="3" fontId="2" fillId="0" borderId="95" xfId="2" applyNumberFormat="1" applyFont="1" applyFill="1" applyBorder="1" applyAlignment="1">
      <alignment horizontal="right"/>
    </xf>
    <xf numFmtId="165" fontId="4" fillId="0" borderId="91" xfId="2" applyNumberFormat="1" applyFont="1" applyFill="1" applyBorder="1" applyAlignment="1">
      <alignment horizontal="right" vertical="center"/>
    </xf>
    <xf numFmtId="3" fontId="2" fillId="0" borderId="91" xfId="2" applyNumberFormat="1" applyFont="1" applyFill="1" applyBorder="1" applyAlignment="1">
      <alignment horizontal="right"/>
    </xf>
    <xf numFmtId="3" fontId="3" fillId="4" borderId="61" xfId="2" applyNumberFormat="1" applyFont="1" applyFill="1" applyBorder="1" applyAlignment="1">
      <alignment horizontal="right" vertical="center"/>
    </xf>
    <xf numFmtId="3" fontId="3" fillId="4" borderId="62" xfId="2" applyNumberFormat="1" applyFont="1" applyFill="1" applyBorder="1" applyAlignment="1">
      <alignment horizontal="right" vertical="center"/>
    </xf>
    <xf numFmtId="43" fontId="3" fillId="4" borderId="62" xfId="1" applyFont="1" applyFill="1" applyBorder="1" applyAlignment="1">
      <alignment horizontal="right" vertical="center"/>
    </xf>
    <xf numFmtId="43" fontId="3" fillId="4" borderId="65" xfId="1" applyFont="1" applyFill="1" applyBorder="1" applyAlignment="1">
      <alignment horizontal="right" vertical="center"/>
    </xf>
    <xf numFmtId="43" fontId="15" fillId="0" borderId="62" xfId="1" applyFont="1" applyFill="1" applyBorder="1" applyAlignment="1"/>
    <xf numFmtId="43" fontId="3" fillId="4" borderId="63" xfId="1" applyFont="1" applyFill="1" applyBorder="1" applyAlignment="1">
      <alignment horizontal="right" vertical="center"/>
    </xf>
    <xf numFmtId="0" fontId="22" fillId="9" borderId="58" xfId="2" applyFont="1" applyFill="1" applyBorder="1" applyAlignment="1">
      <alignment horizontal="left" vertical="center" wrapText="1"/>
    </xf>
    <xf numFmtId="0" fontId="7" fillId="9" borderId="59" xfId="2" applyFont="1" applyFill="1" applyBorder="1" applyAlignment="1">
      <alignment horizontal="left" vertical="center" wrapText="1"/>
    </xf>
    <xf numFmtId="3" fontId="3" fillId="9" borderId="57" xfId="2" applyNumberFormat="1" applyFont="1" applyFill="1" applyBorder="1" applyAlignment="1">
      <alignment horizontal="right" vertical="center"/>
    </xf>
    <xf numFmtId="3" fontId="3" fillId="9" borderId="58" xfId="2" applyNumberFormat="1" applyFont="1" applyFill="1" applyBorder="1" applyAlignment="1">
      <alignment horizontal="right" vertical="center"/>
    </xf>
    <xf numFmtId="43" fontId="18" fillId="4" borderId="61" xfId="1" applyFont="1" applyFill="1" applyBorder="1" applyAlignment="1">
      <alignment horizontal="right" vertical="center"/>
    </xf>
    <xf numFmtId="43" fontId="18" fillId="4" borderId="62" xfId="1" applyFont="1" applyFill="1" applyBorder="1" applyAlignment="1">
      <alignment horizontal="right" vertical="center"/>
    </xf>
    <xf numFmtId="43" fontId="18" fillId="4" borderId="63" xfId="1" applyFont="1" applyFill="1" applyBorder="1" applyAlignment="1">
      <alignment horizontal="right" vertical="center"/>
    </xf>
    <xf numFmtId="43" fontId="29" fillId="0" borderId="61" xfId="1" applyFont="1" applyFill="1" applyBorder="1" applyAlignment="1">
      <alignment horizontal="right" vertical="center"/>
    </xf>
    <xf numFmtId="43" fontId="29" fillId="0" borderId="62" xfId="1" applyFont="1" applyFill="1" applyBorder="1" applyAlignment="1">
      <alignment horizontal="right" vertical="center"/>
    </xf>
    <xf numFmtId="43" fontId="29" fillId="0" borderId="63" xfId="1" applyFont="1" applyFill="1" applyBorder="1" applyAlignment="1">
      <alignment horizontal="right" vertical="center"/>
    </xf>
    <xf numFmtId="43" fontId="4" fillId="2" borderId="61" xfId="1" applyFont="1" applyFill="1" applyBorder="1" applyAlignment="1">
      <alignment horizontal="right" vertical="center"/>
    </xf>
    <xf numFmtId="3" fontId="15" fillId="2" borderId="62" xfId="2" applyNumberFormat="1" applyFont="1" applyFill="1" applyBorder="1" applyAlignment="1">
      <alignment vertical="center" wrapText="1"/>
    </xf>
    <xf numFmtId="43" fontId="2" fillId="0" borderId="93" xfId="1" applyFont="1" applyFill="1" applyBorder="1" applyAlignment="1">
      <alignment horizontal="right"/>
    </xf>
    <xf numFmtId="43" fontId="2" fillId="0" borderId="94" xfId="1" applyFont="1" applyFill="1" applyBorder="1" applyAlignment="1">
      <alignment horizontal="right"/>
    </xf>
    <xf numFmtId="0" fontId="3" fillId="19" borderId="17" xfId="2" applyFont="1" applyFill="1" applyBorder="1" applyAlignment="1">
      <alignment horizontal="center" vertical="top"/>
    </xf>
    <xf numFmtId="0" fontId="3" fillId="18" borderId="98" xfId="2" applyFont="1" applyFill="1" applyBorder="1" applyAlignment="1">
      <alignment vertical="center" wrapText="1"/>
    </xf>
    <xf numFmtId="0" fontId="3" fillId="19" borderId="7" xfId="2" applyFont="1" applyFill="1" applyBorder="1" applyAlignment="1">
      <alignment horizontal="center" vertical="top"/>
    </xf>
    <xf numFmtId="0" fontId="22" fillId="20" borderId="66" xfId="2" applyFont="1" applyFill="1" applyBorder="1" applyAlignment="1">
      <alignment horizontal="left" vertical="center"/>
    </xf>
    <xf numFmtId="3" fontId="40" fillId="18" borderId="99" xfId="2" applyNumberFormat="1" applyFont="1" applyFill="1" applyBorder="1" applyAlignment="1">
      <alignment vertical="top" wrapText="1"/>
    </xf>
    <xf numFmtId="3" fontId="2" fillId="18" borderId="77" xfId="2" applyNumberFormat="1" applyFont="1" applyFill="1" applyBorder="1" applyAlignment="1">
      <alignment horizontal="right" vertical="center"/>
    </xf>
    <xf numFmtId="3" fontId="2" fillId="18" borderId="80" xfId="2" applyNumberFormat="1" applyFont="1" applyFill="1" applyBorder="1" applyAlignment="1">
      <alignment horizontal="right" vertical="center"/>
    </xf>
    <xf numFmtId="3" fontId="2" fillId="18" borderId="66" xfId="2" applyNumberFormat="1" applyFont="1" applyFill="1" applyBorder="1" applyAlignment="1">
      <alignment vertical="top" wrapText="1"/>
    </xf>
    <xf numFmtId="0" fontId="2" fillId="18" borderId="66" xfId="2" applyFont="1" applyFill="1" applyBorder="1" applyAlignment="1">
      <alignment vertical="top"/>
    </xf>
    <xf numFmtId="0" fontId="40" fillId="18" borderId="66" xfId="2" applyFont="1" applyFill="1" applyBorder="1" applyAlignment="1">
      <alignment vertical="top"/>
    </xf>
    <xf numFmtId="165" fontId="22" fillId="18" borderId="64" xfId="2" applyNumberFormat="1" applyFont="1" applyFill="1" applyBorder="1" applyAlignment="1">
      <alignment horizontal="right" vertical="center"/>
    </xf>
    <xf numFmtId="3" fontId="40" fillId="18" borderId="64" xfId="2" applyNumberFormat="1" applyFont="1" applyFill="1" applyBorder="1" applyAlignment="1">
      <alignment horizontal="right" vertical="center"/>
    </xf>
    <xf numFmtId="0" fontId="4" fillId="18" borderId="118" xfId="2" applyFont="1" applyFill="1" applyBorder="1" applyAlignment="1">
      <alignment vertical="top"/>
    </xf>
    <xf numFmtId="3" fontId="4" fillId="18" borderId="61" xfId="2" applyNumberFormat="1" applyFont="1" applyFill="1" applyBorder="1" applyAlignment="1">
      <alignment horizontal="right" vertical="center"/>
    </xf>
    <xf numFmtId="3" fontId="4" fillId="18" borderId="62" xfId="2" applyNumberFormat="1" applyFont="1" applyFill="1" applyBorder="1" applyAlignment="1">
      <alignment horizontal="right" vertical="center"/>
    </xf>
    <xf numFmtId="3" fontId="4" fillId="18" borderId="63" xfId="2" applyNumberFormat="1" applyFont="1" applyFill="1" applyBorder="1" applyAlignment="1">
      <alignment horizontal="right" vertical="center"/>
    </xf>
    <xf numFmtId="43" fontId="4" fillId="18" borderId="62" xfId="1" applyFont="1" applyFill="1" applyBorder="1" applyAlignment="1">
      <alignment horizontal="right" vertical="center"/>
    </xf>
    <xf numFmtId="43" fontId="4" fillId="18" borderId="64" xfId="1" applyFont="1" applyFill="1" applyBorder="1" applyAlignment="1">
      <alignment horizontal="right" vertical="center"/>
    </xf>
    <xf numFmtId="3" fontId="4" fillId="18" borderId="64" xfId="2" applyNumberFormat="1" applyFont="1" applyFill="1" applyBorder="1" applyAlignment="1">
      <alignment horizontal="right" vertical="center"/>
    </xf>
    <xf numFmtId="3" fontId="15" fillId="18" borderId="99" xfId="2" applyNumberFormat="1" applyFont="1" applyFill="1" applyBorder="1" applyAlignment="1">
      <alignment vertical="top" wrapText="1"/>
    </xf>
    <xf numFmtId="3" fontId="29" fillId="18" borderId="79" xfId="3" applyNumberFormat="1" applyFont="1" applyFill="1" applyBorder="1" applyAlignment="1">
      <alignment vertical="center"/>
    </xf>
    <xf numFmtId="3" fontId="29" fillId="18" borderId="77" xfId="3" applyNumberFormat="1" applyFont="1" applyFill="1" applyBorder="1" applyAlignment="1">
      <alignment vertical="center"/>
    </xf>
    <xf numFmtId="3" fontId="29" fillId="18" borderId="78" xfId="3" applyNumberFormat="1" applyFont="1" applyFill="1" applyBorder="1" applyAlignment="1">
      <alignment vertical="center"/>
    </xf>
    <xf numFmtId="165" fontId="2" fillId="18" borderId="77" xfId="2" applyNumberFormat="1" applyFont="1" applyFill="1" applyBorder="1" applyAlignment="1">
      <alignment horizontal="right" vertical="center"/>
    </xf>
    <xf numFmtId="165" fontId="2" fillId="18" borderId="80" xfId="2" applyNumberFormat="1" applyFont="1" applyFill="1" applyBorder="1" applyAlignment="1">
      <alignment horizontal="right" vertical="center"/>
    </xf>
    <xf numFmtId="0" fontId="2" fillId="19" borderId="7" xfId="2" applyFont="1" applyFill="1" applyBorder="1" applyAlignment="1">
      <alignment horizontal="center" vertical="top"/>
    </xf>
    <xf numFmtId="0" fontId="2" fillId="18" borderId="66" xfId="2" applyFont="1" applyFill="1" applyBorder="1" applyAlignment="1">
      <alignment horizontal="left" vertical="center"/>
    </xf>
    <xf numFmtId="0" fontId="3" fillId="18" borderId="66" xfId="2" applyFont="1" applyFill="1" applyBorder="1" applyAlignment="1">
      <alignment vertical="top"/>
    </xf>
    <xf numFmtId="3" fontId="18" fillId="18" borderId="61" xfId="3" applyNumberFormat="1" applyFont="1" applyFill="1" applyBorder="1" applyAlignment="1">
      <alignment vertical="center"/>
    </xf>
    <xf numFmtId="3" fontId="18" fillId="18" borderId="62" xfId="3" applyNumberFormat="1" applyFont="1" applyFill="1" applyBorder="1" applyAlignment="1">
      <alignment vertical="center"/>
    </xf>
    <xf numFmtId="3" fontId="18" fillId="18" borderId="63" xfId="3" applyNumberFormat="1" applyFont="1" applyFill="1" applyBorder="1" applyAlignment="1">
      <alignment vertical="center"/>
    </xf>
    <xf numFmtId="0" fontId="18" fillId="0" borderId="0" xfId="0" applyFont="1"/>
    <xf numFmtId="3" fontId="1" fillId="18" borderId="93" xfId="3" applyNumberFormat="1" applyFont="1" applyFill="1" applyBorder="1" applyAlignment="1">
      <alignment vertical="center"/>
    </xf>
    <xf numFmtId="3" fontId="1" fillId="18" borderId="117" xfId="3" applyNumberFormat="1" applyFont="1" applyFill="1" applyBorder="1" applyAlignment="1">
      <alignment vertical="center"/>
    </xf>
    <xf numFmtId="3" fontId="1" fillId="18" borderId="118" xfId="3" applyNumberFormat="1" applyFont="1" applyFill="1" applyBorder="1" applyAlignment="1">
      <alignment vertical="center"/>
    </xf>
    <xf numFmtId="3" fontId="1" fillId="18" borderId="94" xfId="3" applyNumberFormat="1" applyFont="1" applyFill="1" applyBorder="1" applyAlignment="1">
      <alignment vertical="center"/>
    </xf>
    <xf numFmtId="0" fontId="2" fillId="19" borderId="11" xfId="2" applyFont="1" applyFill="1" applyBorder="1" applyAlignment="1">
      <alignment horizontal="center" vertical="top"/>
    </xf>
    <xf numFmtId="0" fontId="23" fillId="18" borderId="96" xfId="2" applyFont="1" applyFill="1" applyBorder="1" applyAlignment="1">
      <alignment vertical="top"/>
    </xf>
    <xf numFmtId="3" fontId="17" fillId="18" borderId="67" xfId="3" applyNumberFormat="1" applyFont="1" applyFill="1" applyBorder="1" applyAlignment="1">
      <alignment vertical="center"/>
    </xf>
    <xf numFmtId="3" fontId="17" fillId="18" borderId="68" xfId="3" applyNumberFormat="1" applyFont="1" applyFill="1" applyBorder="1" applyAlignment="1">
      <alignment vertical="center"/>
    </xf>
    <xf numFmtId="3" fontId="17" fillId="18" borderId="69" xfId="3" applyNumberFormat="1" applyFont="1" applyFill="1" applyBorder="1" applyAlignment="1">
      <alignment vertical="center"/>
    </xf>
    <xf numFmtId="0" fontId="3" fillId="15" borderId="18" xfId="0" applyFont="1" applyFill="1" applyBorder="1" applyAlignment="1">
      <alignment horizontal="left" vertical="center" wrapText="1"/>
    </xf>
    <xf numFmtId="43" fontId="2" fillId="15" borderId="17" xfId="1" applyFont="1" applyFill="1" applyBorder="1" applyAlignment="1">
      <alignment horizontal="right"/>
    </xf>
    <xf numFmtId="43" fontId="2" fillId="15" borderId="20" xfId="1" applyFont="1" applyFill="1" applyBorder="1" applyAlignment="1">
      <alignment horizontal="right"/>
    </xf>
    <xf numFmtId="3" fontId="2" fillId="15" borderId="20" xfId="1" applyNumberFormat="1" applyFont="1" applyFill="1" applyBorder="1" applyAlignment="1">
      <alignment horizontal="right" vertical="center"/>
    </xf>
    <xf numFmtId="43" fontId="2" fillId="15" borderId="81" xfId="1" applyFont="1" applyFill="1" applyBorder="1" applyAlignment="1">
      <alignment horizontal="right"/>
    </xf>
    <xf numFmtId="3" fontId="2" fillId="15" borderId="17" xfId="1" applyNumberFormat="1" applyFont="1" applyFill="1" applyBorder="1" applyAlignment="1">
      <alignment horizontal="right" vertical="center"/>
    </xf>
    <xf numFmtId="43" fontId="2" fillId="15" borderId="34" xfId="1" applyFont="1" applyFill="1" applyBorder="1" applyAlignment="1">
      <alignment horizontal="right"/>
    </xf>
    <xf numFmtId="3" fontId="2" fillId="15" borderId="34" xfId="1" applyNumberFormat="1" applyFont="1" applyFill="1" applyBorder="1" applyAlignment="1">
      <alignment horizontal="right" vertical="center"/>
    </xf>
    <xf numFmtId="0" fontId="22" fillId="4" borderId="118" xfId="2" applyFont="1" applyFill="1" applyBorder="1" applyAlignment="1">
      <alignment horizontal="left" vertical="center"/>
    </xf>
    <xf numFmtId="3" fontId="6" fillId="4" borderId="63" xfId="0" applyNumberFormat="1" applyFont="1" applyFill="1" applyBorder="1" applyAlignment="1">
      <alignment horizontal="right" vertical="center"/>
    </xf>
    <xf numFmtId="3" fontId="3" fillId="4" borderId="61" xfId="0" applyNumberFormat="1" applyFont="1" applyFill="1" applyBorder="1" applyAlignment="1">
      <alignment horizontal="right" vertical="center"/>
    </xf>
    <xf numFmtId="3" fontId="3" fillId="4" borderId="62" xfId="0" applyNumberFormat="1" applyFont="1" applyFill="1" applyBorder="1" applyAlignment="1">
      <alignment horizontal="right" vertical="center"/>
    </xf>
    <xf numFmtId="3" fontId="3" fillId="4" borderId="65" xfId="0" applyNumberFormat="1" applyFont="1" applyFill="1" applyBorder="1" applyAlignment="1">
      <alignment horizontal="right" vertical="center"/>
    </xf>
    <xf numFmtId="3" fontId="3" fillId="4" borderId="93" xfId="0" applyNumberFormat="1" applyFont="1" applyFill="1" applyBorder="1" applyAlignment="1">
      <alignment horizontal="right" vertical="center"/>
    </xf>
    <xf numFmtId="165" fontId="3" fillId="4" borderId="94" xfId="0" applyNumberFormat="1" applyFont="1" applyFill="1" applyBorder="1" applyAlignment="1">
      <alignment horizontal="right" vertical="center"/>
    </xf>
    <xf numFmtId="165" fontId="3" fillId="4" borderId="91" xfId="0" applyNumberFormat="1" applyFont="1" applyFill="1" applyBorder="1" applyAlignment="1">
      <alignment horizontal="right" vertical="center"/>
    </xf>
    <xf numFmtId="3" fontId="3" fillId="4" borderId="9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3" fontId="15" fillId="2" borderId="66" xfId="2" applyNumberFormat="1" applyFont="1" applyFill="1" applyBorder="1" applyAlignment="1">
      <alignment vertical="top" wrapText="1"/>
    </xf>
    <xf numFmtId="3" fontId="18" fillId="0" borderId="61" xfId="3" applyNumberFormat="1" applyFont="1" applyFill="1" applyBorder="1" applyAlignment="1">
      <alignment vertical="center"/>
    </xf>
    <xf numFmtId="3" fontId="18" fillId="0" borderId="62" xfId="3" applyNumberFormat="1" applyFont="1" applyFill="1" applyBorder="1" applyAlignment="1">
      <alignment vertical="center"/>
    </xf>
    <xf numFmtId="3" fontId="18" fillId="0" borderId="62" xfId="3" applyNumberFormat="1" applyFont="1" applyFill="1" applyBorder="1" applyAlignment="1">
      <alignment horizontal="right" vertical="center"/>
    </xf>
    <xf numFmtId="3" fontId="18" fillId="0" borderId="65" xfId="3" applyNumberFormat="1" applyFont="1" applyFill="1" applyBorder="1" applyAlignment="1">
      <alignment horizontal="right" vertical="center"/>
    </xf>
    <xf numFmtId="165" fontId="3" fillId="2" borderId="94" xfId="0" applyNumberFormat="1" applyFont="1" applyFill="1" applyBorder="1" applyAlignment="1">
      <alignment horizontal="right" vertical="center"/>
    </xf>
    <xf numFmtId="165" fontId="3" fillId="2" borderId="91" xfId="0" applyNumberFormat="1" applyFont="1" applyFill="1" applyBorder="1" applyAlignment="1">
      <alignment horizontal="right" vertical="center"/>
    </xf>
    <xf numFmtId="3" fontId="18" fillId="0" borderId="64" xfId="3" applyNumberFormat="1" applyFont="1" applyFill="1" applyBorder="1" applyAlignment="1">
      <alignment horizontal="right" vertical="center"/>
    </xf>
    <xf numFmtId="0" fontId="2" fillId="0" borderId="66" xfId="2" applyFont="1" applyFill="1" applyBorder="1" applyAlignment="1">
      <alignment vertical="top"/>
    </xf>
    <xf numFmtId="3" fontId="4" fillId="0" borderId="62" xfId="0" applyNumberFormat="1" applyFont="1" applyFill="1" applyBorder="1" applyAlignment="1">
      <alignment horizontal="right" vertical="center"/>
    </xf>
    <xf numFmtId="3" fontId="2" fillId="0" borderId="62" xfId="0" applyNumberFormat="1" applyFont="1" applyFill="1" applyBorder="1" applyAlignment="1">
      <alignment horizontal="right" vertical="center"/>
    </xf>
    <xf numFmtId="3" fontId="2" fillId="0" borderId="65" xfId="0" applyNumberFormat="1" applyFont="1" applyFill="1" applyBorder="1" applyAlignment="1">
      <alignment horizontal="right" vertical="center"/>
    </xf>
    <xf numFmtId="43" fontId="4" fillId="2" borderId="94" xfId="1" applyFont="1" applyFill="1" applyBorder="1" applyAlignment="1">
      <alignment horizontal="right" vertical="center"/>
    </xf>
    <xf numFmtId="43" fontId="4" fillId="2" borderId="91" xfId="1" applyFont="1" applyFill="1" applyBorder="1" applyAlignment="1">
      <alignment horizontal="right" vertical="center"/>
    </xf>
    <xf numFmtId="0" fontId="2" fillId="0" borderId="66" xfId="0" applyFont="1" applyFill="1" applyBorder="1" applyAlignment="1">
      <alignment horizontal="left" vertical="center"/>
    </xf>
    <xf numFmtId="0" fontId="2" fillId="2" borderId="66" xfId="2" applyFont="1" applyFill="1" applyBorder="1" applyAlignment="1">
      <alignment vertical="top"/>
    </xf>
    <xf numFmtId="3" fontId="3" fillId="2" borderId="62" xfId="0" applyNumberFormat="1" applyFont="1" applyFill="1" applyBorder="1" applyAlignment="1">
      <alignment horizontal="right" vertical="center"/>
    </xf>
    <xf numFmtId="3" fontId="4" fillId="2" borderId="62" xfId="0" applyNumberFormat="1" applyFont="1" applyFill="1" applyBorder="1" applyAlignment="1">
      <alignment horizontal="right" vertical="center"/>
    </xf>
    <xf numFmtId="3" fontId="4" fillId="2" borderId="65" xfId="0" applyNumberFormat="1" applyFont="1" applyFill="1" applyBorder="1" applyAlignment="1">
      <alignment horizontal="right" vertical="center"/>
    </xf>
    <xf numFmtId="3" fontId="2" fillId="0" borderId="61" xfId="1" applyNumberFormat="1" applyFont="1" applyFill="1" applyBorder="1" applyAlignment="1">
      <alignment horizontal="right" vertical="center"/>
    </xf>
    <xf numFmtId="165" fontId="4" fillId="2" borderId="94" xfId="0" applyNumberFormat="1" applyFont="1" applyFill="1" applyBorder="1" applyAlignment="1">
      <alignment horizontal="right" vertical="center"/>
    </xf>
    <xf numFmtId="167" fontId="4" fillId="2" borderId="62" xfId="1" applyNumberFormat="1" applyFont="1" applyFill="1" applyBorder="1" applyAlignment="1">
      <alignment horizontal="right" vertical="center"/>
    </xf>
    <xf numFmtId="165" fontId="4" fillId="2" borderId="91" xfId="0" applyNumberFormat="1" applyFont="1" applyFill="1" applyBorder="1" applyAlignment="1">
      <alignment horizontal="right" vertical="center"/>
    </xf>
    <xf numFmtId="0" fontId="15" fillId="2" borderId="66" xfId="2" applyFont="1" applyFill="1" applyBorder="1" applyAlignment="1">
      <alignment vertical="top"/>
    </xf>
    <xf numFmtId="3" fontId="18" fillId="0" borderId="65" xfId="3" applyNumberFormat="1" applyFont="1" applyFill="1" applyBorder="1" applyAlignment="1">
      <alignment vertical="center"/>
    </xf>
    <xf numFmtId="167" fontId="3" fillId="0" borderId="62" xfId="1" applyNumberFormat="1" applyFont="1" applyFill="1" applyBorder="1" applyAlignment="1">
      <alignment horizontal="right"/>
    </xf>
    <xf numFmtId="3" fontId="1" fillId="0" borderId="65" xfId="3" applyNumberFormat="1" applyFont="1" applyFill="1" applyBorder="1" applyAlignment="1">
      <alignment vertical="center"/>
    </xf>
    <xf numFmtId="167" fontId="4" fillId="0" borderId="62" xfId="1" applyNumberFormat="1" applyFont="1" applyFill="1" applyBorder="1" applyAlignment="1">
      <alignment horizontal="right"/>
    </xf>
    <xf numFmtId="43" fontId="2" fillId="0" borderId="62" xfId="1" applyFont="1" applyFill="1" applyBorder="1" applyAlignment="1">
      <alignment horizontal="right"/>
    </xf>
    <xf numFmtId="3" fontId="2" fillId="0" borderId="62" xfId="1" applyNumberFormat="1" applyFont="1" applyFill="1" applyBorder="1" applyAlignment="1">
      <alignment horizontal="right" vertical="center"/>
    </xf>
    <xf numFmtId="3" fontId="2" fillId="0" borderId="65" xfId="1" applyNumberFormat="1" applyFont="1" applyFill="1" applyBorder="1" applyAlignment="1">
      <alignment horizontal="right" vertical="center"/>
    </xf>
    <xf numFmtId="167" fontId="2" fillId="0" borderId="62" xfId="1" applyNumberFormat="1" applyFont="1" applyFill="1" applyBorder="1" applyAlignment="1">
      <alignment horizontal="right"/>
    </xf>
    <xf numFmtId="3" fontId="3" fillId="4" borderId="63" xfId="0" applyNumberFormat="1" applyFont="1" applyFill="1" applyBorder="1" applyAlignment="1">
      <alignment horizontal="right" vertical="center"/>
    </xf>
    <xf numFmtId="167" fontId="3" fillId="4" borderId="94" xfId="1" applyNumberFormat="1" applyFont="1" applyFill="1" applyBorder="1" applyAlignment="1">
      <alignment horizontal="right" vertical="center"/>
    </xf>
    <xf numFmtId="3" fontId="18" fillId="0" borderId="63" xfId="3" applyNumberFormat="1" applyFont="1" applyFill="1" applyBorder="1" applyAlignment="1">
      <alignment vertical="center"/>
    </xf>
    <xf numFmtId="3" fontId="3" fillId="0" borderId="61" xfId="1" applyNumberFormat="1" applyFont="1" applyFill="1" applyBorder="1" applyAlignment="1">
      <alignment horizontal="right" vertical="center"/>
    </xf>
    <xf numFmtId="3" fontId="2" fillId="0" borderId="63" xfId="1" applyNumberFormat="1" applyFont="1" applyFill="1" applyBorder="1" applyAlignment="1">
      <alignment horizontal="right" vertical="center"/>
    </xf>
    <xf numFmtId="43" fontId="3" fillId="0" borderId="62" xfId="1" applyFont="1" applyFill="1" applyBorder="1" applyAlignment="1">
      <alignment horizontal="right"/>
    </xf>
    <xf numFmtId="3" fontId="3" fillId="0" borderId="62" xfId="1" applyNumberFormat="1" applyFont="1" applyFill="1" applyBorder="1" applyAlignment="1">
      <alignment horizontal="right" vertical="center"/>
    </xf>
    <xf numFmtId="43" fontId="3" fillId="0" borderId="94" xfId="1" applyFont="1" applyFill="1" applyBorder="1" applyAlignment="1">
      <alignment horizontal="right"/>
    </xf>
    <xf numFmtId="3" fontId="3" fillId="0" borderId="94" xfId="1" applyNumberFormat="1" applyFont="1" applyFill="1" applyBorder="1" applyAlignment="1">
      <alignment horizontal="right" vertical="center"/>
    </xf>
    <xf numFmtId="3" fontId="1" fillId="0" borderId="100" xfId="3" applyNumberFormat="1" applyFont="1" applyFill="1" applyBorder="1" applyAlignment="1">
      <alignment vertical="center"/>
    </xf>
    <xf numFmtId="43" fontId="3" fillId="2" borderId="94" xfId="1" applyFont="1" applyFill="1" applyBorder="1" applyAlignment="1">
      <alignment horizontal="right" vertical="center"/>
    </xf>
    <xf numFmtId="43" fontId="3" fillId="2" borderId="91" xfId="1" applyFont="1" applyFill="1" applyBorder="1" applyAlignment="1">
      <alignment horizontal="right" vertical="center"/>
    </xf>
    <xf numFmtId="0" fontId="2" fillId="0" borderId="96" xfId="2" applyFont="1" applyFill="1" applyBorder="1" applyAlignment="1">
      <alignment vertical="top"/>
    </xf>
    <xf numFmtId="3" fontId="2" fillId="0" borderId="68" xfId="1" applyNumberFormat="1" applyFont="1" applyFill="1" applyBorder="1" applyAlignment="1">
      <alignment horizontal="right" vertical="center"/>
    </xf>
    <xf numFmtId="3" fontId="2" fillId="0" borderId="85" xfId="1" applyNumberFormat="1" applyFont="1" applyFill="1" applyBorder="1" applyAlignment="1">
      <alignment horizontal="right" vertical="center"/>
    </xf>
    <xf numFmtId="3" fontId="2" fillId="0" borderId="67" xfId="1" applyNumberFormat="1" applyFont="1" applyFill="1" applyBorder="1" applyAlignment="1">
      <alignment horizontal="right" vertical="center"/>
    </xf>
    <xf numFmtId="165" fontId="3" fillId="2" borderId="68" xfId="0" applyNumberFormat="1" applyFont="1" applyFill="1" applyBorder="1" applyAlignment="1">
      <alignment horizontal="right" vertical="center"/>
    </xf>
    <xf numFmtId="167" fontId="2" fillId="0" borderId="68" xfId="1" applyNumberFormat="1" applyFont="1" applyFill="1" applyBorder="1" applyAlignment="1">
      <alignment horizontal="right"/>
    </xf>
    <xf numFmtId="165" fontId="3" fillId="2" borderId="70" xfId="0" applyNumberFormat="1" applyFont="1" applyFill="1" applyBorder="1" applyAlignment="1">
      <alignment horizontal="right" vertical="center"/>
    </xf>
    <xf numFmtId="0" fontId="3" fillId="18" borderId="9" xfId="2" applyFont="1" applyFill="1" applyBorder="1" applyAlignment="1">
      <alignment vertical="center" wrapText="1"/>
    </xf>
    <xf numFmtId="0" fontId="6" fillId="18" borderId="6" xfId="2" applyFont="1" applyFill="1" applyBorder="1" applyAlignment="1">
      <alignment vertical="top" wrapText="1"/>
    </xf>
    <xf numFmtId="3" fontId="2" fillId="18" borderId="7" xfId="2" applyNumberFormat="1" applyFont="1" applyFill="1" applyBorder="1" applyAlignment="1">
      <alignment horizontal="right" vertical="center"/>
    </xf>
    <xf numFmtId="3" fontId="2" fillId="18" borderId="8" xfId="2" applyNumberFormat="1" applyFont="1" applyFill="1" applyBorder="1" applyAlignment="1">
      <alignment horizontal="right" vertical="center"/>
    </xf>
    <xf numFmtId="3" fontId="2" fillId="18" borderId="6" xfId="2" applyNumberFormat="1" applyFont="1" applyFill="1" applyBorder="1" applyAlignment="1">
      <alignment horizontal="right" vertical="center"/>
    </xf>
    <xf numFmtId="3" fontId="2" fillId="18" borderId="10" xfId="2" applyNumberFormat="1" applyFont="1" applyFill="1" applyBorder="1" applyAlignment="1">
      <alignment horizontal="right" vertical="center"/>
    </xf>
    <xf numFmtId="43" fontId="3" fillId="20" borderId="62" xfId="1" applyFont="1" applyFill="1" applyBorder="1" applyAlignment="1">
      <alignment horizontal="right" vertical="center"/>
    </xf>
    <xf numFmtId="43" fontId="3" fillId="20" borderId="64" xfId="1" applyFont="1" applyFill="1" applyBorder="1" applyAlignment="1">
      <alignment horizontal="right" vertical="center"/>
    </xf>
    <xf numFmtId="165" fontId="29" fillId="18" borderId="77" xfId="3" applyNumberFormat="1" applyFont="1" applyFill="1" applyBorder="1" applyAlignment="1">
      <alignment vertical="center"/>
    </xf>
    <xf numFmtId="43" fontId="40" fillId="18" borderId="77" xfId="1" applyFont="1" applyFill="1" applyBorder="1" applyAlignment="1">
      <alignment horizontal="right" vertical="center"/>
    </xf>
    <xf numFmtId="43" fontId="29" fillId="18" borderId="80" xfId="1" applyFont="1" applyFill="1" applyBorder="1" applyAlignment="1">
      <alignment vertical="center"/>
    </xf>
    <xf numFmtId="165" fontId="1" fillId="18" borderId="62" xfId="3" applyNumberFormat="1" applyFont="1" applyFill="1" applyBorder="1" applyAlignment="1">
      <alignment vertical="center"/>
    </xf>
    <xf numFmtId="165" fontId="29" fillId="18" borderId="62" xfId="3" applyNumberFormat="1" applyFont="1" applyFill="1" applyBorder="1" applyAlignment="1">
      <alignment vertical="center"/>
    </xf>
    <xf numFmtId="43" fontId="29" fillId="18" borderId="64" xfId="1" applyFont="1" applyFill="1" applyBorder="1" applyAlignment="1">
      <alignment vertical="center"/>
    </xf>
    <xf numFmtId="0" fontId="2" fillId="18" borderId="66" xfId="2" applyFont="1" applyFill="1" applyBorder="1" applyAlignment="1">
      <alignment vertical="top" wrapText="1"/>
    </xf>
    <xf numFmtId="0" fontId="15" fillId="18" borderId="99" xfId="2" applyFont="1" applyFill="1" applyBorder="1" applyAlignment="1">
      <alignment vertical="top"/>
    </xf>
    <xf numFmtId="165" fontId="29" fillId="18" borderId="80" xfId="3" applyNumberFormat="1" applyFont="1" applyFill="1" applyBorder="1" applyAlignment="1">
      <alignment vertical="center"/>
    </xf>
    <xf numFmtId="3" fontId="29" fillId="18" borderId="80" xfId="3" applyNumberFormat="1" applyFont="1" applyFill="1" applyBorder="1" applyAlignment="1">
      <alignment vertical="center"/>
    </xf>
    <xf numFmtId="0" fontId="2" fillId="18" borderId="118" xfId="2" applyFont="1" applyFill="1" applyBorder="1" applyAlignment="1">
      <alignment vertical="top"/>
    </xf>
    <xf numFmtId="3" fontId="1" fillId="18" borderId="95" xfId="3" applyNumberFormat="1" applyFont="1" applyFill="1" applyBorder="1" applyAlignment="1">
      <alignment vertical="center"/>
    </xf>
    <xf numFmtId="165" fontId="1" fillId="18" borderId="94" xfId="3" applyNumberFormat="1" applyFont="1" applyFill="1" applyBorder="1" applyAlignment="1">
      <alignment vertical="center"/>
    </xf>
    <xf numFmtId="165" fontId="1" fillId="18" borderId="91" xfId="3" applyNumberFormat="1" applyFont="1" applyFill="1" applyBorder="1" applyAlignment="1">
      <alignment vertical="center"/>
    </xf>
    <xf numFmtId="3" fontId="1" fillId="18" borderId="91" xfId="3" applyNumberFormat="1" applyFont="1" applyFill="1" applyBorder="1" applyAlignment="1">
      <alignment vertical="center"/>
    </xf>
    <xf numFmtId="0" fontId="3" fillId="15" borderId="98" xfId="2" applyFont="1" applyFill="1" applyBorder="1" applyAlignment="1">
      <alignment vertical="top" wrapText="1"/>
    </xf>
    <xf numFmtId="0" fontId="22" fillId="4" borderId="66" xfId="2" applyFont="1" applyFill="1" applyBorder="1" applyAlignment="1">
      <alignment horizontal="left" vertical="center"/>
    </xf>
    <xf numFmtId="3" fontId="40" fillId="2" borderId="61" xfId="2" applyNumberFormat="1" applyFont="1" applyFill="1" applyBorder="1" applyAlignment="1"/>
    <xf numFmtId="43" fontId="40" fillId="2" borderId="62" xfId="1" applyFont="1" applyFill="1" applyBorder="1" applyAlignment="1">
      <alignment horizontal="right" vertical="center"/>
    </xf>
    <xf numFmtId="3" fontId="40" fillId="2" borderId="64" xfId="2" applyNumberFormat="1" applyFont="1" applyFill="1" applyBorder="1" applyAlignment="1"/>
    <xf numFmtId="3" fontId="40" fillId="0" borderId="62" xfId="2" applyNumberFormat="1" applyFont="1" applyFill="1" applyBorder="1" applyAlignment="1">
      <alignment horizontal="right" vertical="center"/>
    </xf>
    <xf numFmtId="43" fontId="40" fillId="0" borderId="62" xfId="1" applyFont="1" applyFill="1" applyBorder="1" applyAlignment="1">
      <alignment horizontal="right" vertical="center"/>
    </xf>
    <xf numFmtId="3" fontId="40" fillId="0" borderId="61" xfId="2" applyNumberFormat="1" applyFont="1" applyFill="1" applyBorder="1" applyAlignment="1">
      <alignment horizontal="right" vertical="center"/>
    </xf>
    <xf numFmtId="3" fontId="40" fillId="0" borderId="64" xfId="2" applyNumberFormat="1" applyFont="1" applyFill="1" applyBorder="1" applyAlignment="1">
      <alignment horizontal="right" vertical="center"/>
    </xf>
    <xf numFmtId="0" fontId="2" fillId="0" borderId="66" xfId="2" applyFont="1" applyFill="1" applyBorder="1" applyAlignment="1">
      <alignment horizontal="left" vertical="center"/>
    </xf>
    <xf numFmtId="0" fontId="2" fillId="0" borderId="96" xfId="2" applyFont="1" applyFill="1" applyBorder="1" applyAlignment="1">
      <alignment horizontal="left" vertical="center"/>
    </xf>
    <xf numFmtId="3" fontId="2" fillId="2" borderId="68" xfId="2" applyNumberFormat="1" applyFont="1" applyFill="1" applyBorder="1" applyAlignment="1">
      <alignment horizontal="right" vertical="center"/>
    </xf>
    <xf numFmtId="0" fontId="3" fillId="0" borderId="46" xfId="2" applyFont="1" applyFill="1" applyBorder="1" applyAlignment="1">
      <alignment horizontal="center" vertical="center"/>
    </xf>
    <xf numFmtId="0" fontId="42" fillId="0" borderId="14" xfId="2" applyFont="1" applyFill="1" applyBorder="1" applyAlignment="1">
      <alignment vertical="center"/>
    </xf>
    <xf numFmtId="3" fontId="1" fillId="0" borderId="11" xfId="3" applyNumberFormat="1" applyFont="1" applyFill="1" applyBorder="1" applyAlignment="1">
      <alignment vertical="center"/>
    </xf>
    <xf numFmtId="43" fontId="2" fillId="0" borderId="13" xfId="1" applyFont="1" applyFill="1" applyBorder="1" applyAlignment="1">
      <alignment horizontal="right"/>
    </xf>
    <xf numFmtId="3" fontId="2" fillId="0" borderId="13" xfId="1" applyNumberFormat="1" applyFont="1" applyFill="1" applyBorder="1" applyAlignment="1">
      <alignment horizontal="right" vertical="center"/>
    </xf>
    <xf numFmtId="3" fontId="2" fillId="0" borderId="92" xfId="1" applyNumberFormat="1" applyFont="1" applyFill="1" applyBorder="1" applyAlignment="1">
      <alignment horizontal="right" vertical="center"/>
    </xf>
    <xf numFmtId="3" fontId="2" fillId="0" borderId="11" xfId="1" applyNumberFormat="1" applyFont="1" applyFill="1" applyBorder="1" applyAlignment="1">
      <alignment horizontal="right" vertical="center"/>
    </xf>
    <xf numFmtId="167" fontId="2" fillId="0" borderId="13" xfId="1" applyNumberFormat="1" applyFont="1" applyFill="1" applyBorder="1" applyAlignment="1">
      <alignment horizontal="right"/>
    </xf>
    <xf numFmtId="167" fontId="2" fillId="0" borderId="15" xfId="1" applyNumberFormat="1" applyFont="1" applyFill="1" applyBorder="1" applyAlignment="1">
      <alignment horizontal="right"/>
    </xf>
    <xf numFmtId="3" fontId="2" fillId="0" borderId="15" xfId="1" applyNumberFormat="1" applyFont="1" applyFill="1" applyBorder="1" applyAlignment="1">
      <alignment horizontal="right" vertical="center"/>
    </xf>
    <xf numFmtId="0" fontId="5" fillId="0" borderId="31" xfId="2" applyFont="1" applyFill="1" applyBorder="1" applyAlignment="1">
      <alignment horizontal="center" vertical="center" wrapText="1"/>
    </xf>
    <xf numFmtId="0" fontId="3" fillId="22" borderId="17" xfId="2" applyFont="1" applyFill="1" applyBorder="1" applyAlignment="1">
      <alignment vertical="top"/>
    </xf>
    <xf numFmtId="0" fontId="3" fillId="22" borderId="7" xfId="2" applyFont="1" applyFill="1" applyBorder="1" applyAlignment="1">
      <alignment vertical="top"/>
    </xf>
    <xf numFmtId="165" fontId="15" fillId="0" borderId="111" xfId="2" applyNumberFormat="1" applyFont="1" applyFill="1" applyBorder="1" applyAlignment="1">
      <alignment horizontal="right" vertical="center"/>
    </xf>
    <xf numFmtId="0" fontId="3" fillId="22" borderId="11" xfId="2" applyFont="1" applyFill="1" applyBorder="1" applyAlignment="1">
      <alignment vertical="top"/>
    </xf>
    <xf numFmtId="0" fontId="15" fillId="0" borderId="13" xfId="0" applyFont="1" applyBorder="1" applyAlignment="1">
      <alignment horizontal="left" vertical="top"/>
    </xf>
    <xf numFmtId="0" fontId="27" fillId="0" borderId="31" xfId="0" quotePrefix="1" applyFont="1" applyBorder="1" applyAlignment="1">
      <alignment horizontal="center" vertical="top"/>
    </xf>
    <xf numFmtId="3" fontId="15" fillId="2" borderId="15" xfId="0" quotePrefix="1" applyNumberFormat="1" applyFont="1" applyFill="1" applyBorder="1" applyAlignment="1">
      <alignment vertical="center"/>
    </xf>
    <xf numFmtId="3" fontId="15" fillId="2" borderId="31" xfId="0" quotePrefix="1" applyNumberFormat="1" applyFont="1" applyFill="1" applyBorder="1" applyAlignment="1">
      <alignment vertical="center"/>
    </xf>
    <xf numFmtId="3" fontId="15" fillId="2" borderId="46" xfId="0" quotePrefix="1" applyNumberFormat="1" applyFont="1" applyFill="1" applyBorder="1" applyAlignment="1">
      <alignment vertical="top"/>
    </xf>
    <xf numFmtId="0" fontId="3" fillId="21" borderId="7" xfId="2" applyFont="1" applyFill="1" applyBorder="1" applyAlignment="1">
      <alignment vertical="top"/>
    </xf>
    <xf numFmtId="0" fontId="22" fillId="20" borderId="58" xfId="2" applyFont="1" applyFill="1" applyBorder="1" applyAlignment="1">
      <alignment horizontal="left" vertical="center"/>
    </xf>
    <xf numFmtId="0" fontId="7" fillId="20" borderId="59" xfId="2" applyFont="1" applyFill="1" applyBorder="1" applyAlignment="1">
      <alignment horizontal="left" vertical="center"/>
    </xf>
    <xf numFmtId="3" fontId="22" fillId="20" borderId="101" xfId="0" applyNumberFormat="1" applyFont="1" applyFill="1" applyBorder="1" applyAlignment="1">
      <alignment horizontal="right" vertical="center"/>
    </xf>
    <xf numFmtId="3" fontId="22" fillId="20" borderId="60" xfId="0" applyNumberFormat="1" applyFont="1" applyFill="1" applyBorder="1" applyAlignment="1">
      <alignment horizontal="right" vertical="center"/>
    </xf>
    <xf numFmtId="3" fontId="22" fillId="20" borderId="59" xfId="0" applyNumberFormat="1" applyFont="1" applyFill="1" applyBorder="1" applyAlignment="1">
      <alignment horizontal="right" vertical="center"/>
    </xf>
    <xf numFmtId="3" fontId="3" fillId="20" borderId="57" xfId="0" applyNumberFormat="1" applyFont="1" applyFill="1" applyBorder="1" applyAlignment="1">
      <alignment horizontal="right" vertical="center"/>
    </xf>
    <xf numFmtId="165" fontId="22" fillId="20" borderId="60" xfId="0" applyNumberFormat="1" applyFont="1" applyFill="1" applyBorder="1" applyAlignment="1">
      <alignment horizontal="right" vertical="center"/>
    </xf>
    <xf numFmtId="3" fontId="3" fillId="20" borderId="58" xfId="0" applyNumberFormat="1" applyFont="1" applyFill="1" applyBorder="1" applyAlignment="1">
      <alignment horizontal="right" vertical="center"/>
    </xf>
    <xf numFmtId="3" fontId="3" fillId="20" borderId="60" xfId="0" applyNumberFormat="1" applyFont="1" applyFill="1" applyBorder="1" applyAlignment="1">
      <alignment horizontal="right" vertical="center"/>
    </xf>
    <xf numFmtId="0" fontId="40" fillId="21" borderId="77" xfId="2" applyFont="1" applyFill="1" applyBorder="1" applyAlignment="1">
      <alignment vertical="top" wrapText="1"/>
    </xf>
    <xf numFmtId="3" fontId="15" fillId="17" borderId="86" xfId="2" applyNumberFormat="1" applyFont="1" applyFill="1" applyBorder="1" applyAlignment="1">
      <alignment horizontal="right" vertical="center"/>
    </xf>
    <xf numFmtId="3" fontId="15" fillId="17" borderId="80" xfId="2" applyNumberFormat="1" applyFont="1" applyFill="1" applyBorder="1" applyAlignment="1">
      <alignment horizontal="right" vertical="center"/>
    </xf>
    <xf numFmtId="3" fontId="15" fillId="17" borderId="78" xfId="2" applyNumberFormat="1" applyFont="1" applyFill="1" applyBorder="1" applyAlignment="1">
      <alignment horizontal="right" vertical="center"/>
    </xf>
    <xf numFmtId="3" fontId="15" fillId="17" borderId="79" xfId="2" applyNumberFormat="1" applyFont="1" applyFill="1" applyBorder="1" applyAlignment="1">
      <alignment horizontal="right" vertical="center"/>
    </xf>
    <xf numFmtId="165" fontId="15" fillId="17" borderId="80" xfId="2" applyNumberFormat="1" applyFont="1" applyFill="1" applyBorder="1" applyAlignment="1">
      <alignment horizontal="right" vertical="center"/>
    </xf>
    <xf numFmtId="3" fontId="15" fillId="17" borderId="77" xfId="2" applyNumberFormat="1" applyFont="1" applyFill="1" applyBorder="1" applyAlignment="1">
      <alignment horizontal="right" vertical="center"/>
    </xf>
    <xf numFmtId="0" fontId="2" fillId="21" borderId="62" xfId="2" applyFont="1" applyFill="1" applyBorder="1" applyAlignment="1">
      <alignment vertical="top" wrapText="1"/>
    </xf>
    <xf numFmtId="3" fontId="4" fillId="17" borderId="71" xfId="2" applyNumberFormat="1" applyFont="1" applyFill="1" applyBorder="1" applyAlignment="1">
      <alignment horizontal="right" vertical="center"/>
    </xf>
    <xf numFmtId="3" fontId="4" fillId="17" borderId="64" xfId="2" applyNumberFormat="1" applyFont="1" applyFill="1" applyBorder="1" applyAlignment="1">
      <alignment horizontal="right" vertical="center"/>
    </xf>
    <xf numFmtId="3" fontId="4" fillId="17" borderId="63" xfId="2" applyNumberFormat="1" applyFont="1" applyFill="1" applyBorder="1" applyAlignment="1">
      <alignment horizontal="right" vertical="center"/>
    </xf>
    <xf numFmtId="3" fontId="2" fillId="17" borderId="71" xfId="2" applyNumberFormat="1" applyFont="1" applyFill="1" applyBorder="1" applyAlignment="1">
      <alignment horizontal="right" vertical="center"/>
    </xf>
    <xf numFmtId="165" fontId="4" fillId="17" borderId="64" xfId="2" applyNumberFormat="1" applyFont="1" applyFill="1" applyBorder="1" applyAlignment="1">
      <alignment horizontal="right" vertical="center"/>
    </xf>
    <xf numFmtId="3" fontId="2" fillId="17" borderId="62" xfId="2" applyNumberFormat="1" applyFont="1" applyFill="1" applyBorder="1" applyAlignment="1">
      <alignment horizontal="right" vertical="center"/>
    </xf>
    <xf numFmtId="3" fontId="2" fillId="17" borderId="64" xfId="2" applyNumberFormat="1" applyFont="1" applyFill="1" applyBorder="1" applyAlignment="1">
      <alignment horizontal="right" vertical="center"/>
    </xf>
    <xf numFmtId="3" fontId="2" fillId="17" borderId="62" xfId="2" applyNumberFormat="1" applyFont="1" applyFill="1" applyBorder="1" applyAlignment="1">
      <alignment vertical="top" wrapText="1"/>
    </xf>
    <xf numFmtId="3" fontId="2" fillId="17" borderId="61" xfId="2" applyNumberFormat="1" applyFont="1" applyFill="1" applyBorder="1" applyAlignment="1">
      <alignment horizontal="right" vertical="center"/>
    </xf>
    <xf numFmtId="165" fontId="4" fillId="17" borderId="62" xfId="2" applyNumberFormat="1" applyFont="1" applyFill="1" applyBorder="1" applyAlignment="1">
      <alignment horizontal="right" vertical="center"/>
    </xf>
    <xf numFmtId="3" fontId="2" fillId="17" borderId="102" xfId="2" applyNumberFormat="1" applyFont="1" applyFill="1" applyBorder="1" applyAlignment="1">
      <alignment horizontal="right" vertical="center"/>
    </xf>
    <xf numFmtId="43" fontId="4" fillId="17" borderId="64" xfId="1" applyFont="1" applyFill="1" applyBorder="1" applyAlignment="1">
      <alignment horizontal="right" vertical="center"/>
    </xf>
    <xf numFmtId="0" fontId="2" fillId="17" borderId="62" xfId="2" applyFont="1" applyFill="1" applyBorder="1" applyAlignment="1">
      <alignment vertical="top"/>
    </xf>
    <xf numFmtId="3" fontId="4" fillId="17" borderId="62" xfId="2" applyNumberFormat="1" applyFont="1" applyFill="1" applyBorder="1" applyAlignment="1">
      <alignment horizontal="right" vertical="center"/>
    </xf>
    <xf numFmtId="3" fontId="2" fillId="17" borderId="66" xfId="2" applyNumberFormat="1" applyFont="1" applyFill="1" applyBorder="1" applyAlignment="1">
      <alignment horizontal="right" vertical="center"/>
    </xf>
    <xf numFmtId="3" fontId="22" fillId="20" borderId="71" xfId="2" applyNumberFormat="1" applyFont="1" applyFill="1" applyBorder="1" applyAlignment="1"/>
    <xf numFmtId="3" fontId="22" fillId="20" borderId="64" xfId="2" applyNumberFormat="1" applyFont="1" applyFill="1" applyBorder="1" applyAlignment="1"/>
    <xf numFmtId="3" fontId="22" fillId="20" borderId="62" xfId="2" applyNumberFormat="1" applyFont="1" applyFill="1" applyBorder="1" applyAlignment="1"/>
    <xf numFmtId="3" fontId="22" fillId="20" borderId="63" xfId="2" applyNumberFormat="1" applyFont="1" applyFill="1" applyBorder="1" applyAlignment="1"/>
    <xf numFmtId="3" fontId="3" fillId="20" borderId="61" xfId="2" applyNumberFormat="1" applyFont="1" applyFill="1" applyBorder="1" applyAlignment="1"/>
    <xf numFmtId="165" fontId="22" fillId="20" borderId="62" xfId="0" applyNumberFormat="1" applyFont="1" applyFill="1" applyBorder="1" applyAlignment="1">
      <alignment horizontal="right" vertical="center"/>
    </xf>
    <xf numFmtId="3" fontId="3" fillId="20" borderId="66" xfId="2" applyNumberFormat="1" applyFont="1" applyFill="1" applyBorder="1" applyAlignment="1"/>
    <xf numFmtId="165" fontId="22" fillId="20" borderId="64" xfId="0" applyNumberFormat="1" applyFont="1" applyFill="1" applyBorder="1" applyAlignment="1">
      <alignment horizontal="right" vertical="center"/>
    </xf>
    <xf numFmtId="3" fontId="3" fillId="20" borderId="80" xfId="0" applyNumberFormat="1" applyFont="1" applyFill="1" applyBorder="1" applyAlignment="1">
      <alignment horizontal="right" vertical="center"/>
    </xf>
    <xf numFmtId="3" fontId="15" fillId="17" borderId="77" xfId="2" applyNumberFormat="1" applyFont="1" applyFill="1" applyBorder="1" applyAlignment="1">
      <alignment vertical="top" wrapText="1"/>
    </xf>
    <xf numFmtId="165" fontId="15" fillId="17" borderId="77" xfId="2" applyNumberFormat="1" applyFont="1" applyFill="1" applyBorder="1" applyAlignment="1">
      <alignment horizontal="right" vertical="center"/>
    </xf>
    <xf numFmtId="3" fontId="15" fillId="17" borderId="99" xfId="2" applyNumberFormat="1" applyFont="1" applyFill="1" applyBorder="1" applyAlignment="1">
      <alignment horizontal="right" vertical="center"/>
    </xf>
    <xf numFmtId="0" fontId="3" fillId="21" borderId="11" xfId="2" applyFont="1" applyFill="1" applyBorder="1" applyAlignment="1">
      <alignment vertical="top"/>
    </xf>
    <xf numFmtId="0" fontId="2" fillId="17" borderId="68" xfId="2" applyFont="1" applyFill="1" applyBorder="1" applyAlignment="1">
      <alignment vertical="top"/>
    </xf>
    <xf numFmtId="3" fontId="2" fillId="17" borderId="72" xfId="2" applyNumberFormat="1" applyFont="1" applyFill="1" applyBorder="1" applyAlignment="1">
      <alignment horizontal="right" vertical="center"/>
    </xf>
    <xf numFmtId="3" fontId="2" fillId="17" borderId="70" xfId="2" applyNumberFormat="1" applyFont="1" applyFill="1" applyBorder="1" applyAlignment="1">
      <alignment horizontal="right" vertical="center"/>
    </xf>
    <xf numFmtId="3" fontId="2" fillId="17" borderId="68" xfId="2" applyNumberFormat="1" applyFont="1" applyFill="1" applyBorder="1" applyAlignment="1">
      <alignment horizontal="right" vertical="center"/>
    </xf>
    <xf numFmtId="3" fontId="2" fillId="17" borderId="69" xfId="2" applyNumberFormat="1" applyFont="1" applyFill="1" applyBorder="1" applyAlignment="1">
      <alignment horizontal="right" vertical="center"/>
    </xf>
    <xf numFmtId="3" fontId="2" fillId="17" borderId="67" xfId="2" applyNumberFormat="1" applyFont="1" applyFill="1" applyBorder="1" applyAlignment="1">
      <alignment horizontal="right" vertical="center"/>
    </xf>
    <xf numFmtId="165" fontId="2" fillId="17" borderId="64" xfId="2" applyNumberFormat="1" applyFont="1" applyFill="1" applyBorder="1" applyAlignment="1">
      <alignment horizontal="right" vertical="center"/>
    </xf>
    <xf numFmtId="43" fontId="2" fillId="17" borderId="68" xfId="1" applyFont="1" applyFill="1" applyBorder="1" applyAlignment="1">
      <alignment horizontal="right" vertical="center"/>
    </xf>
    <xf numFmtId="43" fontId="2" fillId="17" borderId="64" xfId="1" applyFont="1" applyFill="1" applyBorder="1" applyAlignment="1">
      <alignment horizontal="right" vertical="center"/>
    </xf>
    <xf numFmtId="0" fontId="3" fillId="15" borderId="58" xfId="0" applyFont="1" applyFill="1" applyBorder="1" applyAlignment="1">
      <alignment horizontal="left" vertical="center" wrapText="1"/>
    </xf>
    <xf numFmtId="0" fontId="6" fillId="15" borderId="59" xfId="0" applyFont="1" applyFill="1" applyBorder="1" applyAlignment="1">
      <alignment horizontal="left" vertical="center" wrapText="1"/>
    </xf>
    <xf numFmtId="3" fontId="3" fillId="15" borderId="57" xfId="0" applyNumberFormat="1" applyFont="1" applyFill="1" applyBorder="1" applyAlignment="1">
      <alignment vertical="center"/>
    </xf>
    <xf numFmtId="3" fontId="3" fillId="15" borderId="58" xfId="0" applyNumberFormat="1" applyFont="1" applyFill="1" applyBorder="1" applyAlignment="1">
      <alignment vertical="center"/>
    </xf>
    <xf numFmtId="3" fontId="3" fillId="15" borderId="98" xfId="0" applyNumberFormat="1" applyFont="1" applyFill="1" applyBorder="1" applyAlignment="1">
      <alignment vertical="center"/>
    </xf>
    <xf numFmtId="3" fontId="3" fillId="15" borderId="59" xfId="0" applyNumberFormat="1" applyFont="1" applyFill="1" applyBorder="1" applyAlignment="1">
      <alignment vertical="center"/>
    </xf>
    <xf numFmtId="3" fontId="3" fillId="15" borderId="60" xfId="0" applyNumberFormat="1" applyFont="1" applyFill="1" applyBorder="1" applyAlignment="1">
      <alignment vertical="center"/>
    </xf>
    <xf numFmtId="43" fontId="3" fillId="4" borderId="64" xfId="1" applyFont="1" applyFill="1" applyBorder="1" applyAlignment="1">
      <alignment horizontal="right" vertical="center"/>
    </xf>
    <xf numFmtId="3" fontId="3" fillId="4" borderId="102" xfId="0" applyNumberFormat="1" applyFont="1" applyFill="1" applyBorder="1" applyAlignment="1">
      <alignment horizontal="right" vertical="center"/>
    </xf>
    <xf numFmtId="3" fontId="3" fillId="4" borderId="66" xfId="0" applyNumberFormat="1" applyFont="1" applyFill="1" applyBorder="1" applyAlignment="1">
      <alignment horizontal="right" vertical="center"/>
    </xf>
    <xf numFmtId="165" fontId="3" fillId="4" borderId="62" xfId="2" applyNumberFormat="1" applyFont="1" applyFill="1" applyBorder="1" applyAlignment="1">
      <alignment horizontal="right" vertical="center"/>
    </xf>
    <xf numFmtId="165" fontId="3" fillId="4" borderId="64" xfId="2" applyNumberFormat="1" applyFont="1" applyFill="1" applyBorder="1" applyAlignment="1">
      <alignment horizontal="right" vertical="center"/>
    </xf>
    <xf numFmtId="3" fontId="3" fillId="4" borderId="64" xfId="0" applyNumberFormat="1" applyFont="1" applyFill="1" applyBorder="1" applyAlignment="1">
      <alignment horizontal="right" vertical="center"/>
    </xf>
    <xf numFmtId="3" fontId="15" fillId="0" borderId="61" xfId="0" applyNumberFormat="1" applyFont="1" applyFill="1" applyBorder="1" applyAlignment="1">
      <alignment horizontal="right" vertical="center"/>
    </xf>
    <xf numFmtId="3" fontId="40" fillId="0" borderId="62" xfId="0" applyNumberFormat="1" applyFont="1" applyFill="1" applyBorder="1" applyAlignment="1">
      <alignment horizontal="right" vertical="center"/>
    </xf>
    <xf numFmtId="3" fontId="15" fillId="0" borderId="102" xfId="0" applyNumberFormat="1" applyFont="1" applyFill="1" applyBorder="1" applyAlignment="1">
      <alignment horizontal="right" vertical="center"/>
    </xf>
    <xf numFmtId="3" fontId="40" fillId="0" borderId="66" xfId="0" applyNumberFormat="1" applyFont="1" applyFill="1" applyBorder="1" applyAlignment="1">
      <alignment horizontal="right" vertical="center"/>
    </xf>
    <xf numFmtId="165" fontId="40" fillId="0" borderId="62" xfId="2" applyNumberFormat="1" applyFont="1" applyFill="1" applyBorder="1" applyAlignment="1">
      <alignment horizontal="right" vertical="center"/>
    </xf>
    <xf numFmtId="165" fontId="40" fillId="0" borderId="64" xfId="2" applyNumberFormat="1" applyFont="1" applyFill="1" applyBorder="1" applyAlignment="1">
      <alignment horizontal="right" vertical="center"/>
    </xf>
    <xf numFmtId="3" fontId="40" fillId="0" borderId="64" xfId="0" applyNumberFormat="1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left" vertical="center"/>
    </xf>
    <xf numFmtId="3" fontId="4" fillId="0" borderId="61" xfId="0" applyNumberFormat="1" applyFont="1" applyFill="1" applyBorder="1" applyAlignment="1">
      <alignment horizontal="right" vertical="center"/>
    </xf>
    <xf numFmtId="3" fontId="4" fillId="0" borderId="66" xfId="0" applyNumberFormat="1" applyFont="1" applyFill="1" applyBorder="1" applyAlignment="1">
      <alignment horizontal="right" vertical="center"/>
    </xf>
    <xf numFmtId="3" fontId="2" fillId="0" borderId="66" xfId="0" applyNumberFormat="1" applyFont="1" applyFill="1" applyBorder="1" applyAlignment="1">
      <alignment horizontal="right" vertical="center"/>
    </xf>
    <xf numFmtId="3" fontId="2" fillId="0" borderId="64" xfId="0" applyNumberFormat="1" applyFont="1" applyFill="1" applyBorder="1" applyAlignment="1">
      <alignment horizontal="right" vertical="center"/>
    </xf>
    <xf numFmtId="0" fontId="2" fillId="2" borderId="62" xfId="2" applyFont="1" applyFill="1" applyBorder="1" applyAlignment="1">
      <alignment vertical="top"/>
    </xf>
    <xf numFmtId="3" fontId="4" fillId="0" borderId="102" xfId="0" applyNumberFormat="1" applyFont="1" applyFill="1" applyBorder="1" applyAlignment="1">
      <alignment horizontal="right" vertical="center"/>
    </xf>
    <xf numFmtId="3" fontId="15" fillId="2" borderId="102" xfId="2" applyNumberFormat="1" applyFont="1" applyFill="1" applyBorder="1" applyAlignment="1"/>
    <xf numFmtId="3" fontId="4" fillId="0" borderId="64" xfId="0" applyNumberFormat="1" applyFont="1" applyFill="1" applyBorder="1" applyAlignment="1">
      <alignment horizontal="right" vertical="center"/>
    </xf>
    <xf numFmtId="0" fontId="2" fillId="2" borderId="68" xfId="2" applyFont="1" applyFill="1" applyBorder="1" applyAlignment="1">
      <alignment vertical="top"/>
    </xf>
    <xf numFmtId="43" fontId="1" fillId="0" borderId="103" xfId="1" applyFont="1" applyFill="1" applyBorder="1" applyAlignment="1">
      <alignment vertical="center"/>
    </xf>
    <xf numFmtId="43" fontId="2" fillId="0" borderId="66" xfId="1" applyFont="1" applyFill="1" applyBorder="1" applyAlignment="1">
      <alignment horizontal="right" vertical="center"/>
    </xf>
    <xf numFmtId="0" fontId="6" fillId="15" borderId="59" xfId="2" applyFont="1" applyFill="1" applyBorder="1" applyAlignment="1">
      <alignment vertical="center" wrapText="1"/>
    </xf>
    <xf numFmtId="43" fontId="22" fillId="15" borderId="59" xfId="1" applyFont="1" applyFill="1" applyBorder="1" applyAlignment="1">
      <alignment horizontal="right" vertical="center"/>
    </xf>
    <xf numFmtId="3" fontId="22" fillId="4" borderId="71" xfId="2" applyNumberFormat="1" applyFont="1" applyFill="1" applyBorder="1" applyAlignment="1">
      <alignment horizontal="right" vertical="center"/>
    </xf>
    <xf numFmtId="43" fontId="22" fillId="4" borderId="65" xfId="1" applyFont="1" applyFill="1" applyBorder="1" applyAlignment="1">
      <alignment horizontal="right" vertical="center"/>
    </xf>
    <xf numFmtId="43" fontId="15" fillId="0" borderId="65" xfId="1" applyFont="1" applyFill="1" applyBorder="1" applyAlignment="1">
      <alignment horizontal="right" vertical="center"/>
    </xf>
    <xf numFmtId="3" fontId="1" fillId="0" borderId="71" xfId="3" applyNumberFormat="1" applyFont="1" applyFill="1" applyBorder="1" applyAlignment="1">
      <alignment vertical="center"/>
    </xf>
    <xf numFmtId="3" fontId="1" fillId="0" borderId="64" xfId="3" applyNumberFormat="1" applyFont="1" applyFill="1" applyBorder="1" applyAlignment="1">
      <alignment vertical="center"/>
    </xf>
    <xf numFmtId="43" fontId="1" fillId="0" borderId="88" xfId="1" applyFont="1" applyBorder="1"/>
    <xf numFmtId="3" fontId="1" fillId="0" borderId="72" xfId="3" applyNumberFormat="1" applyFont="1" applyFill="1" applyBorder="1" applyAlignment="1">
      <alignment vertical="center"/>
    </xf>
    <xf numFmtId="3" fontId="1" fillId="0" borderId="70" xfId="3" applyNumberFormat="1" applyFont="1" applyFill="1" applyBorder="1" applyAlignment="1">
      <alignment vertical="center"/>
    </xf>
    <xf numFmtId="43" fontId="1" fillId="0" borderId="85" xfId="1" applyFont="1" applyFill="1" applyBorder="1" applyAlignment="1">
      <alignment vertical="center"/>
    </xf>
    <xf numFmtId="0" fontId="1" fillId="0" borderId="0" xfId="0" applyFont="1" applyFill="1" applyBorder="1"/>
    <xf numFmtId="0" fontId="1" fillId="0" borderId="19" xfId="0" applyFont="1" applyFill="1" applyBorder="1"/>
    <xf numFmtId="3" fontId="3" fillId="4" borderId="71" xfId="0" applyNumberFormat="1" applyFont="1" applyFill="1" applyBorder="1" applyAlignment="1">
      <alignment horizontal="right" vertical="center"/>
    </xf>
    <xf numFmtId="3" fontId="15" fillId="0" borderId="71" xfId="0" applyNumberFormat="1" applyFont="1" applyFill="1" applyBorder="1" applyAlignment="1">
      <alignment horizontal="right" vertical="center"/>
    </xf>
    <xf numFmtId="3" fontId="15" fillId="0" borderId="64" xfId="0" applyNumberFormat="1" applyFont="1" applyFill="1" applyBorder="1" applyAlignment="1">
      <alignment horizontal="right" vertical="center"/>
    </xf>
    <xf numFmtId="3" fontId="15" fillId="0" borderId="63" xfId="0" applyNumberFormat="1" applyFont="1" applyFill="1" applyBorder="1" applyAlignment="1">
      <alignment horizontal="right" vertical="center"/>
    </xf>
    <xf numFmtId="3" fontId="15" fillId="0" borderId="62" xfId="0" applyNumberFormat="1" applyFont="1" applyFill="1" applyBorder="1" applyAlignment="1">
      <alignment horizontal="right" vertical="center"/>
    </xf>
    <xf numFmtId="3" fontId="1" fillId="0" borderId="69" xfId="3" applyNumberFormat="1" applyFont="1" applyFill="1" applyBorder="1" applyAlignment="1">
      <alignment vertical="center"/>
    </xf>
    <xf numFmtId="3" fontId="40" fillId="0" borderId="63" xfId="0" applyNumberFormat="1" applyFont="1" applyFill="1" applyBorder="1" applyAlignment="1">
      <alignment horizontal="right" vertical="center"/>
    </xf>
    <xf numFmtId="3" fontId="40" fillId="0" borderId="61" xfId="0" applyNumberFormat="1" applyFont="1" applyFill="1" applyBorder="1" applyAlignment="1">
      <alignment horizontal="right" vertical="center"/>
    </xf>
    <xf numFmtId="0" fontId="2" fillId="0" borderId="68" xfId="0" applyFont="1" applyFill="1" applyBorder="1" applyAlignment="1">
      <alignment horizontal="left" vertical="center"/>
    </xf>
    <xf numFmtId="3" fontId="2" fillId="0" borderId="68" xfId="0" applyNumberFormat="1" applyFont="1" applyFill="1" applyBorder="1" applyAlignment="1">
      <alignment horizontal="right" vertical="center"/>
    </xf>
    <xf numFmtId="3" fontId="4" fillId="0" borderId="68" xfId="0" applyNumberFormat="1" applyFont="1" applyFill="1" applyBorder="1" applyAlignment="1">
      <alignment horizontal="right" vertical="center"/>
    </xf>
    <xf numFmtId="3" fontId="2" fillId="0" borderId="69" xfId="0" applyNumberFormat="1" applyFont="1" applyFill="1" applyBorder="1" applyAlignment="1">
      <alignment horizontal="right" vertical="center"/>
    </xf>
    <xf numFmtId="3" fontId="4" fillId="0" borderId="71" xfId="2" applyNumberFormat="1" applyFont="1" applyFill="1" applyBorder="1" applyAlignment="1">
      <alignment horizontal="right" vertical="center"/>
    </xf>
    <xf numFmtId="3" fontId="22" fillId="4" borderId="62" xfId="2" applyNumberFormat="1" applyFont="1" applyFill="1" applyBorder="1" applyAlignment="1"/>
    <xf numFmtId="3" fontId="3" fillId="4" borderId="79" xfId="2" applyNumberFormat="1" applyFont="1" applyFill="1" applyBorder="1" applyAlignment="1">
      <alignment horizontal="right" vertical="center"/>
    </xf>
    <xf numFmtId="3" fontId="3" fillId="4" borderId="77" xfId="2" applyNumberFormat="1" applyFont="1" applyFill="1" applyBorder="1" applyAlignment="1">
      <alignment horizontal="right" vertical="center"/>
    </xf>
    <xf numFmtId="3" fontId="40" fillId="2" borderId="62" xfId="2" applyNumberFormat="1" applyFont="1" applyFill="1" applyBorder="1" applyAlignment="1">
      <alignment vertical="center" wrapText="1"/>
    </xf>
    <xf numFmtId="3" fontId="3" fillId="4" borderId="71" xfId="2" applyNumberFormat="1" applyFont="1" applyFill="1" applyBorder="1" applyAlignment="1">
      <alignment horizontal="right" vertical="center"/>
    </xf>
    <xf numFmtId="3" fontId="40" fillId="0" borderId="71" xfId="2" applyNumberFormat="1" applyFont="1" applyFill="1" applyBorder="1" applyAlignment="1">
      <alignment horizontal="right" vertical="center"/>
    </xf>
    <xf numFmtId="3" fontId="2" fillId="0" borderId="69" xfId="2" applyNumberFormat="1" applyFont="1" applyFill="1" applyBorder="1" applyAlignment="1">
      <alignment horizontal="right" vertical="center"/>
    </xf>
    <xf numFmtId="3" fontId="2" fillId="0" borderId="72" xfId="2" applyNumberFormat="1" applyFont="1" applyFill="1" applyBorder="1" applyAlignment="1">
      <alignment horizontal="right" vertical="center"/>
    </xf>
    <xf numFmtId="3" fontId="3" fillId="4" borderId="63" xfId="2" applyNumberFormat="1" applyFont="1" applyFill="1" applyBorder="1" applyAlignment="1">
      <alignment horizontal="right" vertical="center"/>
    </xf>
    <xf numFmtId="3" fontId="40" fillId="0" borderId="63" xfId="2" applyNumberFormat="1" applyFont="1" applyFill="1" applyBorder="1" applyAlignment="1">
      <alignment horizontal="right" vertical="center"/>
    </xf>
    <xf numFmtId="3" fontId="2" fillId="0" borderId="63" xfId="2" applyNumberFormat="1" applyFont="1" applyFill="1" applyBorder="1" applyAlignment="1">
      <alignment horizontal="right" vertical="center"/>
    </xf>
    <xf numFmtId="3" fontId="2" fillId="0" borderId="71" xfId="2" applyNumberFormat="1" applyFont="1" applyFill="1" applyBorder="1" applyAlignment="1">
      <alignment horizontal="right" vertical="center"/>
    </xf>
    <xf numFmtId="0" fontId="2" fillId="0" borderId="77" xfId="2" applyFont="1" applyFill="1" applyBorder="1" applyAlignment="1">
      <alignment vertical="top"/>
    </xf>
    <xf numFmtId="3" fontId="2" fillId="0" borderId="77" xfId="2" applyNumberFormat="1" applyFont="1" applyFill="1" applyBorder="1" applyAlignment="1">
      <alignment horizontal="right" vertical="center"/>
    </xf>
    <xf numFmtId="43" fontId="2" fillId="0" borderId="78" xfId="1" applyFont="1" applyFill="1" applyBorder="1" applyAlignment="1">
      <alignment horizontal="right" vertical="center"/>
    </xf>
    <xf numFmtId="3" fontId="2" fillId="0" borderId="79" xfId="2" applyNumberFormat="1" applyFont="1" applyFill="1" applyBorder="1" applyAlignment="1">
      <alignment horizontal="right" vertical="center"/>
    </xf>
    <xf numFmtId="3" fontId="2" fillId="0" borderId="13" xfId="2" applyNumberFormat="1" applyFont="1" applyFill="1" applyBorder="1" applyAlignment="1">
      <alignment horizontal="right" vertical="center"/>
    </xf>
    <xf numFmtId="3" fontId="4" fillId="0" borderId="72" xfId="2" applyNumberFormat="1" applyFont="1" applyFill="1" applyBorder="1" applyAlignment="1">
      <alignment horizontal="right" vertical="center"/>
    </xf>
    <xf numFmtId="164" fontId="4" fillId="0" borderId="68" xfId="2" applyNumberFormat="1" applyFont="1" applyFill="1" applyBorder="1" applyAlignment="1">
      <alignment horizontal="right" vertical="center"/>
    </xf>
    <xf numFmtId="164" fontId="4" fillId="0" borderId="7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43" fillId="0" borderId="0" xfId="0" applyFont="1"/>
    <xf numFmtId="0" fontId="31" fillId="2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7" fillId="2" borderId="0" xfId="0" applyFont="1" applyFill="1" applyBorder="1" applyAlignment="1">
      <alignment horizontal="right" vertical="center"/>
    </xf>
    <xf numFmtId="0" fontId="8" fillId="0" borderId="6" xfId="0" applyFont="1" applyBorder="1"/>
    <xf numFmtId="0" fontId="8" fillId="0" borderId="6" xfId="0" applyFont="1" applyBorder="1" applyAlignment="1">
      <alignment vertical="center"/>
    </xf>
    <xf numFmtId="3" fontId="15" fillId="2" borderId="133" xfId="0" quotePrefix="1" applyNumberFormat="1" applyFont="1" applyFill="1" applyBorder="1" applyAlignment="1">
      <alignment vertical="top"/>
    </xf>
    <xf numFmtId="3" fontId="3" fillId="4" borderId="57" xfId="2" applyNumberFormat="1" applyFont="1" applyFill="1" applyBorder="1" applyAlignment="1">
      <alignment horizontal="right" vertical="center"/>
    </xf>
    <xf numFmtId="3" fontId="3" fillId="4" borderId="58" xfId="2" applyNumberFormat="1" applyFont="1" applyFill="1" applyBorder="1" applyAlignment="1">
      <alignment horizontal="right" vertical="center"/>
    </xf>
    <xf numFmtId="3" fontId="3" fillId="4" borderId="60" xfId="2" applyNumberFormat="1" applyFont="1" applyFill="1" applyBorder="1" applyAlignment="1">
      <alignment horizontal="right" vertical="center"/>
    </xf>
    <xf numFmtId="3" fontId="40" fillId="6" borderId="62" xfId="2" applyNumberFormat="1" applyFont="1" applyFill="1" applyBorder="1" applyAlignment="1">
      <alignment vertical="top" wrapText="1"/>
    </xf>
    <xf numFmtId="3" fontId="40" fillId="6" borderId="61" xfId="2" applyNumberFormat="1" applyFont="1" applyFill="1" applyBorder="1" applyAlignment="1">
      <alignment horizontal="right" vertical="center"/>
    </xf>
    <xf numFmtId="3" fontId="40" fillId="6" borderId="62" xfId="2" applyNumberFormat="1" applyFont="1" applyFill="1" applyBorder="1" applyAlignment="1">
      <alignment horizontal="right" vertical="center"/>
    </xf>
    <xf numFmtId="3" fontId="40" fillId="6" borderId="63" xfId="2" applyNumberFormat="1" applyFont="1" applyFill="1" applyBorder="1" applyAlignment="1">
      <alignment horizontal="right" vertical="center"/>
    </xf>
    <xf numFmtId="3" fontId="40" fillId="6" borderId="64" xfId="2" applyNumberFormat="1" applyFont="1" applyFill="1" applyBorder="1" applyAlignment="1">
      <alignment horizontal="right" vertical="center"/>
    </xf>
    <xf numFmtId="3" fontId="1" fillId="6" borderId="61" xfId="0" applyNumberFormat="1" applyFont="1" applyFill="1" applyBorder="1"/>
    <xf numFmtId="3" fontId="1" fillId="6" borderId="62" xfId="0" applyNumberFormat="1" applyFont="1" applyFill="1" applyBorder="1"/>
    <xf numFmtId="3" fontId="1" fillId="6" borderId="63" xfId="0" applyNumberFormat="1" applyFont="1" applyFill="1" applyBorder="1"/>
    <xf numFmtId="3" fontId="1" fillId="6" borderId="64" xfId="0" applyNumberFormat="1" applyFont="1" applyFill="1" applyBorder="1"/>
    <xf numFmtId="3" fontId="2" fillId="6" borderId="61" xfId="2" applyNumberFormat="1" applyFont="1" applyFill="1" applyBorder="1" applyAlignment="1">
      <alignment horizontal="right" vertical="center"/>
    </xf>
    <xf numFmtId="3" fontId="2" fillId="6" borderId="62" xfId="2" applyNumberFormat="1" applyFont="1" applyFill="1" applyBorder="1" applyAlignment="1">
      <alignment horizontal="right" vertical="center"/>
    </xf>
    <xf numFmtId="3" fontId="2" fillId="6" borderId="64" xfId="2" applyNumberFormat="1" applyFont="1" applyFill="1" applyBorder="1" applyAlignment="1">
      <alignment horizontal="right" vertical="center"/>
    </xf>
    <xf numFmtId="164" fontId="40" fillId="6" borderId="62" xfId="2" applyNumberFormat="1" applyFont="1" applyFill="1" applyBorder="1" applyAlignment="1">
      <alignment horizontal="right" vertical="center"/>
    </xf>
    <xf numFmtId="3" fontId="1" fillId="6" borderId="61" xfId="3" applyNumberFormat="1" applyFont="1" applyFill="1" applyBorder="1" applyAlignment="1">
      <alignment vertical="center"/>
    </xf>
    <xf numFmtId="164" fontId="24" fillId="6" borderId="62" xfId="2" applyNumberFormat="1" applyFont="1" applyFill="1" applyBorder="1" applyAlignment="1">
      <alignment horizontal="right" vertical="center"/>
    </xf>
    <xf numFmtId="3" fontId="1" fillId="6" borderId="66" xfId="3" applyNumberFormat="1" applyFont="1" applyFill="1" applyBorder="1" applyAlignment="1">
      <alignment vertical="center"/>
    </xf>
    <xf numFmtId="3" fontId="1" fillId="6" borderId="64" xfId="3" applyNumberFormat="1" applyFont="1" applyFill="1" applyBorder="1" applyAlignment="1">
      <alignment vertical="center"/>
    </xf>
    <xf numFmtId="164" fontId="3" fillId="4" borderId="62" xfId="2" applyNumberFormat="1" applyFont="1" applyFill="1" applyBorder="1" applyAlignment="1">
      <alignment horizontal="right" vertical="center"/>
    </xf>
    <xf numFmtId="3" fontId="3" fillId="4" borderId="64" xfId="2" applyNumberFormat="1" applyFont="1" applyFill="1" applyBorder="1" applyAlignment="1">
      <alignment horizontal="right" vertical="center"/>
    </xf>
    <xf numFmtId="3" fontId="15" fillId="6" borderId="62" xfId="2" applyNumberFormat="1" applyFont="1" applyFill="1" applyBorder="1" applyAlignment="1">
      <alignment vertical="top" wrapText="1"/>
    </xf>
    <xf numFmtId="3" fontId="29" fillId="6" borderId="61" xfId="3" applyNumberFormat="1" applyFont="1" applyFill="1" applyBorder="1" applyAlignment="1">
      <alignment vertical="center"/>
    </xf>
    <xf numFmtId="3" fontId="29" fillId="6" borderId="62" xfId="3" applyNumberFormat="1" applyFont="1" applyFill="1" applyBorder="1" applyAlignment="1">
      <alignment vertical="center"/>
    </xf>
    <xf numFmtId="3" fontId="29" fillId="6" borderId="63" xfId="3" applyNumberFormat="1" applyFont="1" applyFill="1" applyBorder="1" applyAlignment="1">
      <alignment vertical="center"/>
    </xf>
    <xf numFmtId="3" fontId="29" fillId="6" borderId="64" xfId="3" applyNumberFormat="1" applyFont="1" applyFill="1" applyBorder="1" applyAlignment="1">
      <alignment vertical="center"/>
    </xf>
    <xf numFmtId="3" fontId="1" fillId="6" borderId="62" xfId="3" applyNumberFormat="1" applyFont="1" applyFill="1" applyBorder="1" applyAlignment="1">
      <alignment vertical="center"/>
    </xf>
    <xf numFmtId="0" fontId="2" fillId="6" borderId="68" xfId="2" applyFont="1" applyFill="1" applyBorder="1" applyAlignment="1">
      <alignment vertical="center"/>
    </xf>
    <xf numFmtId="3" fontId="1" fillId="6" borderId="67" xfId="3" applyNumberFormat="1" applyFont="1" applyFill="1" applyBorder="1" applyAlignment="1">
      <alignment vertical="center"/>
    </xf>
    <xf numFmtId="164" fontId="23" fillId="6" borderId="68" xfId="2" applyNumberFormat="1" applyFont="1" applyFill="1" applyBorder="1" applyAlignment="1">
      <alignment horizontal="right" vertical="center"/>
    </xf>
    <xf numFmtId="3" fontId="1" fillId="6" borderId="96" xfId="3" applyNumberFormat="1" applyFont="1" applyFill="1" applyBorder="1" applyAlignment="1">
      <alignment vertical="center"/>
    </xf>
    <xf numFmtId="164" fontId="23" fillId="6" borderId="62" xfId="2" applyNumberFormat="1" applyFont="1" applyFill="1" applyBorder="1" applyAlignment="1">
      <alignment horizontal="right" vertical="center"/>
    </xf>
    <xf numFmtId="3" fontId="1" fillId="6" borderId="70" xfId="3" applyNumberFormat="1" applyFont="1" applyFill="1" applyBorder="1" applyAlignment="1">
      <alignment vertical="center"/>
    </xf>
    <xf numFmtId="0" fontId="3" fillId="9" borderId="58" xfId="2" applyFont="1" applyFill="1" applyBorder="1" applyAlignment="1">
      <alignment vertical="center" wrapText="1"/>
    </xf>
    <xf numFmtId="0" fontId="6" fillId="9" borderId="59" xfId="2" applyFont="1" applyFill="1" applyBorder="1" applyAlignment="1">
      <alignment horizontal="center" vertical="top" wrapText="1"/>
    </xf>
    <xf numFmtId="43" fontId="15" fillId="0" borderId="61" xfId="1" applyFont="1" applyFill="1" applyBorder="1" applyAlignment="1">
      <alignment horizontal="right" vertical="center"/>
    </xf>
    <xf numFmtId="43" fontId="23" fillId="0" borderId="62" xfId="1" applyFont="1" applyFill="1" applyBorder="1" applyAlignment="1">
      <alignment horizontal="right" vertical="center"/>
    </xf>
    <xf numFmtId="43" fontId="2" fillId="0" borderId="67" xfId="1" applyFont="1" applyFill="1" applyBorder="1" applyAlignment="1">
      <alignment horizontal="right" vertical="center"/>
    </xf>
    <xf numFmtId="43" fontId="23" fillId="0" borderId="68" xfId="1" applyFont="1" applyFill="1" applyBorder="1" applyAlignment="1">
      <alignment horizontal="right" vertical="center"/>
    </xf>
    <xf numFmtId="3" fontId="3" fillId="15" borderId="104" xfId="2" applyNumberFormat="1" applyFont="1" applyFill="1" applyBorder="1" applyAlignment="1">
      <alignment horizontal="right" vertical="center"/>
    </xf>
    <xf numFmtId="3" fontId="40" fillId="0" borderId="102" xfId="2" applyNumberFormat="1" applyFont="1" applyFill="1" applyBorder="1" applyAlignment="1">
      <alignment horizontal="right" vertical="center"/>
    </xf>
    <xf numFmtId="164" fontId="40" fillId="0" borderId="62" xfId="2" applyNumberFormat="1" applyFont="1" applyFill="1" applyBorder="1" applyAlignment="1">
      <alignment horizontal="right" vertical="center"/>
    </xf>
    <xf numFmtId="3" fontId="2" fillId="0" borderId="135" xfId="2" applyNumberFormat="1" applyFont="1" applyFill="1" applyBorder="1" applyAlignment="1">
      <alignment horizontal="right" vertical="center"/>
    </xf>
    <xf numFmtId="164" fontId="24" fillId="0" borderId="94" xfId="2" applyNumberFormat="1" applyFont="1" applyFill="1" applyBorder="1" applyAlignment="1">
      <alignment horizontal="right" vertical="center"/>
    </xf>
    <xf numFmtId="3" fontId="2" fillId="0" borderId="91" xfId="2" applyNumberFormat="1" applyFont="1" applyFill="1" applyBorder="1" applyAlignment="1">
      <alignment horizontal="right" vertical="center"/>
    </xf>
    <xf numFmtId="43" fontId="3" fillId="4" borderId="102" xfId="1" applyFont="1" applyFill="1" applyBorder="1" applyAlignment="1"/>
    <xf numFmtId="43" fontId="29" fillId="0" borderId="102" xfId="1" applyFont="1" applyFill="1" applyBorder="1" applyAlignment="1">
      <alignment vertical="center"/>
    </xf>
    <xf numFmtId="164" fontId="15" fillId="0" borderId="62" xfId="2" applyNumberFormat="1" applyFont="1" applyFill="1" applyBorder="1" applyAlignment="1">
      <alignment horizontal="right" vertical="center"/>
    </xf>
    <xf numFmtId="43" fontId="2" fillId="0" borderId="103" xfId="1" applyFont="1" applyFill="1" applyBorder="1" applyAlignment="1">
      <alignment horizontal="right" vertical="center"/>
    </xf>
    <xf numFmtId="164" fontId="23" fillId="0" borderId="68" xfId="2" applyNumberFormat="1" applyFont="1" applyFill="1" applyBorder="1" applyAlignment="1">
      <alignment horizontal="right" vertical="center"/>
    </xf>
    <xf numFmtId="0" fontId="3" fillId="15" borderId="98" xfId="2" applyFont="1" applyFill="1" applyBorder="1" applyAlignment="1">
      <alignment vertical="center" wrapText="1"/>
    </xf>
    <xf numFmtId="0" fontId="6" fillId="15" borderId="104" xfId="2" applyFont="1" applyFill="1" applyBorder="1" applyAlignment="1">
      <alignment horizontal="center" vertical="center" wrapText="1"/>
    </xf>
    <xf numFmtId="3" fontId="22" fillId="15" borderId="58" xfId="0" applyNumberFormat="1" applyFont="1" applyFill="1" applyBorder="1" applyAlignment="1">
      <alignment horizontal="center" vertical="center" wrapText="1"/>
    </xf>
    <xf numFmtId="3" fontId="22" fillId="15" borderId="60" xfId="0" applyNumberFormat="1" applyFont="1" applyFill="1" applyBorder="1" applyAlignment="1">
      <alignment horizontal="center" vertical="center" wrapText="1"/>
    </xf>
    <xf numFmtId="3" fontId="1" fillId="0" borderId="63" xfId="3" applyNumberFormat="1" applyFont="1" applyFill="1" applyBorder="1" applyAlignment="1">
      <alignment vertical="center"/>
    </xf>
    <xf numFmtId="164" fontId="23" fillId="0" borderId="62" xfId="2" applyNumberFormat="1" applyFont="1" applyFill="1" applyBorder="1" applyAlignment="1">
      <alignment horizontal="right" vertical="center"/>
    </xf>
    <xf numFmtId="0" fontId="2" fillId="0" borderId="96" xfId="2" applyFont="1" applyFill="1" applyBorder="1" applyAlignment="1">
      <alignment vertical="center"/>
    </xf>
    <xf numFmtId="164" fontId="3" fillId="4" borderId="102" xfId="2" applyNumberFormat="1" applyFont="1" applyFill="1" applyBorder="1" applyAlignment="1">
      <alignment horizontal="right" vertical="center"/>
    </xf>
    <xf numFmtId="3" fontId="40" fillId="0" borderId="64" xfId="2" applyNumberFormat="1" applyFont="1" applyFill="1" applyBorder="1" applyAlignment="1">
      <alignment vertical="top" wrapText="1"/>
    </xf>
    <xf numFmtId="164" fontId="15" fillId="0" borderId="102" xfId="2" applyNumberFormat="1" applyFont="1" applyFill="1" applyBorder="1" applyAlignment="1">
      <alignment horizontal="right" vertical="center"/>
    </xf>
    <xf numFmtId="0" fontId="29" fillId="0" borderId="0" xfId="0" applyFont="1"/>
    <xf numFmtId="164" fontId="23" fillId="0" borderId="102" xfId="2" applyNumberFormat="1" applyFont="1" applyFill="1" applyBorder="1" applyAlignment="1">
      <alignment horizontal="right" vertical="center"/>
    </xf>
    <xf numFmtId="0" fontId="40" fillId="0" borderId="64" xfId="2" applyFont="1" applyFill="1" applyBorder="1" applyAlignment="1">
      <alignment vertical="top"/>
    </xf>
    <xf numFmtId="3" fontId="29" fillId="0" borderId="79" xfId="3" applyNumberFormat="1" applyFont="1" applyFill="1" applyBorder="1" applyAlignment="1">
      <alignment vertical="center"/>
    </xf>
    <xf numFmtId="3" fontId="15" fillId="0" borderId="80" xfId="2" applyNumberFormat="1" applyFont="1" applyFill="1" applyBorder="1" applyAlignment="1">
      <alignment horizontal="right" vertical="center"/>
    </xf>
    <xf numFmtId="3" fontId="4" fillId="0" borderId="80" xfId="2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horizontal="left" vertical="center"/>
    </xf>
    <xf numFmtId="3" fontId="22" fillId="4" borderId="64" xfId="2" applyNumberFormat="1" applyFont="1" applyFill="1" applyBorder="1" applyAlignment="1"/>
    <xf numFmtId="3" fontId="4" fillId="0" borderId="13" xfId="2" applyNumberFormat="1" applyFont="1" applyFill="1" applyBorder="1" applyAlignment="1">
      <alignment horizontal="right" vertical="center"/>
    </xf>
    <xf numFmtId="3" fontId="4" fillId="0" borderId="15" xfId="2" applyNumberFormat="1" applyFont="1" applyFill="1" applyBorder="1" applyAlignment="1">
      <alignment horizontal="right" vertical="center"/>
    </xf>
    <xf numFmtId="164" fontId="23" fillId="0" borderId="103" xfId="2" applyNumberFormat="1" applyFont="1" applyFill="1" applyBorder="1" applyAlignment="1">
      <alignment horizontal="right" vertical="center"/>
    </xf>
    <xf numFmtId="0" fontId="3" fillId="15" borderId="80" xfId="2" applyFont="1" applyFill="1" applyBorder="1" applyAlignment="1">
      <alignment vertical="center" wrapText="1"/>
    </xf>
    <xf numFmtId="0" fontId="3" fillId="4" borderId="64" xfId="2" applyFont="1" applyFill="1" applyBorder="1" applyAlignment="1">
      <alignment horizontal="left" vertical="center"/>
    </xf>
    <xf numFmtId="164" fontId="22" fillId="4" borderId="62" xfId="2" applyNumberFormat="1" applyFont="1" applyFill="1" applyBorder="1" applyAlignment="1">
      <alignment horizontal="right" vertical="center"/>
    </xf>
    <xf numFmtId="164" fontId="3" fillId="4" borderId="64" xfId="2" applyNumberFormat="1" applyFont="1" applyFill="1" applyBorder="1" applyAlignment="1">
      <alignment horizontal="right" vertical="center"/>
    </xf>
    <xf numFmtId="164" fontId="15" fillId="0" borderId="64" xfId="2" applyNumberFormat="1" applyFont="1" applyFill="1" applyBorder="1" applyAlignment="1">
      <alignment horizontal="right" vertical="center"/>
    </xf>
    <xf numFmtId="164" fontId="23" fillId="0" borderId="64" xfId="2" applyNumberFormat="1" applyFont="1" applyFill="1" applyBorder="1" applyAlignment="1">
      <alignment horizontal="right" vertical="center"/>
    </xf>
    <xf numFmtId="164" fontId="24" fillId="0" borderId="62" xfId="2" applyNumberFormat="1" applyFont="1" applyFill="1" applyBorder="1" applyAlignment="1">
      <alignment horizontal="right" vertical="center"/>
    </xf>
    <xf numFmtId="164" fontId="24" fillId="0" borderId="64" xfId="2" applyNumberFormat="1" applyFont="1" applyFill="1" applyBorder="1" applyAlignment="1">
      <alignment horizontal="right" vertical="center"/>
    </xf>
    <xf numFmtId="3" fontId="2" fillId="0" borderId="80" xfId="2" applyNumberFormat="1" applyFont="1" applyFill="1" applyBorder="1" applyAlignment="1">
      <alignment horizontal="right" vertical="center"/>
    </xf>
    <xf numFmtId="3" fontId="4" fillId="0" borderId="70" xfId="2" applyNumberFormat="1" applyFont="1" applyFill="1" applyBorder="1" applyAlignment="1">
      <alignment horizontal="right" vertical="center"/>
    </xf>
    <xf numFmtId="164" fontId="23" fillId="0" borderId="70" xfId="2" applyNumberFormat="1" applyFont="1" applyFill="1" applyBorder="1" applyAlignment="1">
      <alignment horizontal="right" vertical="center"/>
    </xf>
    <xf numFmtId="164" fontId="40" fillId="0" borderId="64" xfId="2" applyNumberFormat="1" applyFont="1" applyFill="1" applyBorder="1" applyAlignment="1">
      <alignment horizontal="right" vertical="center"/>
    </xf>
    <xf numFmtId="3" fontId="22" fillId="4" borderId="102" xfId="2" applyNumberFormat="1" applyFont="1" applyFill="1" applyBorder="1" applyAlignment="1">
      <alignment horizontal="right" vertical="center"/>
    </xf>
    <xf numFmtId="3" fontId="15" fillId="0" borderId="102" xfId="2" applyNumberFormat="1" applyFont="1" applyFill="1" applyBorder="1" applyAlignment="1">
      <alignment horizontal="right" vertical="center"/>
    </xf>
    <xf numFmtId="3" fontId="4" fillId="0" borderId="102" xfId="2" applyNumberFormat="1" applyFont="1" applyFill="1" applyBorder="1" applyAlignment="1">
      <alignment horizontal="right" vertical="center"/>
    </xf>
    <xf numFmtId="3" fontId="2" fillId="0" borderId="102" xfId="2" applyNumberFormat="1" applyFont="1" applyFill="1" applyBorder="1" applyAlignment="1">
      <alignment horizontal="right" vertical="center"/>
    </xf>
    <xf numFmtId="3" fontId="29" fillId="0" borderId="102" xfId="3" applyNumberFormat="1" applyFont="1" applyFill="1" applyBorder="1" applyAlignment="1">
      <alignment vertical="center"/>
    </xf>
    <xf numFmtId="3" fontId="1" fillId="0" borderId="102" xfId="3" applyNumberFormat="1" applyFont="1" applyFill="1" applyBorder="1" applyAlignment="1">
      <alignment vertical="center"/>
    </xf>
    <xf numFmtId="3" fontId="2" fillId="0" borderId="103" xfId="2" applyNumberFormat="1" applyFont="1" applyFill="1" applyBorder="1" applyAlignment="1">
      <alignment horizontal="right" vertical="center"/>
    </xf>
    <xf numFmtId="3" fontId="22" fillId="4" borderId="66" xfId="2" applyNumberFormat="1" applyFont="1" applyFill="1" applyBorder="1" applyAlignment="1">
      <alignment horizontal="right" vertical="center"/>
    </xf>
    <xf numFmtId="3" fontId="4" fillId="0" borderId="66" xfId="2" applyNumberFormat="1" applyFont="1" applyFill="1" applyBorder="1" applyAlignment="1">
      <alignment horizontal="right" vertical="center"/>
    </xf>
    <xf numFmtId="164" fontId="24" fillId="0" borderId="68" xfId="2" applyNumberFormat="1" applyFont="1" applyFill="1" applyBorder="1" applyAlignment="1">
      <alignment horizontal="right" vertical="center"/>
    </xf>
    <xf numFmtId="43" fontId="24" fillId="0" borderId="62" xfId="1" applyFont="1" applyFill="1" applyBorder="1" applyAlignment="1">
      <alignment horizontal="right" vertical="center"/>
    </xf>
    <xf numFmtId="3" fontId="1" fillId="0" borderId="77" xfId="3" applyNumberFormat="1" applyFont="1" applyFill="1" applyBorder="1" applyAlignment="1">
      <alignment vertical="center"/>
    </xf>
    <xf numFmtId="43" fontId="1" fillId="0" borderId="77" xfId="1" applyFont="1" applyFill="1" applyBorder="1" applyAlignment="1">
      <alignment vertical="center"/>
    </xf>
    <xf numFmtId="43" fontId="1" fillId="0" borderId="80" xfId="1" applyFont="1" applyFill="1" applyBorder="1" applyAlignment="1">
      <alignment vertical="center"/>
    </xf>
    <xf numFmtId="164" fontId="24" fillId="0" borderId="77" xfId="2" applyNumberFormat="1" applyFont="1" applyFill="1" applyBorder="1" applyAlignment="1">
      <alignment horizontal="right" vertical="center"/>
    </xf>
    <xf numFmtId="43" fontId="24" fillId="0" borderId="77" xfId="1" applyFont="1" applyFill="1" applyBorder="1" applyAlignment="1">
      <alignment horizontal="right" vertical="center"/>
    </xf>
    <xf numFmtId="3" fontId="1" fillId="0" borderId="129" xfId="3" applyNumberFormat="1" applyFont="1" applyFill="1" applyBorder="1" applyAlignment="1">
      <alignment vertical="center"/>
    </xf>
    <xf numFmtId="3" fontId="24" fillId="0" borderId="64" xfId="2" applyNumberFormat="1" applyFont="1" applyFill="1" applyBorder="1" applyAlignment="1">
      <alignment horizontal="right" vertical="center"/>
    </xf>
    <xf numFmtId="3" fontId="24" fillId="0" borderId="70" xfId="2" applyNumberFormat="1" applyFont="1" applyFill="1" applyBorder="1" applyAlignment="1">
      <alignment horizontal="right" vertical="center"/>
    </xf>
    <xf numFmtId="3" fontId="22" fillId="0" borderId="62" xfId="2" applyNumberFormat="1" applyFont="1" applyFill="1" applyBorder="1" applyAlignment="1">
      <alignment horizontal="right" vertical="center"/>
    </xf>
    <xf numFmtId="3" fontId="3" fillId="15" borderId="101" xfId="2" applyNumberFormat="1" applyFont="1" applyFill="1" applyBorder="1" applyAlignment="1">
      <alignment horizontal="right" vertical="center"/>
    </xf>
    <xf numFmtId="3" fontId="15" fillId="2" borderId="68" xfId="2" applyNumberFormat="1" applyFont="1" applyFill="1" applyBorder="1" applyAlignment="1">
      <alignment vertical="top" wrapText="1"/>
    </xf>
    <xf numFmtId="3" fontId="29" fillId="0" borderId="72" xfId="3" applyNumberFormat="1" applyFont="1" applyFill="1" applyBorder="1" applyAlignment="1">
      <alignment vertical="center"/>
    </xf>
    <xf numFmtId="3" fontId="29" fillId="0" borderId="68" xfId="3" applyNumberFormat="1" applyFont="1" applyFill="1" applyBorder="1" applyAlignment="1">
      <alignment vertical="center"/>
    </xf>
    <xf numFmtId="3" fontId="29" fillId="0" borderId="103" xfId="3" applyNumberFormat="1" applyFont="1" applyFill="1" applyBorder="1" applyAlignment="1">
      <alignment vertical="center"/>
    </xf>
    <xf numFmtId="3" fontId="29" fillId="0" borderId="67" xfId="3" applyNumberFormat="1" applyFont="1" applyFill="1" applyBorder="1" applyAlignment="1">
      <alignment vertical="center"/>
    </xf>
    <xf numFmtId="0" fontId="1" fillId="0" borderId="13" xfId="0" applyFont="1" applyBorder="1"/>
    <xf numFmtId="3" fontId="29" fillId="0" borderId="96" xfId="3" applyNumberFormat="1" applyFont="1" applyFill="1" applyBorder="1" applyAlignment="1">
      <alignment vertical="center"/>
    </xf>
    <xf numFmtId="0" fontId="1" fillId="0" borderId="15" xfId="0" applyFont="1" applyBorder="1"/>
    <xf numFmtId="3" fontId="29" fillId="0" borderId="70" xfId="3" applyNumberFormat="1" applyFont="1" applyFill="1" applyBorder="1" applyAlignment="1">
      <alignment vertical="center"/>
    </xf>
    <xf numFmtId="0" fontId="2" fillId="0" borderId="58" xfId="2" applyFont="1" applyFill="1" applyBorder="1" applyAlignment="1">
      <alignment vertical="top"/>
    </xf>
    <xf numFmtId="3" fontId="1" fillId="0" borderId="101" xfId="3" applyNumberFormat="1" applyFont="1" applyFill="1" applyBorder="1" applyAlignment="1">
      <alignment vertical="center"/>
    </xf>
    <xf numFmtId="3" fontId="1" fillId="0" borderId="58" xfId="3" applyNumberFormat="1" applyFont="1" applyFill="1" applyBorder="1" applyAlignment="1">
      <alignment vertical="center"/>
    </xf>
    <xf numFmtId="3" fontId="1" fillId="0" borderId="104" xfId="3" applyNumberFormat="1" applyFont="1" applyFill="1" applyBorder="1" applyAlignment="1">
      <alignment vertical="center"/>
    </xf>
    <xf numFmtId="3" fontId="1" fillId="0" borderId="57" xfId="3" applyNumberFormat="1" applyFont="1" applyFill="1" applyBorder="1" applyAlignment="1">
      <alignment vertical="center"/>
    </xf>
    <xf numFmtId="0" fontId="1" fillId="0" borderId="20" xfId="0" applyFont="1" applyBorder="1"/>
    <xf numFmtId="3" fontId="1" fillId="0" borderId="98" xfId="3" applyNumberFormat="1" applyFont="1" applyFill="1" applyBorder="1" applyAlignment="1">
      <alignment vertical="center"/>
    </xf>
    <xf numFmtId="0" fontId="1" fillId="0" borderId="34" xfId="0" applyFont="1" applyBorder="1"/>
    <xf numFmtId="3" fontId="1" fillId="0" borderId="60" xfId="3" applyNumberFormat="1" applyFont="1" applyFill="1" applyBorder="1" applyAlignment="1">
      <alignment vertical="center"/>
    </xf>
    <xf numFmtId="0" fontId="1" fillId="0" borderId="8" xfId="0" applyFont="1" applyBorder="1"/>
    <xf numFmtId="0" fontId="1" fillId="0" borderId="10" xfId="0" applyFont="1" applyBorder="1"/>
    <xf numFmtId="3" fontId="29" fillId="0" borderId="71" xfId="3" applyNumberFormat="1" applyFont="1" applyFill="1" applyBorder="1" applyAlignment="1">
      <alignment vertical="center"/>
    </xf>
    <xf numFmtId="3" fontId="1" fillId="0" borderId="66" xfId="3" applyNumberFormat="1" applyFont="1" applyFill="1" applyBorder="1" applyAlignment="1">
      <alignment vertical="center"/>
    </xf>
    <xf numFmtId="0" fontId="1" fillId="0" borderId="7" xfId="0" applyFont="1" applyBorder="1"/>
    <xf numFmtId="0" fontId="1" fillId="0" borderId="9" xfId="0" applyFont="1" applyBorder="1"/>
    <xf numFmtId="3" fontId="1" fillId="0" borderId="103" xfId="3" applyNumberFormat="1" applyFont="1" applyFill="1" applyBorder="1" applyAlignment="1">
      <alignment vertical="center"/>
    </xf>
    <xf numFmtId="3" fontId="1" fillId="0" borderId="96" xfId="3" applyNumberFormat="1" applyFont="1" applyFill="1" applyBorder="1" applyAlignment="1">
      <alignment vertical="center"/>
    </xf>
    <xf numFmtId="164" fontId="3" fillId="4" borderId="77" xfId="2" applyNumberFormat="1" applyFont="1" applyFill="1" applyBorder="1" applyAlignment="1">
      <alignment horizontal="right" vertical="center"/>
    </xf>
    <xf numFmtId="164" fontId="3" fillId="4" borderId="80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>
      <alignment horizontal="center" vertical="center" wrapText="1"/>
    </xf>
    <xf numFmtId="0" fontId="1" fillId="15" borderId="0" xfId="0" applyFont="1" applyFill="1"/>
    <xf numFmtId="0" fontId="3" fillId="4" borderId="127" xfId="2" applyFont="1" applyFill="1" applyBorder="1" applyAlignment="1">
      <alignment horizontal="left" vertical="center"/>
    </xf>
    <xf numFmtId="0" fontId="7" fillId="4" borderId="21" xfId="2" applyFont="1" applyFill="1" applyBorder="1" applyAlignment="1">
      <alignment horizontal="left" vertical="center"/>
    </xf>
    <xf numFmtId="3" fontId="22" fillId="4" borderId="22" xfId="2" applyNumberFormat="1" applyFont="1" applyFill="1" applyBorder="1" applyAlignment="1">
      <alignment horizontal="right" vertical="center"/>
    </xf>
    <xf numFmtId="3" fontId="40" fillId="2" borderId="127" xfId="2" applyNumberFormat="1" applyFont="1" applyFill="1" applyBorder="1" applyAlignment="1">
      <alignment vertical="top" wrapText="1"/>
    </xf>
    <xf numFmtId="3" fontId="15" fillId="0" borderId="22" xfId="2" applyNumberFormat="1" applyFont="1" applyFill="1" applyBorder="1" applyAlignment="1">
      <alignment horizontal="right" vertical="center"/>
    </xf>
    <xf numFmtId="0" fontId="2" fillId="0" borderId="127" xfId="2" applyFont="1" applyFill="1" applyBorder="1" applyAlignment="1">
      <alignment vertical="top"/>
    </xf>
    <xf numFmtId="3" fontId="1" fillId="0" borderId="22" xfId="3" applyNumberFormat="1" applyFont="1" applyFill="1" applyBorder="1" applyAlignment="1">
      <alignment vertical="center"/>
    </xf>
    <xf numFmtId="0" fontId="40" fillId="2" borderId="127" xfId="2" applyFont="1" applyFill="1" applyBorder="1" applyAlignment="1">
      <alignment vertical="top"/>
    </xf>
    <xf numFmtId="3" fontId="29" fillId="0" borderId="22" xfId="3" applyNumberFormat="1" applyFont="1" applyFill="1" applyBorder="1" applyAlignment="1">
      <alignment vertical="center"/>
    </xf>
    <xf numFmtId="43" fontId="29" fillId="0" borderId="22" xfId="1" applyFont="1" applyFill="1" applyBorder="1" applyAlignment="1">
      <alignment vertical="center"/>
    </xf>
    <xf numFmtId="0" fontId="2" fillId="0" borderId="90" xfId="2" applyFont="1" applyFill="1" applyBorder="1" applyAlignment="1">
      <alignment vertical="top"/>
    </xf>
    <xf numFmtId="43" fontId="1" fillId="0" borderId="22" xfId="1" applyFont="1" applyFill="1" applyBorder="1" applyAlignment="1">
      <alignment vertical="center"/>
    </xf>
    <xf numFmtId="0" fontId="3" fillId="4" borderId="144" xfId="2" applyFont="1" applyFill="1" applyBorder="1" applyAlignment="1">
      <alignment horizontal="left" vertical="center"/>
    </xf>
    <xf numFmtId="3" fontId="3" fillId="4" borderId="22" xfId="2" applyNumberFormat="1" applyFont="1" applyFill="1" applyBorder="1" applyAlignment="1"/>
    <xf numFmtId="43" fontId="3" fillId="4" borderId="22" xfId="1" applyFont="1" applyFill="1" applyBorder="1" applyAlignment="1"/>
    <xf numFmtId="3" fontId="29" fillId="0" borderId="25" xfId="3" applyNumberFormat="1" applyFont="1" applyFill="1" applyBorder="1" applyAlignment="1">
      <alignment vertical="center"/>
    </xf>
    <xf numFmtId="43" fontId="29" fillId="0" borderId="25" xfId="1" applyFont="1" applyFill="1" applyBorder="1" applyAlignment="1">
      <alignment vertical="center"/>
    </xf>
    <xf numFmtId="0" fontId="2" fillId="0" borderId="139" xfId="2" applyFont="1" applyFill="1" applyBorder="1" applyAlignment="1">
      <alignment vertical="center"/>
    </xf>
    <xf numFmtId="3" fontId="1" fillId="0" borderId="33" xfId="3" applyNumberFormat="1" applyFont="1" applyFill="1" applyBorder="1" applyAlignment="1">
      <alignment vertical="center"/>
    </xf>
    <xf numFmtId="43" fontId="1" fillId="0" borderId="33" xfId="1" applyFont="1" applyFill="1" applyBorder="1" applyAlignment="1">
      <alignment vertical="center"/>
    </xf>
    <xf numFmtId="0" fontId="1" fillId="0" borderId="40" xfId="0" applyFont="1" applyBorder="1"/>
    <xf numFmtId="0" fontId="1" fillId="0" borderId="19" xfId="0" applyFont="1" applyBorder="1"/>
    <xf numFmtId="0" fontId="8" fillId="0" borderId="19" xfId="0" applyFont="1" applyBorder="1"/>
    <xf numFmtId="0" fontId="8" fillId="0" borderId="87" xfId="0" applyFont="1" applyBorder="1"/>
    <xf numFmtId="0" fontId="1" fillId="0" borderId="47" xfId="0" applyFont="1" applyBorder="1"/>
    <xf numFmtId="0" fontId="8" fillId="0" borderId="88" xfId="0" applyFont="1" applyBorder="1"/>
    <xf numFmtId="0" fontId="1" fillId="0" borderId="46" xfId="0" applyFont="1" applyBorder="1"/>
    <xf numFmtId="0" fontId="1" fillId="0" borderId="12" xfId="0" applyFont="1" applyBorder="1"/>
    <xf numFmtId="0" fontId="8" fillId="0" borderId="12" xfId="0" applyFont="1" applyBorder="1"/>
    <xf numFmtId="0" fontId="8" fillId="0" borderId="92" xfId="0" applyFont="1" applyBorder="1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26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3" fontId="15" fillId="0" borderId="108" xfId="0" quotePrefix="1" applyNumberFormat="1" applyFont="1" applyFill="1" applyBorder="1" applyAlignment="1">
      <alignment vertical="center"/>
    </xf>
    <xf numFmtId="0" fontId="1" fillId="0" borderId="6" xfId="0" applyFont="1" applyBorder="1"/>
    <xf numFmtId="3" fontId="15" fillId="0" borderId="111" xfId="0" quotePrefix="1" applyNumberFormat="1" applyFont="1" applyFill="1" applyBorder="1" applyAlignment="1">
      <alignment vertical="center"/>
    </xf>
    <xf numFmtId="3" fontId="15" fillId="2" borderId="123" xfId="0" quotePrefix="1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5" fillId="2" borderId="15" xfId="0" quotePrefix="1" applyNumberFormat="1" applyFont="1" applyFill="1" applyBorder="1" applyAlignment="1">
      <alignment vertical="top"/>
    </xf>
    <xf numFmtId="3" fontId="15" fillId="0" borderId="13" xfId="0" quotePrefix="1" applyNumberFormat="1" applyFont="1" applyFill="1" applyBorder="1" applyAlignment="1">
      <alignment vertical="top"/>
    </xf>
    <xf numFmtId="3" fontId="15" fillId="2" borderId="31" xfId="0" quotePrefix="1" applyNumberFormat="1" applyFont="1" applyFill="1" applyBorder="1" applyAlignment="1">
      <alignment vertical="top"/>
    </xf>
    <xf numFmtId="3" fontId="15" fillId="2" borderId="13" xfId="0" quotePrefix="1" applyNumberFormat="1" applyFont="1" applyFill="1" applyBorder="1" applyAlignment="1">
      <alignment vertical="top"/>
    </xf>
    <xf numFmtId="0" fontId="22" fillId="4" borderId="20" xfId="2" applyFont="1" applyFill="1" applyBorder="1" applyAlignment="1">
      <alignment horizontal="left" vertical="center"/>
    </xf>
    <xf numFmtId="0" fontId="7" fillId="4" borderId="81" xfId="2" applyFont="1" applyFill="1" applyBorder="1" applyAlignment="1">
      <alignment horizontal="left" vertical="center"/>
    </xf>
    <xf numFmtId="3" fontId="22" fillId="4" borderId="101" xfId="0" applyNumberFormat="1" applyFont="1" applyFill="1" applyBorder="1" applyAlignment="1">
      <alignment vertical="center"/>
    </xf>
    <xf numFmtId="3" fontId="22" fillId="4" borderId="60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22" fillId="4" borderId="34" xfId="0" applyNumberFormat="1" applyFont="1" applyFill="1" applyBorder="1" applyAlignment="1">
      <alignment vertical="center"/>
    </xf>
    <xf numFmtId="3" fontId="22" fillId="4" borderId="59" xfId="0" applyNumberFormat="1" applyFont="1" applyFill="1" applyBorder="1" applyAlignment="1">
      <alignment vertical="center"/>
    </xf>
    <xf numFmtId="3" fontId="22" fillId="4" borderId="17" xfId="0" applyNumberFormat="1" applyFont="1" applyFill="1" applyBorder="1" applyAlignment="1">
      <alignment vertical="center"/>
    </xf>
    <xf numFmtId="3" fontId="22" fillId="4" borderId="58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0" fontId="15" fillId="6" borderId="62" xfId="2" applyFont="1" applyFill="1" applyBorder="1" applyAlignment="1">
      <alignment vertical="center"/>
    </xf>
    <xf numFmtId="3" fontId="22" fillId="6" borderId="71" xfId="0" applyNumberFormat="1" applyFont="1" applyFill="1" applyBorder="1" applyAlignment="1">
      <alignment vertical="center"/>
    </xf>
    <xf numFmtId="3" fontId="22" fillId="6" borderId="64" xfId="0" applyNumberFormat="1" applyFont="1" applyFill="1" applyBorder="1" applyAlignment="1">
      <alignment vertical="center"/>
    </xf>
    <xf numFmtId="3" fontId="22" fillId="6" borderId="63" xfId="0" applyNumberFormat="1" applyFont="1" applyFill="1" applyBorder="1" applyAlignment="1">
      <alignment vertical="center"/>
    </xf>
    <xf numFmtId="3" fontId="22" fillId="6" borderId="61" xfId="0" applyNumberFormat="1" applyFont="1" applyFill="1" applyBorder="1" applyAlignment="1">
      <alignment vertical="center"/>
    </xf>
    <xf numFmtId="3" fontId="22" fillId="6" borderId="6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6" borderId="62" xfId="2" applyFont="1" applyFill="1" applyBorder="1" applyAlignment="1">
      <alignment vertical="center"/>
    </xf>
    <xf numFmtId="3" fontId="4" fillId="6" borderId="86" xfId="0" applyNumberFormat="1" applyFont="1" applyFill="1" applyBorder="1" applyAlignment="1">
      <alignment vertical="center"/>
    </xf>
    <xf numFmtId="3" fontId="4" fillId="6" borderId="80" xfId="0" applyNumberFormat="1" applyFont="1" applyFill="1" applyBorder="1" applyAlignment="1">
      <alignment vertical="center"/>
    </xf>
    <xf numFmtId="3" fontId="4" fillId="6" borderId="78" xfId="0" applyNumberFormat="1" applyFont="1" applyFill="1" applyBorder="1" applyAlignment="1">
      <alignment vertical="center"/>
    </xf>
    <xf numFmtId="3" fontId="4" fillId="6" borderId="79" xfId="0" applyNumberFormat="1" applyFont="1" applyFill="1" applyBorder="1" applyAlignment="1">
      <alignment vertical="center"/>
    </xf>
    <xf numFmtId="3" fontId="4" fillId="6" borderId="77" xfId="0" applyNumberFormat="1" applyFont="1" applyFill="1" applyBorder="1" applyAlignment="1">
      <alignment vertical="center"/>
    </xf>
    <xf numFmtId="0" fontId="4" fillId="6" borderId="62" xfId="0" applyFont="1" applyFill="1" applyBorder="1" applyAlignment="1">
      <alignment vertical="top"/>
    </xf>
    <xf numFmtId="3" fontId="4" fillId="6" borderId="47" xfId="0" applyNumberFormat="1" applyFont="1" applyFill="1" applyBorder="1" applyAlignment="1">
      <alignment vertical="top"/>
    </xf>
    <xf numFmtId="3" fontId="4" fillId="6" borderId="10" xfId="0" applyNumberFormat="1" applyFont="1" applyFill="1" applyBorder="1" applyAlignment="1">
      <alignment vertical="top"/>
    </xf>
    <xf numFmtId="3" fontId="4" fillId="6" borderId="6" xfId="0" applyNumberFormat="1" applyFont="1" applyFill="1" applyBorder="1" applyAlignment="1">
      <alignment vertical="top"/>
    </xf>
    <xf numFmtId="3" fontId="4" fillId="6" borderId="7" xfId="0" applyNumberFormat="1" applyFont="1" applyFill="1" applyBorder="1" applyAlignment="1">
      <alignment vertical="top"/>
    </xf>
    <xf numFmtId="3" fontId="4" fillId="6" borderId="8" xfId="0" applyNumberFormat="1" applyFont="1" applyFill="1" applyBorder="1" applyAlignment="1">
      <alignment vertical="top"/>
    </xf>
    <xf numFmtId="3" fontId="4" fillId="6" borderId="80" xfId="0" applyNumberFormat="1" applyFont="1" applyFill="1" applyBorder="1" applyAlignment="1">
      <alignment vertical="top"/>
    </xf>
    <xf numFmtId="0" fontId="4" fillId="6" borderId="8" xfId="0" applyFont="1" applyFill="1" applyBorder="1" applyAlignment="1">
      <alignment vertical="top"/>
    </xf>
    <xf numFmtId="3" fontId="4" fillId="6" borderId="117" xfId="0" applyNumberFormat="1" applyFont="1" applyFill="1" applyBorder="1" applyAlignment="1">
      <alignment vertical="top"/>
    </xf>
    <xf numFmtId="3" fontId="4" fillId="6" borderId="91" xfId="0" applyNumberFormat="1" applyFont="1" applyFill="1" applyBorder="1" applyAlignment="1">
      <alignment vertical="top"/>
    </xf>
    <xf numFmtId="3" fontId="4" fillId="6" borderId="95" xfId="0" applyNumberFormat="1" applyFont="1" applyFill="1" applyBorder="1" applyAlignment="1">
      <alignment vertical="top"/>
    </xf>
    <xf numFmtId="3" fontId="4" fillId="6" borderId="93" xfId="0" applyNumberFormat="1" applyFont="1" applyFill="1" applyBorder="1" applyAlignment="1">
      <alignment vertical="top"/>
    </xf>
    <xf numFmtId="164" fontId="4" fillId="6" borderId="10" xfId="0" applyNumberFormat="1" applyFont="1" applyFill="1" applyBorder="1" applyAlignment="1">
      <alignment vertical="top"/>
    </xf>
    <xf numFmtId="3" fontId="4" fillId="6" borderId="94" xfId="0" applyNumberFormat="1" applyFont="1" applyFill="1" applyBorder="1" applyAlignment="1">
      <alignment vertical="top"/>
    </xf>
    <xf numFmtId="0" fontId="4" fillId="6" borderId="94" xfId="0" applyFont="1" applyFill="1" applyBorder="1" applyAlignment="1">
      <alignment vertical="top" wrapText="1"/>
    </xf>
    <xf numFmtId="3" fontId="4" fillId="6" borderId="64" xfId="0" applyNumberFormat="1" applyFont="1" applyFill="1" applyBorder="1" applyAlignment="1">
      <alignment vertical="top"/>
    </xf>
    <xf numFmtId="3" fontId="4" fillId="6" borderId="61" xfId="0" applyNumberFormat="1" applyFont="1" applyFill="1" applyBorder="1" applyAlignment="1">
      <alignment vertical="top"/>
    </xf>
    <xf numFmtId="164" fontId="4" fillId="6" borderId="64" xfId="0" applyNumberFormat="1" applyFont="1" applyFill="1" applyBorder="1" applyAlignment="1">
      <alignment vertical="top"/>
    </xf>
    <xf numFmtId="3" fontId="4" fillId="6" borderId="62" xfId="0" applyNumberFormat="1" applyFont="1" applyFill="1" applyBorder="1" applyAlignment="1">
      <alignment vertical="top"/>
    </xf>
    <xf numFmtId="3" fontId="22" fillId="6" borderId="117" xfId="0" applyNumberFormat="1" applyFont="1" applyFill="1" applyBorder="1" applyAlignment="1">
      <alignment vertical="center"/>
    </xf>
    <xf numFmtId="3" fontId="22" fillId="6" borderId="95" xfId="0" applyNumberFormat="1" applyFont="1" applyFill="1" applyBorder="1" applyAlignment="1">
      <alignment vertical="center"/>
    </xf>
    <xf numFmtId="164" fontId="22" fillId="6" borderId="64" xfId="0" applyNumberFormat="1" applyFont="1" applyFill="1" applyBorder="1" applyAlignment="1">
      <alignment vertical="center"/>
    </xf>
    <xf numFmtId="0" fontId="4" fillId="6" borderId="62" xfId="2" applyFont="1" applyFill="1" applyBorder="1" applyAlignment="1">
      <alignment vertical="top" wrapText="1"/>
    </xf>
    <xf numFmtId="3" fontId="22" fillId="4" borderId="117" xfId="0" applyNumberFormat="1" applyFont="1" applyFill="1" applyBorder="1" applyAlignment="1">
      <alignment vertical="top"/>
    </xf>
    <xf numFmtId="3" fontId="22" fillId="4" borderId="64" xfId="0" applyNumberFormat="1" applyFont="1" applyFill="1" applyBorder="1" applyAlignment="1">
      <alignment vertical="top"/>
    </xf>
    <xf numFmtId="3" fontId="22" fillId="4" borderId="10" xfId="0" applyNumberFormat="1" applyFont="1" applyFill="1" applyBorder="1" applyAlignment="1">
      <alignment vertical="top"/>
    </xf>
    <xf numFmtId="3" fontId="22" fillId="4" borderId="63" xfId="0" applyNumberFormat="1" applyFont="1" applyFill="1" applyBorder="1" applyAlignment="1">
      <alignment vertical="top"/>
    </xf>
    <xf numFmtId="3" fontId="22" fillId="4" borderId="79" xfId="0" applyNumberFormat="1" applyFont="1" applyFill="1" applyBorder="1" applyAlignment="1">
      <alignment vertical="top"/>
    </xf>
    <xf numFmtId="164" fontId="22" fillId="4" borderId="64" xfId="0" applyNumberFormat="1" applyFont="1" applyFill="1" applyBorder="1" applyAlignment="1">
      <alignment vertical="top"/>
    </xf>
    <xf numFmtId="3" fontId="22" fillId="4" borderId="62" xfId="0" applyNumberFormat="1" applyFont="1" applyFill="1" applyBorder="1" applyAlignment="1">
      <alignment vertical="top"/>
    </xf>
    <xf numFmtId="3" fontId="22" fillId="4" borderId="80" xfId="0" applyNumberFormat="1" applyFont="1" applyFill="1" applyBorder="1" applyAlignment="1">
      <alignment vertical="center"/>
    </xf>
    <xf numFmtId="0" fontId="15" fillId="17" borderId="8" xfId="2" applyFont="1" applyFill="1" applyBorder="1" applyAlignment="1">
      <alignment vertical="center"/>
    </xf>
    <xf numFmtId="3" fontId="22" fillId="17" borderId="117" xfId="0" applyNumberFormat="1" applyFont="1" applyFill="1" applyBorder="1" applyAlignment="1">
      <alignment vertical="center"/>
    </xf>
    <xf numFmtId="3" fontId="22" fillId="17" borderId="64" xfId="0" applyNumberFormat="1" applyFont="1" applyFill="1" applyBorder="1" applyAlignment="1">
      <alignment vertical="center"/>
    </xf>
    <xf numFmtId="3" fontId="22" fillId="17" borderId="63" xfId="0" applyNumberFormat="1" applyFont="1" applyFill="1" applyBorder="1" applyAlignment="1">
      <alignment vertical="center"/>
    </xf>
    <xf numFmtId="3" fontId="22" fillId="17" borderId="79" xfId="0" applyNumberFormat="1" applyFont="1" applyFill="1" applyBorder="1" applyAlignment="1">
      <alignment vertical="center"/>
    </xf>
    <xf numFmtId="164" fontId="22" fillId="17" borderId="10" xfId="0" applyNumberFormat="1" applyFont="1" applyFill="1" applyBorder="1" applyAlignment="1">
      <alignment vertical="center"/>
    </xf>
    <xf numFmtId="3" fontId="22" fillId="17" borderId="62" xfId="0" applyNumberFormat="1" applyFont="1" applyFill="1" applyBorder="1" applyAlignment="1">
      <alignment vertical="center"/>
    </xf>
    <xf numFmtId="0" fontId="4" fillId="17" borderId="94" xfId="0" applyFont="1" applyFill="1" applyBorder="1" applyAlignment="1">
      <alignment vertical="top" wrapText="1"/>
    </xf>
    <xf numFmtId="3" fontId="4" fillId="17" borderId="117" xfId="0" applyNumberFormat="1" applyFont="1" applyFill="1" applyBorder="1" applyAlignment="1">
      <alignment vertical="top"/>
    </xf>
    <xf numFmtId="3" fontId="4" fillId="17" borderId="64" xfId="0" applyNumberFormat="1" applyFont="1" applyFill="1" applyBorder="1" applyAlignment="1">
      <alignment vertical="top"/>
    </xf>
    <xf numFmtId="3" fontId="4" fillId="17" borderId="80" xfId="0" applyNumberFormat="1" applyFont="1" applyFill="1" applyBorder="1" applyAlignment="1">
      <alignment vertical="top"/>
    </xf>
    <xf numFmtId="3" fontId="4" fillId="17" borderId="6" xfId="0" applyNumberFormat="1" applyFont="1" applyFill="1" applyBorder="1" applyAlignment="1">
      <alignment vertical="top"/>
    </xf>
    <xf numFmtId="3" fontId="4" fillId="17" borderId="7" xfId="0" applyNumberFormat="1" applyFont="1" applyFill="1" applyBorder="1" applyAlignment="1">
      <alignment vertical="top"/>
    </xf>
    <xf numFmtId="164" fontId="4" fillId="17" borderId="64" xfId="0" applyNumberFormat="1" applyFont="1" applyFill="1" applyBorder="1" applyAlignment="1">
      <alignment vertical="top"/>
    </xf>
    <xf numFmtId="3" fontId="4" fillId="17" borderId="8" xfId="0" applyNumberFormat="1" applyFont="1" applyFill="1" applyBorder="1" applyAlignment="1">
      <alignment vertical="top"/>
    </xf>
    <xf numFmtId="0" fontId="4" fillId="17" borderId="62" xfId="0" applyFont="1" applyFill="1" applyBorder="1" applyAlignment="1">
      <alignment vertical="top"/>
    </xf>
    <xf numFmtId="3" fontId="4" fillId="17" borderId="71" xfId="0" applyNumberFormat="1" applyFont="1" applyFill="1" applyBorder="1" applyAlignment="1">
      <alignment vertical="top"/>
    </xf>
    <xf numFmtId="3" fontId="4" fillId="17" borderId="10" xfId="0" applyNumberFormat="1" applyFont="1" applyFill="1" applyBorder="1" applyAlignment="1">
      <alignment vertical="top"/>
    </xf>
    <xf numFmtId="3" fontId="4" fillId="17" borderId="95" xfId="0" applyNumberFormat="1" applyFont="1" applyFill="1" applyBorder="1" applyAlignment="1">
      <alignment vertical="top"/>
    </xf>
    <xf numFmtId="3" fontId="4" fillId="17" borderId="61" xfId="0" applyNumberFormat="1" applyFont="1" applyFill="1" applyBorder="1" applyAlignment="1">
      <alignment vertical="top"/>
    </xf>
    <xf numFmtId="3" fontId="4" fillId="17" borderId="62" xfId="0" applyNumberFormat="1" applyFont="1" applyFill="1" applyBorder="1" applyAlignment="1">
      <alignment vertical="top"/>
    </xf>
    <xf numFmtId="3" fontId="15" fillId="17" borderId="71" xfId="0" applyNumberFormat="1" applyFont="1" applyFill="1" applyBorder="1" applyAlignment="1">
      <alignment vertical="top"/>
    </xf>
    <xf numFmtId="3" fontId="15" fillId="17" borderId="64" xfId="0" applyNumberFormat="1" applyFont="1" applyFill="1" applyBorder="1" applyAlignment="1">
      <alignment vertical="top"/>
    </xf>
    <xf numFmtId="3" fontId="15" fillId="17" borderId="63" xfId="0" applyNumberFormat="1" applyFont="1" applyFill="1" applyBorder="1" applyAlignment="1">
      <alignment vertical="top"/>
    </xf>
    <xf numFmtId="3" fontId="15" fillId="17" borderId="61" xfId="0" applyNumberFormat="1" applyFont="1" applyFill="1" applyBorder="1" applyAlignment="1">
      <alignment vertical="top"/>
    </xf>
    <xf numFmtId="164" fontId="15" fillId="17" borderId="64" xfId="0" applyNumberFormat="1" applyFont="1" applyFill="1" applyBorder="1" applyAlignment="1">
      <alignment vertical="top"/>
    </xf>
    <xf numFmtId="3" fontId="15" fillId="17" borderId="62" xfId="0" applyNumberFormat="1" applyFont="1" applyFill="1" applyBorder="1" applyAlignment="1">
      <alignment vertical="top"/>
    </xf>
    <xf numFmtId="0" fontId="4" fillId="17" borderId="68" xfId="2" applyFont="1" applyFill="1" applyBorder="1" applyAlignment="1">
      <alignment vertical="top" wrapText="1"/>
    </xf>
    <xf numFmtId="3" fontId="4" fillId="17" borderId="46" xfId="0" applyNumberFormat="1" applyFont="1" applyFill="1" applyBorder="1" applyAlignment="1">
      <alignment vertical="top"/>
    </xf>
    <xf numFmtId="3" fontId="4" fillId="17" borderId="15" xfId="0" applyNumberFormat="1" applyFont="1" applyFill="1" applyBorder="1" applyAlignment="1">
      <alignment vertical="top"/>
    </xf>
    <xf numFmtId="3" fontId="4" fillId="17" borderId="31" xfId="0" applyNumberFormat="1" applyFont="1" applyFill="1" applyBorder="1" applyAlignment="1">
      <alignment vertical="top"/>
    </xf>
    <xf numFmtId="3" fontId="4" fillId="17" borderId="11" xfId="0" applyNumberFormat="1" applyFont="1" applyFill="1" applyBorder="1" applyAlignment="1">
      <alignment vertical="top"/>
    </xf>
    <xf numFmtId="164" fontId="4" fillId="17" borderId="15" xfId="0" applyNumberFormat="1" applyFont="1" applyFill="1" applyBorder="1" applyAlignment="1">
      <alignment vertical="top"/>
    </xf>
    <xf numFmtId="3" fontId="4" fillId="17" borderId="13" xfId="0" applyNumberFormat="1" applyFont="1" applyFill="1" applyBorder="1" applyAlignment="1">
      <alignment vertical="top"/>
    </xf>
    <xf numFmtId="3" fontId="4" fillId="17" borderId="70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vertical="top" wrapText="1"/>
    </xf>
    <xf numFmtId="0" fontId="6" fillId="15" borderId="59" xfId="0" applyFont="1" applyFill="1" applyBorder="1" applyAlignment="1">
      <alignment vertical="center" wrapText="1"/>
    </xf>
    <xf numFmtId="3" fontId="2" fillId="15" borderId="57" xfId="0" applyNumberFormat="1" applyFont="1" applyFill="1" applyBorder="1" applyAlignment="1">
      <alignment vertical="top"/>
    </xf>
    <xf numFmtId="3" fontId="2" fillId="15" borderId="58" xfId="0" applyNumberFormat="1" applyFont="1" applyFill="1" applyBorder="1" applyAlignment="1">
      <alignment vertical="top"/>
    </xf>
    <xf numFmtId="3" fontId="2" fillId="15" borderId="59" xfId="0" applyNumberFormat="1" applyFont="1" applyFill="1" applyBorder="1" applyAlignment="1">
      <alignment vertical="top"/>
    </xf>
    <xf numFmtId="164" fontId="2" fillId="15" borderId="58" xfId="0" applyNumberFormat="1" applyFont="1" applyFill="1" applyBorder="1" applyAlignment="1">
      <alignment vertical="top"/>
    </xf>
    <xf numFmtId="3" fontId="4" fillId="15" borderId="6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5" fillId="4" borderId="63" xfId="0" applyFont="1" applyFill="1" applyBorder="1" applyAlignment="1">
      <alignment vertical="top" wrapText="1"/>
    </xf>
    <xf numFmtId="3" fontId="22" fillId="4" borderId="61" xfId="0" applyNumberFormat="1" applyFont="1" applyFill="1" applyBorder="1" applyAlignment="1"/>
    <xf numFmtId="3" fontId="22" fillId="4" borderId="62" xfId="0" applyNumberFormat="1" applyFont="1" applyFill="1" applyBorder="1" applyAlignment="1"/>
    <xf numFmtId="43" fontId="22" fillId="4" borderId="63" xfId="1" applyFont="1" applyFill="1" applyBorder="1" applyAlignment="1"/>
    <xf numFmtId="164" fontId="22" fillId="4" borderId="62" xfId="0" applyNumberFormat="1" applyFont="1" applyFill="1" applyBorder="1" applyAlignment="1"/>
    <xf numFmtId="3" fontId="22" fillId="4" borderId="64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3" fontId="15" fillId="2" borderId="61" xfId="0" applyNumberFormat="1" applyFont="1" applyFill="1" applyBorder="1" applyAlignment="1"/>
    <xf numFmtId="3" fontId="15" fillId="2" borderId="62" xfId="0" applyNumberFormat="1" applyFont="1" applyFill="1" applyBorder="1" applyAlignment="1"/>
    <xf numFmtId="3" fontId="15" fillId="0" borderId="61" xfId="0" applyNumberFormat="1" applyFont="1" applyFill="1" applyBorder="1" applyAlignment="1"/>
    <xf numFmtId="164" fontId="15" fillId="2" borderId="62" xfId="0" applyNumberFormat="1" applyFont="1" applyFill="1" applyBorder="1" applyAlignment="1"/>
    <xf numFmtId="3" fontId="15" fillId="2" borderId="64" xfId="0" applyNumberFormat="1" applyFont="1" applyFill="1" applyBorder="1" applyAlignment="1"/>
    <xf numFmtId="0" fontId="2" fillId="0" borderId="62" xfId="0" applyFont="1" applyFill="1" applyBorder="1" applyAlignment="1">
      <alignment vertical="top"/>
    </xf>
    <xf numFmtId="3" fontId="4" fillId="0" borderId="61" xfId="0" applyNumberFormat="1" applyFont="1" applyFill="1" applyBorder="1" applyAlignment="1">
      <alignment vertical="top"/>
    </xf>
    <xf numFmtId="3" fontId="4" fillId="0" borderId="62" xfId="0" applyNumberFormat="1" applyFont="1" applyFill="1" applyBorder="1" applyAlignment="1">
      <alignment vertical="top"/>
    </xf>
    <xf numFmtId="3" fontId="4" fillId="0" borderId="64" xfId="0" applyNumberFormat="1" applyFont="1" applyFill="1" applyBorder="1" applyAlignment="1">
      <alignment vertical="top"/>
    </xf>
    <xf numFmtId="43" fontId="4" fillId="0" borderId="63" xfId="1" applyFont="1" applyFill="1" applyBorder="1" applyAlignment="1">
      <alignment vertical="top"/>
    </xf>
    <xf numFmtId="164" fontId="4" fillId="0" borderId="62" xfId="0" applyNumberFormat="1" applyFont="1" applyFill="1" applyBorder="1" applyAlignment="1">
      <alignment vertical="top"/>
    </xf>
    <xf numFmtId="0" fontId="2" fillId="0" borderId="62" xfId="0" applyFont="1" applyFill="1" applyBorder="1" applyAlignment="1">
      <alignment vertical="top" wrapText="1"/>
    </xf>
    <xf numFmtId="43" fontId="4" fillId="0" borderId="65" xfId="1" applyFont="1" applyFill="1" applyBorder="1" applyAlignment="1">
      <alignment vertical="top"/>
    </xf>
    <xf numFmtId="3" fontId="15" fillId="0" borderId="61" xfId="0" applyNumberFormat="1" applyFont="1" applyFill="1" applyBorder="1" applyAlignment="1">
      <alignment vertical="top"/>
    </xf>
    <xf numFmtId="3" fontId="15" fillId="0" borderId="62" xfId="0" applyNumberFormat="1" applyFont="1" applyFill="1" applyBorder="1" applyAlignment="1">
      <alignment vertical="top"/>
    </xf>
    <xf numFmtId="43" fontId="15" fillId="0" borderId="63" xfId="1" applyFont="1" applyFill="1" applyBorder="1" applyAlignment="1">
      <alignment vertical="top"/>
    </xf>
    <xf numFmtId="164" fontId="15" fillId="0" borderId="62" xfId="0" applyNumberFormat="1" applyFont="1" applyFill="1" applyBorder="1" applyAlignment="1">
      <alignment vertical="top"/>
    </xf>
    <xf numFmtId="3" fontId="15" fillId="0" borderId="64" xfId="0" applyNumberFormat="1" applyFont="1" applyFill="1" applyBorder="1" applyAlignment="1">
      <alignment vertical="top"/>
    </xf>
    <xf numFmtId="0" fontId="2" fillId="0" borderId="62" xfId="2" applyFont="1" applyFill="1" applyBorder="1" applyAlignment="1">
      <alignment vertical="center"/>
    </xf>
    <xf numFmtId="0" fontId="3" fillId="4" borderId="77" xfId="2" applyFont="1" applyFill="1" applyBorder="1" applyAlignment="1">
      <alignment horizontal="left" vertical="center"/>
    </xf>
    <xf numFmtId="0" fontId="5" fillId="4" borderId="78" xfId="0" applyFont="1" applyFill="1" applyBorder="1" applyAlignment="1">
      <alignment vertical="top"/>
    </xf>
    <xf numFmtId="3" fontId="22" fillId="4" borderId="79" xfId="0" applyNumberFormat="1" applyFont="1" applyFill="1" applyBorder="1" applyAlignment="1"/>
    <xf numFmtId="3" fontId="22" fillId="4" borderId="77" xfId="0" applyNumberFormat="1" applyFont="1" applyFill="1" applyBorder="1" applyAlignment="1"/>
    <xf numFmtId="43" fontId="22" fillId="4" borderId="78" xfId="1" applyFont="1" applyFill="1" applyBorder="1" applyAlignment="1"/>
    <xf numFmtId="164" fontId="22" fillId="4" borderId="77" xfId="0" applyNumberFormat="1" applyFont="1" applyFill="1" applyBorder="1" applyAlignment="1"/>
    <xf numFmtId="3" fontId="22" fillId="4" borderId="80" xfId="0" applyNumberFormat="1" applyFont="1" applyFill="1" applyBorder="1" applyAlignment="1"/>
    <xf numFmtId="3" fontId="4" fillId="0" borderId="67" xfId="0" applyNumberFormat="1" applyFont="1" applyFill="1" applyBorder="1" applyAlignment="1">
      <alignment vertical="top"/>
    </xf>
    <xf numFmtId="3" fontId="4" fillId="0" borderId="68" xfId="0" applyNumberFormat="1" applyFont="1" applyFill="1" applyBorder="1" applyAlignment="1">
      <alignment vertical="top"/>
    </xf>
    <xf numFmtId="43" fontId="4" fillId="0" borderId="85" xfId="1" applyFont="1" applyFill="1" applyBorder="1" applyAlignment="1">
      <alignment vertical="top"/>
    </xf>
    <xf numFmtId="164" fontId="4" fillId="0" borderId="68" xfId="0" applyNumberFormat="1" applyFont="1" applyFill="1" applyBorder="1" applyAlignment="1">
      <alignment vertical="top"/>
    </xf>
    <xf numFmtId="3" fontId="4" fillId="0" borderId="70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horizontal="left" vertical="top" wrapText="1"/>
    </xf>
    <xf numFmtId="0" fontId="6" fillId="15" borderId="60" xfId="0" applyFont="1" applyFill="1" applyBorder="1" applyAlignment="1">
      <alignment vertical="center" wrapText="1"/>
    </xf>
    <xf numFmtId="3" fontId="22" fillId="15" borderId="57" xfId="0" applyNumberFormat="1" applyFont="1" applyFill="1" applyBorder="1" applyAlignment="1">
      <alignment vertical="top"/>
    </xf>
    <xf numFmtId="3" fontId="22" fillId="15" borderId="58" xfId="0" applyNumberFormat="1" applyFont="1" applyFill="1" applyBorder="1" applyAlignment="1">
      <alignment vertical="top"/>
    </xf>
    <xf numFmtId="3" fontId="22" fillId="15" borderId="59" xfId="0" applyNumberFormat="1" applyFont="1" applyFill="1" applyBorder="1" applyAlignment="1">
      <alignment vertical="top"/>
    </xf>
    <xf numFmtId="3" fontId="3" fillId="15" borderId="57" xfId="0" applyNumberFormat="1" applyFont="1" applyFill="1" applyBorder="1" applyAlignment="1">
      <alignment vertical="top"/>
    </xf>
    <xf numFmtId="164" fontId="3" fillId="15" borderId="58" xfId="0" applyNumberFormat="1" applyFont="1" applyFill="1" applyBorder="1" applyAlignment="1">
      <alignment vertical="top"/>
    </xf>
    <xf numFmtId="3" fontId="3" fillId="15" borderId="58" xfId="0" applyNumberFormat="1" applyFont="1" applyFill="1" applyBorder="1" applyAlignment="1">
      <alignment vertical="top"/>
    </xf>
    <xf numFmtId="3" fontId="22" fillId="15" borderId="60" xfId="0" applyNumberFormat="1" applyFont="1" applyFill="1" applyBorder="1" applyAlignment="1">
      <alignment vertical="top"/>
    </xf>
    <xf numFmtId="0" fontId="5" fillId="4" borderId="64" xfId="0" applyFont="1" applyFill="1" applyBorder="1" applyAlignment="1">
      <alignment vertical="top"/>
    </xf>
    <xf numFmtId="3" fontId="3" fillId="4" borderId="61" xfId="0" applyNumberFormat="1" applyFont="1" applyFill="1" applyBorder="1" applyAlignment="1"/>
    <xf numFmtId="164" fontId="3" fillId="4" borderId="62" xfId="0" applyNumberFormat="1" applyFont="1" applyFill="1" applyBorder="1" applyAlignment="1"/>
    <xf numFmtId="3" fontId="3" fillId="4" borderId="62" xfId="0" applyNumberFormat="1" applyFont="1" applyFill="1" applyBorder="1" applyAlignment="1"/>
    <xf numFmtId="3" fontId="15" fillId="0" borderId="62" xfId="0" applyNumberFormat="1" applyFont="1" applyFill="1" applyBorder="1" applyAlignment="1"/>
    <xf numFmtId="3" fontId="40" fillId="0" borderId="61" xfId="0" applyNumberFormat="1" applyFont="1" applyFill="1" applyBorder="1" applyAlignment="1"/>
    <xf numFmtId="164" fontId="40" fillId="0" borderId="62" xfId="0" applyNumberFormat="1" applyFont="1" applyFill="1" applyBorder="1" applyAlignment="1"/>
    <xf numFmtId="3" fontId="40" fillId="0" borderId="62" xfId="0" applyNumberFormat="1" applyFont="1" applyFill="1" applyBorder="1" applyAlignment="1"/>
    <xf numFmtId="3" fontId="15" fillId="0" borderId="64" xfId="0" applyNumberFormat="1" applyFont="1" applyFill="1" applyBorder="1" applyAlignment="1"/>
    <xf numFmtId="43" fontId="4" fillId="0" borderId="62" xfId="1" applyFont="1" applyFill="1" applyBorder="1" applyAlignment="1">
      <alignment vertical="top"/>
    </xf>
    <xf numFmtId="3" fontId="2" fillId="0" borderId="61" xfId="0" applyNumberFormat="1" applyFont="1" applyFill="1" applyBorder="1" applyAlignment="1">
      <alignment vertical="top"/>
    </xf>
    <xf numFmtId="164" fontId="2" fillId="0" borderId="62" xfId="0" applyNumberFormat="1" applyFont="1" applyFill="1" applyBorder="1" applyAlignment="1">
      <alignment vertical="top"/>
    </xf>
    <xf numFmtId="3" fontId="2" fillId="0" borderId="62" xfId="0" applyNumberFormat="1" applyFont="1" applyFill="1" applyBorder="1" applyAlignment="1">
      <alignment vertical="top"/>
    </xf>
    <xf numFmtId="43" fontId="24" fillId="0" borderId="62" xfId="1" applyFont="1" applyFill="1" applyBorder="1" applyAlignment="1">
      <alignment vertical="top"/>
    </xf>
    <xf numFmtId="43" fontId="15" fillId="0" borderId="102" xfId="1" applyFont="1" applyFill="1" applyBorder="1" applyAlignment="1">
      <alignment vertical="top"/>
    </xf>
    <xf numFmtId="43" fontId="40" fillId="0" borderId="62" xfId="1" applyFont="1" applyFill="1" applyBorder="1" applyAlignment="1">
      <alignment vertical="top"/>
    </xf>
    <xf numFmtId="167" fontId="15" fillId="0" borderId="62" xfId="1" applyNumberFormat="1" applyFont="1" applyFill="1" applyBorder="1" applyAlignment="1">
      <alignment vertical="top"/>
    </xf>
    <xf numFmtId="3" fontId="40" fillId="0" borderId="61" xfId="0" applyNumberFormat="1" applyFont="1" applyFill="1" applyBorder="1" applyAlignment="1">
      <alignment vertical="top"/>
    </xf>
    <xf numFmtId="164" fontId="40" fillId="0" borderId="62" xfId="0" applyNumberFormat="1" applyFont="1" applyFill="1" applyBorder="1" applyAlignment="1">
      <alignment vertical="top"/>
    </xf>
    <xf numFmtId="43" fontId="15" fillId="0" borderId="64" xfId="1" applyFont="1" applyFill="1" applyBorder="1" applyAlignment="1">
      <alignment vertical="top"/>
    </xf>
    <xf numFmtId="43" fontId="2" fillId="0" borderId="66" xfId="1" applyFont="1" applyFill="1" applyBorder="1" applyAlignment="1">
      <alignment vertical="top"/>
    </xf>
    <xf numFmtId="43" fontId="4" fillId="0" borderId="64" xfId="1" applyFont="1" applyFill="1" applyBorder="1" applyAlignment="1">
      <alignment vertical="top"/>
    </xf>
    <xf numFmtId="43" fontId="3" fillId="4" borderId="66" xfId="1" applyFont="1" applyFill="1" applyBorder="1" applyAlignment="1"/>
    <xf numFmtId="0" fontId="5" fillId="16" borderId="64" xfId="0" applyFont="1" applyFill="1" applyBorder="1" applyAlignment="1">
      <alignment vertical="top"/>
    </xf>
    <xf numFmtId="3" fontId="22" fillId="16" borderId="61" xfId="0" applyNumberFormat="1" applyFont="1" applyFill="1" applyBorder="1" applyAlignment="1"/>
    <xf numFmtId="3" fontId="3" fillId="16" borderId="61" xfId="0" applyNumberFormat="1" applyFont="1" applyFill="1" applyBorder="1" applyAlignment="1"/>
    <xf numFmtId="164" fontId="3" fillId="16" borderId="62" xfId="0" applyNumberFormat="1" applyFont="1" applyFill="1" applyBorder="1" applyAlignment="1"/>
    <xf numFmtId="43" fontId="3" fillId="16" borderId="66" xfId="1" applyFont="1" applyFill="1" applyBorder="1" applyAlignment="1"/>
    <xf numFmtId="3" fontId="22" fillId="16" borderId="62" xfId="0" applyNumberFormat="1" applyFont="1" applyFill="1" applyBorder="1" applyAlignment="1"/>
    <xf numFmtId="3" fontId="2" fillId="16" borderId="61" xfId="0" applyNumberFormat="1" applyFont="1" applyFill="1" applyBorder="1" applyAlignment="1"/>
    <xf numFmtId="43" fontId="15" fillId="0" borderId="62" xfId="1" applyFont="1" applyFill="1" applyBorder="1" applyAlignment="1">
      <alignment vertical="top"/>
    </xf>
    <xf numFmtId="43" fontId="15" fillId="0" borderId="65" xfId="1" applyFont="1" applyFill="1" applyBorder="1" applyAlignment="1">
      <alignment vertical="top"/>
    </xf>
    <xf numFmtId="3" fontId="3" fillId="0" borderId="61" xfId="0" applyNumberFormat="1" applyFont="1" applyFill="1" applyBorder="1" applyAlignment="1">
      <alignment vertical="top"/>
    </xf>
    <xf numFmtId="164" fontId="2" fillId="0" borderId="64" xfId="0" applyNumberFormat="1" applyFont="1" applyFill="1" applyBorder="1" applyAlignment="1">
      <alignment vertical="top"/>
    </xf>
    <xf numFmtId="3" fontId="15" fillId="16" borderId="62" xfId="0" applyNumberFormat="1" applyFont="1" applyFill="1" applyBorder="1" applyAlignment="1"/>
    <xf numFmtId="43" fontId="40" fillId="0" borderId="66" xfId="1" applyFont="1" applyFill="1" applyBorder="1" applyAlignment="1">
      <alignment vertical="top"/>
    </xf>
    <xf numFmtId="43" fontId="4" fillId="0" borderId="68" xfId="1" applyFont="1" applyFill="1" applyBorder="1" applyAlignment="1">
      <alignment vertical="top"/>
    </xf>
    <xf numFmtId="3" fontId="2" fillId="0" borderId="67" xfId="0" applyNumberFormat="1" applyFont="1" applyFill="1" applyBorder="1" applyAlignment="1">
      <alignment vertical="top"/>
    </xf>
    <xf numFmtId="164" fontId="2" fillId="0" borderId="70" xfId="0" applyNumberFormat="1" applyFont="1" applyFill="1" applyBorder="1" applyAlignment="1">
      <alignment vertical="top"/>
    </xf>
    <xf numFmtId="3" fontId="22" fillId="16" borderId="68" xfId="0" applyNumberFormat="1" applyFont="1" applyFill="1" applyBorder="1" applyAlignment="1"/>
    <xf numFmtId="43" fontId="2" fillId="0" borderId="96" xfId="1" applyFont="1" applyFill="1" applyBorder="1" applyAlignment="1">
      <alignment vertical="top"/>
    </xf>
    <xf numFmtId="43" fontId="4" fillId="0" borderId="70" xfId="1" applyFont="1" applyFill="1" applyBorder="1" applyAlignment="1">
      <alignment vertical="top"/>
    </xf>
    <xf numFmtId="3" fontId="3" fillId="15" borderId="98" xfId="0" applyNumberFormat="1" applyFont="1" applyFill="1" applyBorder="1" applyAlignment="1">
      <alignment vertical="top"/>
    </xf>
    <xf numFmtId="3" fontId="22" fillId="15" borderId="104" xfId="0" applyNumberFormat="1" applyFont="1" applyFill="1" applyBorder="1" applyAlignment="1">
      <alignment vertical="top"/>
    </xf>
    <xf numFmtId="3" fontId="22" fillId="4" borderId="63" xfId="0" applyNumberFormat="1" applyFont="1" applyFill="1" applyBorder="1" applyAlignment="1"/>
    <xf numFmtId="3" fontId="3" fillId="4" borderId="66" xfId="0" applyNumberFormat="1" applyFont="1" applyFill="1" applyBorder="1" applyAlignment="1"/>
    <xf numFmtId="3" fontId="15" fillId="2" borderId="63" xfId="0" applyNumberFormat="1" applyFont="1" applyFill="1" applyBorder="1" applyAlignment="1"/>
    <xf numFmtId="3" fontId="40" fillId="2" borderId="66" xfId="0" applyNumberFormat="1" applyFont="1" applyFill="1" applyBorder="1" applyAlignment="1"/>
    <xf numFmtId="164" fontId="40" fillId="2" borderId="62" xfId="0" applyNumberFormat="1" applyFont="1" applyFill="1" applyBorder="1" applyAlignment="1"/>
    <xf numFmtId="3" fontId="40" fillId="2" borderId="62" xfId="0" applyNumberFormat="1" applyFont="1" applyFill="1" applyBorder="1" applyAlignment="1"/>
    <xf numFmtId="0" fontId="2" fillId="2" borderId="62" xfId="0" applyFont="1" applyFill="1" applyBorder="1" applyAlignment="1">
      <alignment vertical="top"/>
    </xf>
    <xf numFmtId="3" fontId="4" fillId="2" borderId="62" xfId="0" applyNumberFormat="1" applyFont="1" applyFill="1" applyBorder="1" applyAlignment="1">
      <alignment vertical="top"/>
    </xf>
    <xf numFmtId="3" fontId="5" fillId="2" borderId="62" xfId="0" applyNumberFormat="1" applyFont="1" applyFill="1" applyBorder="1" applyAlignment="1">
      <alignment vertical="top"/>
    </xf>
    <xf numFmtId="3" fontId="4" fillId="0" borderId="63" xfId="0" applyNumberFormat="1" applyFont="1" applyFill="1" applyBorder="1" applyAlignment="1">
      <alignment vertical="top"/>
    </xf>
    <xf numFmtId="3" fontId="2" fillId="2" borderId="66" xfId="0" applyNumberFormat="1" applyFont="1" applyFill="1" applyBorder="1" applyAlignment="1">
      <alignment vertical="top"/>
    </xf>
    <xf numFmtId="164" fontId="2" fillId="2" borderId="62" xfId="0" applyNumberFormat="1" applyFont="1" applyFill="1" applyBorder="1" applyAlignment="1">
      <alignment vertical="top"/>
    </xf>
    <xf numFmtId="3" fontId="2" fillId="2" borderId="62" xfId="0" applyNumberFormat="1" applyFont="1" applyFill="1" applyBorder="1" applyAlignment="1">
      <alignment vertical="top"/>
    </xf>
    <xf numFmtId="3" fontId="4" fillId="2" borderId="64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0" fontId="2" fillId="2" borderId="62" xfId="0" applyFont="1" applyFill="1" applyBorder="1" applyAlignment="1">
      <alignment vertical="top" wrapText="1"/>
    </xf>
    <xf numFmtId="3" fontId="2" fillId="0" borderId="62" xfId="0" applyNumberFormat="1" applyFont="1" applyFill="1" applyBorder="1" applyAlignment="1"/>
    <xf numFmtId="3" fontId="2" fillId="0" borderId="64" xfId="0" applyNumberFormat="1" applyFont="1" applyFill="1" applyBorder="1" applyAlignment="1">
      <alignment vertical="top"/>
    </xf>
    <xf numFmtId="3" fontId="4" fillId="0" borderId="61" xfId="0" applyNumberFormat="1" applyFont="1" applyFill="1" applyBorder="1" applyAlignment="1">
      <alignment vertical="center"/>
    </xf>
    <xf numFmtId="3" fontId="4" fillId="0" borderId="62" xfId="0" applyNumberFormat="1" applyFont="1" applyFill="1" applyBorder="1" applyAlignment="1">
      <alignment vertical="center"/>
    </xf>
    <xf numFmtId="3" fontId="4" fillId="0" borderId="63" xfId="0" applyNumberFormat="1" applyFont="1" applyFill="1" applyBorder="1" applyAlignment="1">
      <alignment vertical="center"/>
    </xf>
    <xf numFmtId="3" fontId="2" fillId="2" borderId="66" xfId="0" applyNumberFormat="1" applyFont="1" applyFill="1" applyBorder="1" applyAlignment="1">
      <alignment vertical="center"/>
    </xf>
    <xf numFmtId="164" fontId="2" fillId="2" borderId="62" xfId="0" applyNumberFormat="1" applyFont="1" applyFill="1" applyBorder="1" applyAlignment="1">
      <alignment vertical="center"/>
    </xf>
    <xf numFmtId="3" fontId="2" fillId="2" borderId="62" xfId="0" applyNumberFormat="1" applyFont="1" applyFill="1" applyBorder="1" applyAlignment="1">
      <alignment vertical="center"/>
    </xf>
    <xf numFmtId="3" fontId="4" fillId="0" borderId="64" xfId="0" applyNumberFormat="1" applyFont="1" applyFill="1" applyBorder="1" applyAlignment="1">
      <alignment vertical="center"/>
    </xf>
    <xf numFmtId="3" fontId="15" fillId="2" borderId="62" xfId="0" applyNumberFormat="1" applyFont="1" applyFill="1" applyBorder="1" applyAlignment="1">
      <alignment vertical="top"/>
    </xf>
    <xf numFmtId="3" fontId="15" fillId="2" borderId="63" xfId="0" applyNumberFormat="1" applyFont="1" applyFill="1" applyBorder="1" applyAlignment="1">
      <alignment vertical="top"/>
    </xf>
    <xf numFmtId="3" fontId="40" fillId="2" borderId="66" xfId="0" applyNumberFormat="1" applyFont="1" applyFill="1" applyBorder="1" applyAlignment="1">
      <alignment vertical="top"/>
    </xf>
    <xf numFmtId="164" fontId="40" fillId="2" borderId="62" xfId="0" applyNumberFormat="1" applyFont="1" applyFill="1" applyBorder="1" applyAlignment="1">
      <alignment vertical="top"/>
    </xf>
    <xf numFmtId="3" fontId="40" fillId="2" borderId="62" xfId="0" applyNumberFormat="1" applyFont="1" applyFill="1" applyBorder="1" applyAlignment="1">
      <alignment vertical="top"/>
    </xf>
    <xf numFmtId="3" fontId="15" fillId="2" borderId="64" xfId="0" applyNumberFormat="1" applyFont="1" applyFill="1" applyBorder="1" applyAlignment="1">
      <alignment vertical="top"/>
    </xf>
    <xf numFmtId="0" fontId="2" fillId="2" borderId="62" xfId="2" applyFont="1" applyFill="1" applyBorder="1" applyAlignment="1">
      <alignment vertical="center"/>
    </xf>
    <xf numFmtId="3" fontId="4" fillId="2" borderId="63" xfId="0" applyNumberFormat="1" applyFont="1" applyFill="1" applyBorder="1" applyAlignment="1">
      <alignment vertical="top"/>
    </xf>
    <xf numFmtId="3" fontId="15" fillId="0" borderId="63" xfId="0" applyNumberFormat="1" applyFont="1" applyFill="1" applyBorder="1" applyAlignment="1">
      <alignment vertical="top"/>
    </xf>
    <xf numFmtId="3" fontId="3" fillId="0" borderId="66" xfId="0" applyNumberFormat="1" applyFont="1" applyFill="1" applyBorder="1" applyAlignment="1"/>
    <xf numFmtId="164" fontId="2" fillId="0" borderId="62" xfId="0" applyNumberFormat="1" applyFont="1" applyFill="1" applyBorder="1" applyAlignment="1"/>
    <xf numFmtId="3" fontId="2" fillId="0" borderId="66" xfId="0" applyNumberFormat="1" applyFont="1" applyFill="1" applyBorder="1" applyAlignment="1"/>
    <xf numFmtId="0" fontId="2" fillId="2" borderId="68" xfId="0" applyFont="1" applyFill="1" applyBorder="1" applyAlignment="1">
      <alignment vertical="top" wrapText="1"/>
    </xf>
    <xf numFmtId="3" fontId="4" fillId="0" borderId="93" xfId="0" applyNumberFormat="1" applyFont="1" applyFill="1" applyBorder="1" applyAlignment="1">
      <alignment vertical="top"/>
    </xf>
    <xf numFmtId="3" fontId="4" fillId="0" borderId="94" xfId="0" applyNumberFormat="1" applyFont="1" applyFill="1" applyBorder="1" applyAlignment="1">
      <alignment vertical="top"/>
    </xf>
    <xf numFmtId="3" fontId="4" fillId="0" borderId="69" xfId="0" applyNumberFormat="1" applyFont="1" applyFill="1" applyBorder="1" applyAlignment="1">
      <alignment vertical="top"/>
    </xf>
    <xf numFmtId="3" fontId="2" fillId="0" borderId="96" xfId="0" applyNumberFormat="1" applyFont="1" applyFill="1" applyBorder="1" applyAlignment="1"/>
    <xf numFmtId="164" fontId="2" fillId="0" borderId="68" xfId="0" applyNumberFormat="1" applyFont="1" applyFill="1" applyBorder="1" applyAlignment="1"/>
    <xf numFmtId="3" fontId="2" fillId="0" borderId="68" xfId="0" applyNumberFormat="1" applyFont="1" applyFill="1" applyBorder="1" applyAlignment="1"/>
    <xf numFmtId="0" fontId="3" fillId="15" borderId="60" xfId="0" applyFont="1" applyFill="1" applyBorder="1" applyAlignment="1">
      <alignment vertical="center" wrapText="1"/>
    </xf>
    <xf numFmtId="0" fontId="7" fillId="15" borderId="60" xfId="0" applyFont="1" applyFill="1" applyBorder="1" applyAlignment="1">
      <alignment horizontal="center" vertical="center" wrapText="1"/>
    </xf>
    <xf numFmtId="0" fontId="2" fillId="15" borderId="101" xfId="0" applyFont="1" applyFill="1" applyBorder="1" applyAlignment="1">
      <alignment vertical="top"/>
    </xf>
    <xf numFmtId="43" fontId="2" fillId="15" borderId="58" xfId="1" applyFont="1" applyFill="1" applyBorder="1" applyAlignment="1">
      <alignment vertical="top"/>
    </xf>
    <xf numFmtId="0" fontId="2" fillId="15" borderId="58" xfId="0" applyFont="1" applyFill="1" applyBorder="1" applyAlignment="1">
      <alignment vertical="top"/>
    </xf>
    <xf numFmtId="0" fontId="2" fillId="15" borderId="104" xfId="0" applyFont="1" applyFill="1" applyBorder="1" applyAlignment="1">
      <alignment vertical="top"/>
    </xf>
    <xf numFmtId="0" fontId="2" fillId="15" borderId="57" xfId="0" applyFont="1" applyFill="1" applyBorder="1" applyAlignment="1">
      <alignment vertical="top"/>
    </xf>
    <xf numFmtId="165" fontId="2" fillId="15" borderId="58" xfId="0" applyNumberFormat="1" applyFont="1" applyFill="1" applyBorder="1" applyAlignment="1">
      <alignment vertical="top"/>
    </xf>
    <xf numFmtId="165" fontId="2" fillId="15" borderId="104" xfId="0" applyNumberFormat="1" applyFont="1" applyFill="1" applyBorder="1" applyAlignment="1">
      <alignment vertical="top"/>
    </xf>
    <xf numFmtId="0" fontId="4" fillId="15" borderId="60" xfId="0" applyFont="1" applyFill="1" applyBorder="1" applyAlignment="1">
      <alignment vertical="top"/>
    </xf>
    <xf numFmtId="0" fontId="45" fillId="0" borderId="81" xfId="0" applyFont="1" applyBorder="1" applyAlignment="1">
      <alignment wrapText="1"/>
    </xf>
    <xf numFmtId="0" fontId="16" fillId="4" borderId="64" xfId="0" applyFont="1" applyFill="1" applyBorder="1" applyAlignment="1">
      <alignment vertical="top"/>
    </xf>
    <xf numFmtId="3" fontId="3" fillId="4" borderId="71" xfId="0" applyNumberFormat="1" applyFont="1" applyFill="1" applyBorder="1" applyAlignment="1">
      <alignment vertical="top"/>
    </xf>
    <xf numFmtId="3" fontId="3" fillId="4" borderId="102" xfId="0" applyNumberFormat="1" applyFont="1" applyFill="1" applyBorder="1" applyAlignment="1">
      <alignment vertical="top"/>
    </xf>
    <xf numFmtId="3" fontId="3" fillId="4" borderId="61" xfId="0" applyNumberFormat="1" applyFont="1" applyFill="1" applyBorder="1" applyAlignment="1">
      <alignment vertical="top"/>
    </xf>
    <xf numFmtId="164" fontId="3" fillId="4" borderId="66" xfId="0" applyNumberFormat="1" applyFont="1" applyFill="1" applyBorder="1" applyAlignment="1"/>
    <xf numFmtId="3" fontId="40" fillId="2" borderId="64" xfId="2" applyNumberFormat="1" applyFont="1" applyFill="1" applyBorder="1" applyAlignment="1">
      <alignment vertical="center" wrapText="1"/>
    </xf>
    <xf numFmtId="3" fontId="40" fillId="2" borderId="71" xfId="0" applyNumberFormat="1" applyFont="1" applyFill="1" applyBorder="1" applyAlignment="1">
      <alignment vertical="center"/>
    </xf>
    <xf numFmtId="3" fontId="40" fillId="2" borderId="62" xfId="0" applyNumberFormat="1" applyFont="1" applyFill="1" applyBorder="1" applyAlignment="1">
      <alignment vertical="center"/>
    </xf>
    <xf numFmtId="3" fontId="40" fillId="2" borderId="102" xfId="0" applyNumberFormat="1" applyFont="1" applyFill="1" applyBorder="1" applyAlignment="1">
      <alignment vertical="center"/>
    </xf>
    <xf numFmtId="3" fontId="40" fillId="2" borderId="61" xfId="0" applyNumberFormat="1" applyFont="1" applyFill="1" applyBorder="1" applyAlignment="1">
      <alignment vertical="center"/>
    </xf>
    <xf numFmtId="164" fontId="2" fillId="0" borderId="66" xfId="0" applyNumberFormat="1" applyFont="1" applyFill="1" applyBorder="1" applyAlignment="1"/>
    <xf numFmtId="0" fontId="2" fillId="2" borderId="64" xfId="0" applyFont="1" applyFill="1" applyBorder="1" applyAlignment="1">
      <alignment vertical="top"/>
    </xf>
    <xf numFmtId="3" fontId="2" fillId="2" borderId="61" xfId="0" applyNumberFormat="1" applyFont="1" applyFill="1" applyBorder="1" applyAlignment="1">
      <alignment vertical="top"/>
    </xf>
    <xf numFmtId="3" fontId="2" fillId="2" borderId="102" xfId="0" applyNumberFormat="1" applyFont="1" applyFill="1" applyBorder="1" applyAlignment="1">
      <alignment vertical="top"/>
    </xf>
    <xf numFmtId="3" fontId="2" fillId="2" borderId="61" xfId="0" applyNumberFormat="1" applyFont="1" applyFill="1" applyBorder="1" applyAlignment="1">
      <alignment vertical="center"/>
    </xf>
    <xf numFmtId="0" fontId="2" fillId="2" borderId="70" xfId="0" applyFont="1" applyFill="1" applyBorder="1" applyAlignment="1">
      <alignment vertical="top"/>
    </xf>
    <xf numFmtId="3" fontId="2" fillId="2" borderId="67" xfId="0" applyNumberFormat="1" applyFont="1" applyFill="1" applyBorder="1" applyAlignment="1">
      <alignment vertical="top"/>
    </xf>
    <xf numFmtId="3" fontId="2" fillId="2" borderId="68" xfId="0" applyNumberFormat="1" applyFont="1" applyFill="1" applyBorder="1" applyAlignment="1">
      <alignment vertical="top"/>
    </xf>
    <xf numFmtId="3" fontId="2" fillId="2" borderId="103" xfId="0" applyNumberFormat="1" applyFont="1" applyFill="1" applyBorder="1" applyAlignment="1">
      <alignment vertical="top"/>
    </xf>
    <xf numFmtId="164" fontId="2" fillId="0" borderId="96" xfId="0" applyNumberFormat="1" applyFont="1" applyFill="1" applyBorder="1" applyAlignment="1"/>
    <xf numFmtId="3" fontId="3" fillId="4" borderId="77" xfId="0" applyNumberFormat="1" applyFont="1" applyFill="1" applyBorder="1" applyAlignment="1">
      <alignment vertical="top"/>
    </xf>
    <xf numFmtId="3" fontId="3" fillId="4" borderId="79" xfId="0" applyNumberFormat="1" applyFont="1" applyFill="1" applyBorder="1" applyAlignment="1">
      <alignment vertical="top"/>
    </xf>
    <xf numFmtId="3" fontId="2" fillId="2" borderId="71" xfId="0" applyNumberFormat="1" applyFont="1" applyFill="1" applyBorder="1" applyAlignment="1">
      <alignment vertical="top"/>
    </xf>
    <xf numFmtId="3" fontId="2" fillId="2" borderId="72" xfId="0" applyNumberFormat="1" applyFont="1" applyFill="1" applyBorder="1" applyAlignment="1">
      <alignment vertical="top"/>
    </xf>
    <xf numFmtId="0" fontId="3" fillId="15" borderId="80" xfId="0" applyFont="1" applyFill="1" applyBorder="1" applyAlignment="1">
      <alignment vertical="center" wrapText="1"/>
    </xf>
    <xf numFmtId="0" fontId="7" fillId="15" borderId="78" xfId="0" applyFont="1" applyFill="1" applyBorder="1" applyAlignment="1">
      <alignment horizontal="center" vertical="center" wrapText="1"/>
    </xf>
    <xf numFmtId="0" fontId="2" fillId="15" borderId="79" xfId="0" applyFont="1" applyFill="1" applyBorder="1" applyAlignment="1">
      <alignment vertical="top"/>
    </xf>
    <xf numFmtId="43" fontId="2" fillId="15" borderId="77" xfId="1" applyFont="1" applyFill="1" applyBorder="1" applyAlignment="1">
      <alignment vertical="top"/>
    </xf>
    <xf numFmtId="0" fontId="2" fillId="15" borderId="77" xfId="0" applyFont="1" applyFill="1" applyBorder="1" applyAlignment="1">
      <alignment vertical="top"/>
    </xf>
    <xf numFmtId="0" fontId="2" fillId="15" borderId="129" xfId="0" applyFont="1" applyFill="1" applyBorder="1" applyAlignment="1">
      <alignment vertical="top"/>
    </xf>
    <xf numFmtId="165" fontId="2" fillId="15" borderId="77" xfId="0" applyNumberFormat="1" applyFont="1" applyFill="1" applyBorder="1" applyAlignment="1">
      <alignment vertical="top"/>
    </xf>
    <xf numFmtId="165" fontId="2" fillId="15" borderId="80" xfId="0" applyNumberFormat="1" applyFont="1" applyFill="1" applyBorder="1" applyAlignment="1">
      <alignment vertical="top"/>
    </xf>
    <xf numFmtId="0" fontId="4" fillId="15" borderId="80" xfId="0" applyFont="1" applyFill="1" applyBorder="1" applyAlignment="1">
      <alignment vertical="top"/>
    </xf>
    <xf numFmtId="0" fontId="45" fillId="0" borderId="6" xfId="0" applyFont="1" applyBorder="1" applyAlignment="1">
      <alignment wrapText="1"/>
    </xf>
    <xf numFmtId="167" fontId="3" fillId="4" borderId="66" xfId="1" applyNumberFormat="1" applyFont="1" applyFill="1" applyBorder="1" applyAlignment="1">
      <alignment vertical="top"/>
    </xf>
    <xf numFmtId="1" fontId="3" fillId="4" borderId="61" xfId="0" applyNumberFormat="1" applyFont="1" applyFill="1" applyBorder="1" applyAlignment="1">
      <alignment vertical="top"/>
    </xf>
    <xf numFmtId="1" fontId="3" fillId="4" borderId="66" xfId="1" applyNumberFormat="1" applyFont="1" applyFill="1" applyBorder="1" applyAlignment="1">
      <alignment horizontal="right" vertical="top"/>
    </xf>
    <xf numFmtId="1" fontId="22" fillId="4" borderId="64" xfId="0" applyNumberFormat="1" applyFont="1" applyFill="1" applyBorder="1" applyAlignment="1">
      <alignment vertical="top"/>
    </xf>
    <xf numFmtId="3" fontId="40" fillId="2" borderId="86" xfId="0" applyNumberFormat="1" applyFont="1" applyFill="1" applyBorder="1" applyAlignment="1">
      <alignment vertical="center"/>
    </xf>
    <xf numFmtId="3" fontId="2" fillId="2" borderId="77" xfId="0" applyNumberFormat="1" applyFont="1" applyFill="1" applyBorder="1" applyAlignment="1">
      <alignment vertical="top"/>
    </xf>
    <xf numFmtId="1" fontId="2" fillId="2" borderId="61" xfId="0" applyNumberFormat="1" applyFont="1" applyFill="1" applyBorder="1" applyAlignment="1">
      <alignment vertical="top"/>
    </xf>
    <xf numFmtId="1" fontId="2" fillId="2" borderId="62" xfId="0" applyNumberFormat="1" applyFont="1" applyFill="1" applyBorder="1" applyAlignment="1">
      <alignment vertical="top"/>
    </xf>
    <xf numFmtId="1" fontId="15" fillId="0" borderId="64" xfId="0" applyNumberFormat="1" applyFont="1" applyFill="1" applyBorder="1" applyAlignment="1">
      <alignment vertical="top"/>
    </xf>
    <xf numFmtId="0" fontId="2" fillId="2" borderId="94" xfId="0" applyFont="1" applyFill="1" applyBorder="1" applyAlignment="1">
      <alignment vertical="top"/>
    </xf>
    <xf numFmtId="1" fontId="2" fillId="2" borderId="67" xfId="0" applyNumberFormat="1" applyFont="1" applyFill="1" applyBorder="1" applyAlignment="1">
      <alignment vertical="top"/>
    </xf>
    <xf numFmtId="1" fontId="2" fillId="2" borderId="68" xfId="0" applyNumberFormat="1" applyFont="1" applyFill="1" applyBorder="1" applyAlignment="1">
      <alignment vertical="top"/>
    </xf>
    <xf numFmtId="1" fontId="4" fillId="0" borderId="70" xfId="0" applyNumberFormat="1" applyFont="1" applyFill="1" applyBorder="1" applyAlignment="1">
      <alignment vertical="top"/>
    </xf>
    <xf numFmtId="0" fontId="1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vertical="top"/>
    </xf>
    <xf numFmtId="0" fontId="35" fillId="0" borderId="88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46" fillId="0" borderId="47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3" fillId="0" borderId="46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47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1" fillId="0" borderId="87" xfId="0" applyFont="1" applyBorder="1" applyAlignment="1">
      <alignment horizontal="center" vertical="top" wrapText="1"/>
    </xf>
    <xf numFmtId="0" fontId="1" fillId="0" borderId="88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1" fillId="0" borderId="9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11" borderId="0" xfId="0" applyFont="1" applyFill="1" applyAlignment="1">
      <alignment vertical="top" wrapText="1"/>
    </xf>
    <xf numFmtId="0" fontId="25" fillId="0" borderId="31" xfId="0" quotePrefix="1" applyFont="1" applyBorder="1" applyAlignment="1">
      <alignment horizontal="center" vertical="center"/>
    </xf>
    <xf numFmtId="0" fontId="25" fillId="2" borderId="48" xfId="0" quotePrefix="1" applyFont="1" applyFill="1" applyBorder="1" applyAlignment="1">
      <alignment horizontal="center" vertical="center"/>
    </xf>
    <xf numFmtId="0" fontId="25" fillId="2" borderId="38" xfId="0" quotePrefix="1" applyFont="1" applyFill="1" applyBorder="1" applyAlignment="1">
      <alignment horizontal="center" vertical="center"/>
    </xf>
    <xf numFmtId="0" fontId="25" fillId="2" borderId="49" xfId="0" quotePrefix="1" applyFont="1" applyFill="1" applyBorder="1" applyAlignment="1">
      <alignment horizontal="center" vertical="center"/>
    </xf>
    <xf numFmtId="0" fontId="25" fillId="2" borderId="36" xfId="0" quotePrefix="1" applyFont="1" applyFill="1" applyBorder="1" applyAlignment="1">
      <alignment horizontal="center" vertical="center"/>
    </xf>
    <xf numFmtId="0" fontId="25" fillId="2" borderId="49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" fillId="0" borderId="20" xfId="0" applyFont="1" applyBorder="1" applyAlignment="1">
      <alignment vertical="top"/>
    </xf>
    <xf numFmtId="43" fontId="15" fillId="2" borderId="114" xfId="1" quotePrefix="1" applyFont="1" applyFill="1" applyBorder="1" applyAlignment="1">
      <alignment vertical="center"/>
    </xf>
    <xf numFmtId="0" fontId="1" fillId="0" borderId="88" xfId="0" applyFont="1" applyBorder="1"/>
    <xf numFmtId="0" fontId="4" fillId="0" borderId="8" xfId="0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43" fontId="15" fillId="2" borderId="46" xfId="1" quotePrefix="1" applyFont="1" applyFill="1" applyBorder="1" applyAlignment="1">
      <alignment vertical="top"/>
    </xf>
    <xf numFmtId="43" fontId="15" fillId="2" borderId="15" xfId="1" quotePrefix="1" applyFont="1" applyFill="1" applyBorder="1" applyAlignment="1">
      <alignment vertical="top"/>
    </xf>
    <xf numFmtId="43" fontId="15" fillId="0" borderId="106" xfId="1" applyFont="1" applyFill="1" applyBorder="1" applyAlignment="1">
      <alignment horizontal="right" vertical="center"/>
    </xf>
    <xf numFmtId="43" fontId="15" fillId="2" borderId="13" xfId="1" quotePrefix="1" applyFont="1" applyFill="1" applyBorder="1" applyAlignment="1">
      <alignment vertical="top"/>
    </xf>
    <xf numFmtId="43" fontId="15" fillId="0" borderId="33" xfId="1" applyFont="1" applyFill="1" applyBorder="1" applyAlignment="1">
      <alignment horizontal="right" vertical="center"/>
    </xf>
    <xf numFmtId="3" fontId="15" fillId="2" borderId="28" xfId="0" quotePrefix="1" applyNumberFormat="1" applyFont="1" applyFill="1" applyBorder="1" applyAlignment="1">
      <alignment vertical="top"/>
    </xf>
    <xf numFmtId="3" fontId="3" fillId="13" borderId="101" xfId="0" applyNumberFormat="1" applyFont="1" applyFill="1" applyBorder="1" applyAlignment="1">
      <alignment vertical="center"/>
    </xf>
    <xf numFmtId="43" fontId="3" fillId="13" borderId="60" xfId="1" applyFont="1" applyFill="1" applyBorder="1" applyAlignment="1">
      <alignment vertical="center"/>
    </xf>
    <xf numFmtId="3" fontId="3" fillId="13" borderId="60" xfId="0" applyNumberFormat="1" applyFont="1" applyFill="1" applyBorder="1" applyAlignment="1">
      <alignment vertical="center"/>
    </xf>
    <xf numFmtId="3" fontId="3" fillId="13" borderId="58" xfId="0" applyNumberFormat="1" applyFont="1" applyFill="1" applyBorder="1" applyAlignment="1">
      <alignment vertical="center"/>
    </xf>
    <xf numFmtId="0" fontId="40" fillId="6" borderId="62" xfId="2" applyFont="1" applyFill="1" applyBorder="1" applyAlignment="1">
      <alignment vertical="center"/>
    </xf>
    <xf numFmtId="3" fontId="15" fillId="6" borderId="71" xfId="0" applyNumberFormat="1" applyFont="1" applyFill="1" applyBorder="1" applyAlignment="1">
      <alignment vertical="center"/>
    </xf>
    <xf numFmtId="43" fontId="15" fillId="6" borderId="64" xfId="1" applyFont="1" applyFill="1" applyBorder="1" applyAlignment="1">
      <alignment vertical="center"/>
    </xf>
    <xf numFmtId="3" fontId="15" fillId="6" borderId="64" xfId="0" applyNumberFormat="1" applyFont="1" applyFill="1" applyBorder="1" applyAlignment="1">
      <alignment vertical="center"/>
    </xf>
    <xf numFmtId="3" fontId="15" fillId="6" borderId="62" xfId="0" applyNumberFormat="1" applyFont="1" applyFill="1" applyBorder="1" applyAlignment="1">
      <alignment vertical="center"/>
    </xf>
    <xf numFmtId="0" fontId="16" fillId="14" borderId="0" xfId="0" applyFont="1" applyFill="1" applyAlignment="1">
      <alignment vertical="center"/>
    </xf>
    <xf numFmtId="0" fontId="2" fillId="6" borderId="62" xfId="2" applyFont="1" applyFill="1" applyBorder="1" applyAlignment="1">
      <alignment vertical="center"/>
    </xf>
    <xf numFmtId="3" fontId="4" fillId="12" borderId="71" xfId="0" applyNumberFormat="1" applyFont="1" applyFill="1" applyBorder="1" applyAlignment="1">
      <alignment vertical="center"/>
    </xf>
    <xf numFmtId="43" fontId="4" fillId="12" borderId="64" xfId="1" applyFont="1" applyFill="1" applyBorder="1" applyAlignment="1">
      <alignment vertical="center"/>
    </xf>
    <xf numFmtId="3" fontId="4" fillId="12" borderId="64" xfId="0" applyNumberFormat="1" applyFont="1" applyFill="1" applyBorder="1" applyAlignment="1">
      <alignment vertical="center"/>
    </xf>
    <xf numFmtId="3" fontId="4" fillId="12" borderId="62" xfId="0" applyNumberFormat="1" applyFont="1" applyFill="1" applyBorder="1" applyAlignment="1">
      <alignment vertical="center"/>
    </xf>
    <xf numFmtId="0" fontId="46" fillId="0" borderId="0" xfId="0" applyFont="1" applyAlignment="1">
      <alignment vertical="top"/>
    </xf>
    <xf numFmtId="165" fontId="15" fillId="6" borderId="64" xfId="0" applyNumberFormat="1" applyFont="1" applyFill="1" applyBorder="1" applyAlignment="1">
      <alignment vertical="center"/>
    </xf>
    <xf numFmtId="165" fontId="15" fillId="6" borderId="62" xfId="0" applyNumberFormat="1" applyFont="1" applyFill="1" applyBorder="1" applyAlignment="1">
      <alignment vertical="center"/>
    </xf>
    <xf numFmtId="165" fontId="4" fillId="12" borderId="64" xfId="0" applyNumberFormat="1" applyFont="1" applyFill="1" applyBorder="1" applyAlignment="1">
      <alignment vertical="center"/>
    </xf>
    <xf numFmtId="165" fontId="4" fillId="12" borderId="62" xfId="0" applyNumberFormat="1" applyFont="1" applyFill="1" applyBorder="1" applyAlignment="1">
      <alignment vertical="center"/>
    </xf>
    <xf numFmtId="0" fontId="16" fillId="14" borderId="0" xfId="0" applyFont="1" applyFill="1" applyAlignment="1">
      <alignment vertical="top"/>
    </xf>
    <xf numFmtId="0" fontId="16" fillId="4" borderId="63" xfId="0" applyFont="1" applyFill="1" applyBorder="1" applyAlignment="1">
      <alignment vertical="top" wrapText="1"/>
    </xf>
    <xf numFmtId="3" fontId="22" fillId="4" borderId="71" xfId="0" applyNumberFormat="1" applyFont="1" applyFill="1" applyBorder="1" applyAlignment="1">
      <alignment vertical="top"/>
    </xf>
    <xf numFmtId="43" fontId="22" fillId="4" borderId="64" xfId="1" applyFont="1" applyFill="1" applyBorder="1" applyAlignment="1">
      <alignment vertical="top"/>
    </xf>
    <xf numFmtId="165" fontId="22" fillId="4" borderId="62" xfId="0" applyNumberFormat="1" applyFont="1" applyFill="1" applyBorder="1" applyAlignment="1">
      <alignment vertical="top"/>
    </xf>
    <xf numFmtId="0" fontId="4" fillId="6" borderId="68" xfId="0" applyFont="1" applyFill="1" applyBorder="1" applyAlignment="1">
      <alignment vertical="top" wrapText="1"/>
    </xf>
    <xf numFmtId="3" fontId="4" fillId="12" borderId="67" xfId="0" applyNumberFormat="1" applyFont="1" applyFill="1" applyBorder="1" applyAlignment="1">
      <alignment vertical="center"/>
    </xf>
    <xf numFmtId="3" fontId="4" fillId="12" borderId="68" xfId="0" applyNumberFormat="1" applyFont="1" applyFill="1" applyBorder="1" applyAlignment="1">
      <alignment vertical="center"/>
    </xf>
    <xf numFmtId="3" fontId="4" fillId="12" borderId="69" xfId="0" applyNumberFormat="1" applyFont="1" applyFill="1" applyBorder="1" applyAlignment="1">
      <alignment vertical="center"/>
    </xf>
    <xf numFmtId="3" fontId="4" fillId="12" borderId="103" xfId="0" applyNumberFormat="1" applyFont="1" applyFill="1" applyBorder="1" applyAlignment="1">
      <alignment vertical="center"/>
    </xf>
    <xf numFmtId="3" fontId="4" fillId="12" borderId="70" xfId="0" applyNumberFormat="1" applyFont="1" applyFill="1" applyBorder="1" applyAlignment="1">
      <alignment vertical="center"/>
    </xf>
    <xf numFmtId="0" fontId="3" fillId="8" borderId="20" xfId="0" applyFont="1" applyFill="1" applyBorder="1" applyAlignment="1">
      <alignment vertical="center" wrapText="1"/>
    </xf>
    <xf numFmtId="0" fontId="6" fillId="8" borderId="8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top"/>
    </xf>
    <xf numFmtId="43" fontId="2" fillId="8" borderId="8" xfId="1" applyFont="1" applyFill="1" applyBorder="1" applyAlignment="1">
      <alignment vertical="top"/>
    </xf>
    <xf numFmtId="0" fontId="2" fillId="8" borderId="8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2" fillId="8" borderId="17" xfId="0" applyFont="1" applyFill="1" applyBorder="1" applyAlignment="1">
      <alignment vertical="top"/>
    </xf>
    <xf numFmtId="165" fontId="2" fillId="8" borderId="20" xfId="0" applyNumberFormat="1" applyFont="1" applyFill="1" applyBorder="1" applyAlignment="1">
      <alignment vertical="top"/>
    </xf>
    <xf numFmtId="3" fontId="2" fillId="8" borderId="20" xfId="0" applyNumberFormat="1" applyFont="1" applyFill="1" applyBorder="1" applyAlignment="1">
      <alignment vertical="top"/>
    </xf>
    <xf numFmtId="165" fontId="2" fillId="8" borderId="58" xfId="0" applyNumberFormat="1" applyFont="1" applyFill="1" applyBorder="1" applyAlignment="1">
      <alignment vertical="top"/>
    </xf>
    <xf numFmtId="0" fontId="2" fillId="8" borderId="20" xfId="0" applyFont="1" applyFill="1" applyBorder="1" applyAlignment="1">
      <alignment vertical="top"/>
    </xf>
    <xf numFmtId="3" fontId="15" fillId="2" borderId="8" xfId="2" applyNumberFormat="1" applyFont="1" applyFill="1" applyBorder="1" applyAlignment="1">
      <alignment vertical="top" wrapText="1"/>
    </xf>
    <xf numFmtId="165" fontId="15" fillId="2" borderId="62" xfId="2" applyNumberFormat="1" applyFont="1" applyFill="1" applyBorder="1" applyAlignment="1">
      <alignment horizontal="right" vertical="center"/>
    </xf>
    <xf numFmtId="3" fontId="40" fillId="2" borderId="62" xfId="2" applyNumberFormat="1" applyFont="1" applyFill="1" applyBorder="1" applyAlignment="1">
      <alignment horizontal="right" vertical="center"/>
    </xf>
    <xf numFmtId="3" fontId="1" fillId="0" borderId="7" xfId="3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horizontal="right" vertical="center"/>
    </xf>
    <xf numFmtId="0" fontId="2" fillId="2" borderId="8" xfId="2" applyFont="1" applyFill="1" applyBorder="1" applyAlignment="1">
      <alignment vertical="top" wrapText="1"/>
    </xf>
    <xf numFmtId="43" fontId="2" fillId="0" borderId="77" xfId="1" applyFont="1" applyFill="1" applyBorder="1" applyAlignment="1">
      <alignment horizontal="right" vertical="center"/>
    </xf>
    <xf numFmtId="165" fontId="2" fillId="0" borderId="8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horizontal="right" vertical="center"/>
    </xf>
    <xf numFmtId="0" fontId="7" fillId="4" borderId="6" xfId="2" applyFont="1" applyFill="1" applyBorder="1" applyAlignment="1">
      <alignment horizontal="left" vertical="center"/>
    </xf>
    <xf numFmtId="3" fontId="3" fillId="4" borderId="93" xfId="2" applyNumberFormat="1" applyFont="1" applyFill="1" applyBorder="1" applyAlignment="1"/>
    <xf numFmtId="43" fontId="3" fillId="4" borderId="77" xfId="1" applyFont="1" applyFill="1" applyBorder="1" applyAlignment="1"/>
    <xf numFmtId="43" fontId="3" fillId="4" borderId="8" xfId="1" applyFont="1" applyFill="1" applyBorder="1" applyAlignment="1"/>
    <xf numFmtId="3" fontId="3" fillId="4" borderId="8" xfId="2" applyNumberFormat="1" applyFont="1" applyFill="1" applyBorder="1" applyAlignment="1"/>
    <xf numFmtId="3" fontId="3" fillId="4" borderId="10" xfId="2" applyNumberFormat="1" applyFont="1" applyFill="1" applyBorder="1" applyAlignment="1"/>
    <xf numFmtId="3" fontId="3" fillId="4" borderId="79" xfId="2" applyNumberFormat="1" applyFont="1" applyFill="1" applyBorder="1" applyAlignment="1"/>
    <xf numFmtId="0" fontId="15" fillId="2" borderId="62" xfId="2" applyFont="1" applyFill="1" applyBorder="1" applyAlignment="1">
      <alignment vertical="center"/>
    </xf>
    <xf numFmtId="3" fontId="29" fillId="0" borderId="93" xfId="3" applyNumberFormat="1" applyFont="1" applyFill="1" applyBorder="1" applyAlignment="1">
      <alignment vertical="center"/>
    </xf>
    <xf numFmtId="3" fontId="29" fillId="0" borderId="7" xfId="3" applyNumberFormat="1" applyFont="1" applyFill="1" applyBorder="1" applyAlignment="1">
      <alignment vertical="center"/>
    </xf>
    <xf numFmtId="165" fontId="29" fillId="0" borderId="8" xfId="3" applyNumberFormat="1" applyFont="1" applyFill="1" applyBorder="1" applyAlignment="1">
      <alignment vertical="center"/>
    </xf>
    <xf numFmtId="3" fontId="29" fillId="0" borderId="8" xfId="3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68" xfId="2" applyFont="1" applyFill="1" applyBorder="1" applyAlignment="1">
      <alignment vertical="top" wrapText="1"/>
    </xf>
    <xf numFmtId="43" fontId="2" fillId="8" borderId="20" xfId="1" applyFont="1" applyFill="1" applyBorder="1" applyAlignment="1">
      <alignment vertical="top"/>
    </xf>
    <xf numFmtId="0" fontId="2" fillId="8" borderId="34" xfId="0" applyFont="1" applyFill="1" applyBorder="1" applyAlignment="1">
      <alignment vertical="top"/>
    </xf>
    <xf numFmtId="0" fontId="2" fillId="2" borderId="62" xfId="2" applyFont="1" applyFill="1" applyBorder="1" applyAlignment="1">
      <alignment vertical="top" wrapText="1"/>
    </xf>
    <xf numFmtId="0" fontId="35" fillId="8" borderId="81" xfId="0" applyFont="1" applyFill="1" applyBorder="1" applyAlignment="1">
      <alignment horizontal="center" vertical="center" wrapText="1"/>
    </xf>
    <xf numFmtId="165" fontId="40" fillId="2" borderId="62" xfId="2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2" fillId="2" borderId="0" xfId="2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top"/>
    </xf>
    <xf numFmtId="165" fontId="2" fillId="2" borderId="0" xfId="2" applyNumberFormat="1" applyFont="1" applyFill="1" applyBorder="1" applyAlignment="1">
      <alignment horizontal="right" vertical="center"/>
    </xf>
    <xf numFmtId="3" fontId="2" fillId="2" borderId="0" xfId="2" applyNumberFormat="1" applyFont="1" applyFill="1" applyBorder="1" applyAlignment="1">
      <alignment horizontal="right" vertical="center"/>
    </xf>
    <xf numFmtId="0" fontId="5" fillId="0" borderId="8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32" fillId="0" borderId="34" xfId="0" quotePrefix="1" applyFont="1" applyBorder="1" applyAlignment="1">
      <alignment horizontal="center" vertical="center"/>
    </xf>
    <xf numFmtId="3" fontId="15" fillId="2" borderId="17" xfId="0" quotePrefix="1" applyNumberFormat="1" applyFont="1" applyFill="1" applyBorder="1" applyAlignment="1">
      <alignment vertical="center"/>
    </xf>
    <xf numFmtId="3" fontId="15" fillId="2" borderId="20" xfId="0" quotePrefix="1" applyNumberFormat="1" applyFont="1" applyFill="1" applyBorder="1" applyAlignment="1">
      <alignment vertical="center"/>
    </xf>
    <xf numFmtId="3" fontId="15" fillId="2" borderId="81" xfId="0" quotePrefix="1" applyNumberFormat="1" applyFont="1" applyFill="1" applyBorder="1" applyAlignment="1">
      <alignment vertical="center"/>
    </xf>
    <xf numFmtId="3" fontId="15" fillId="2" borderId="18" xfId="0" quotePrefix="1" applyNumberFormat="1" applyFont="1" applyFill="1" applyBorder="1" applyAlignment="1">
      <alignment vertical="center"/>
    </xf>
    <xf numFmtId="165" fontId="15" fillId="0" borderId="20" xfId="2" applyNumberFormat="1" applyFont="1" applyFill="1" applyBorder="1" applyAlignment="1">
      <alignment horizontal="right" vertical="center"/>
    </xf>
    <xf numFmtId="0" fontId="42" fillId="0" borderId="125" xfId="0" applyFont="1" applyBorder="1" applyAlignment="1">
      <alignment vertical="top"/>
    </xf>
    <xf numFmtId="0" fontId="27" fillId="0" borderId="115" xfId="0" quotePrefix="1" applyFont="1" applyBorder="1" applyAlignment="1">
      <alignment horizontal="center" vertical="top"/>
    </xf>
    <xf numFmtId="43" fontId="15" fillId="2" borderId="122" xfId="1" quotePrefix="1" applyFont="1" applyFill="1" applyBorder="1" applyAlignment="1">
      <alignment vertical="top"/>
    </xf>
    <xf numFmtId="43" fontId="15" fillId="2" borderId="111" xfId="1" quotePrefix="1" applyFont="1" applyFill="1" applyBorder="1" applyAlignment="1">
      <alignment vertical="top"/>
    </xf>
    <xf numFmtId="43" fontId="15" fillId="2" borderId="112" xfId="1" quotePrefix="1" applyFont="1" applyFill="1" applyBorder="1" applyAlignment="1">
      <alignment vertical="top"/>
    </xf>
    <xf numFmtId="43" fontId="15" fillId="2" borderId="123" xfId="1" quotePrefix="1" applyFont="1" applyFill="1" applyBorder="1" applyAlignment="1">
      <alignment vertical="top"/>
    </xf>
    <xf numFmtId="3" fontId="15" fillId="2" borderId="111" xfId="0" quotePrefix="1" applyNumberFormat="1" applyFont="1" applyFill="1" applyBorder="1" applyAlignment="1">
      <alignment vertical="top"/>
    </xf>
    <xf numFmtId="0" fontId="42" fillId="0" borderId="65" xfId="0" applyFont="1" applyBorder="1" applyAlignment="1">
      <alignment vertical="top"/>
    </xf>
    <xf numFmtId="0" fontId="15" fillId="0" borderId="106" xfId="0" applyFont="1" applyBorder="1" applyAlignment="1">
      <alignment horizontal="left" vertical="top"/>
    </xf>
    <xf numFmtId="0" fontId="27" fillId="0" borderId="133" xfId="0" quotePrefix="1" applyFont="1" applyBorder="1" applyAlignment="1">
      <alignment horizontal="center" vertical="top"/>
    </xf>
    <xf numFmtId="3" fontId="15" fillId="2" borderId="43" xfId="0" quotePrefix="1" applyNumberFormat="1" applyFont="1" applyFill="1" applyBorder="1" applyAlignment="1">
      <alignment vertical="top"/>
    </xf>
    <xf numFmtId="0" fontId="42" fillId="0" borderId="100" xfId="0" applyFont="1" applyBorder="1" applyAlignment="1">
      <alignment vertical="top"/>
    </xf>
    <xf numFmtId="0" fontId="16" fillId="4" borderId="60" xfId="0" applyFont="1" applyFill="1" applyBorder="1" applyAlignment="1">
      <alignment vertical="top"/>
    </xf>
    <xf numFmtId="3" fontId="22" fillId="4" borderId="57" xfId="0" applyNumberFormat="1" applyFont="1" applyFill="1" applyBorder="1" applyAlignment="1">
      <alignment vertical="top"/>
    </xf>
    <xf numFmtId="3" fontId="22" fillId="4" borderId="58" xfId="0" applyNumberFormat="1" applyFont="1" applyFill="1" applyBorder="1" applyAlignment="1">
      <alignment vertical="top"/>
    </xf>
    <xf numFmtId="3" fontId="22" fillId="4" borderId="60" xfId="0" applyNumberFormat="1" applyFont="1" applyFill="1" applyBorder="1" applyAlignment="1">
      <alignment vertical="top"/>
    </xf>
    <xf numFmtId="164" fontId="22" fillId="4" borderId="58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3" fontId="15" fillId="17" borderId="62" xfId="2" applyNumberFormat="1" applyFont="1" applyFill="1" applyBorder="1" applyAlignment="1">
      <alignment vertical="top" wrapText="1"/>
    </xf>
    <xf numFmtId="164" fontId="15" fillId="17" borderId="62" xfId="0" applyNumberFormat="1" applyFont="1" applyFill="1" applyBorder="1" applyAlignment="1">
      <alignment vertical="top"/>
    </xf>
    <xf numFmtId="164" fontId="22" fillId="17" borderId="62" xfId="0" applyNumberFormat="1" applyFont="1" applyFill="1" applyBorder="1" applyAlignment="1">
      <alignment vertical="top"/>
    </xf>
    <xf numFmtId="0" fontId="4" fillId="17" borderId="62" xfId="0" applyFont="1" applyFill="1" applyBorder="1" applyAlignment="1">
      <alignment vertical="top" wrapText="1"/>
    </xf>
    <xf numFmtId="164" fontId="4" fillId="17" borderId="62" xfId="0" applyNumberFormat="1" applyFont="1" applyFill="1" applyBorder="1" applyAlignment="1">
      <alignment vertical="top"/>
    </xf>
    <xf numFmtId="0" fontId="15" fillId="17" borderId="62" xfId="2" applyFont="1" applyFill="1" applyBorder="1" applyAlignment="1">
      <alignment vertical="top"/>
    </xf>
    <xf numFmtId="0" fontId="4" fillId="17" borderId="62" xfId="2" applyFont="1" applyFill="1" applyBorder="1" applyAlignment="1">
      <alignment vertical="center"/>
    </xf>
    <xf numFmtId="3" fontId="4" fillId="17" borderId="66" xfId="0" applyNumberFormat="1" applyFont="1" applyFill="1" applyBorder="1" applyAlignment="1">
      <alignment vertical="top"/>
    </xf>
    <xf numFmtId="0" fontId="28" fillId="4" borderId="64" xfId="0" applyFont="1" applyFill="1" applyBorder="1" applyAlignment="1">
      <alignment horizontal="center" vertical="center"/>
    </xf>
    <xf numFmtId="3" fontId="22" fillId="4" borderId="61" xfId="0" applyNumberFormat="1" applyFont="1" applyFill="1" applyBorder="1" applyAlignment="1">
      <alignment vertical="top"/>
    </xf>
    <xf numFmtId="164" fontId="22" fillId="4" borderId="62" xfId="0" applyNumberFormat="1" applyFont="1" applyFill="1" applyBorder="1" applyAlignment="1">
      <alignment vertical="top"/>
    </xf>
    <xf numFmtId="0" fontId="28" fillId="17" borderId="64" xfId="0" applyFont="1" applyFill="1" applyBorder="1" applyAlignment="1">
      <alignment horizontal="center" vertical="center"/>
    </xf>
    <xf numFmtId="3" fontId="22" fillId="17" borderId="61" xfId="0" applyNumberFormat="1" applyFont="1" applyFill="1" applyBorder="1" applyAlignment="1">
      <alignment vertical="top"/>
    </xf>
    <xf numFmtId="3" fontId="22" fillId="17" borderId="62" xfId="0" applyNumberFormat="1" applyFont="1" applyFill="1" applyBorder="1" applyAlignment="1">
      <alignment vertical="top"/>
    </xf>
    <xf numFmtId="3" fontId="22" fillId="17" borderId="64" xfId="0" applyNumberFormat="1" applyFont="1" applyFill="1" applyBorder="1" applyAlignment="1">
      <alignment vertical="top"/>
    </xf>
    <xf numFmtId="43" fontId="4" fillId="17" borderId="62" xfId="1" applyFont="1" applyFill="1" applyBorder="1" applyAlignment="1">
      <alignment vertical="top"/>
    </xf>
    <xf numFmtId="43" fontId="4" fillId="17" borderId="64" xfId="1" applyFont="1" applyFill="1" applyBorder="1" applyAlignment="1">
      <alignment vertical="top"/>
    </xf>
    <xf numFmtId="43" fontId="22" fillId="17" borderId="62" xfId="1" applyFont="1" applyFill="1" applyBorder="1" applyAlignment="1">
      <alignment vertical="top"/>
    </xf>
    <xf numFmtId="0" fontId="15" fillId="17" borderId="62" xfId="2" applyFont="1" applyFill="1" applyBorder="1" applyAlignment="1">
      <alignment vertical="center"/>
    </xf>
    <xf numFmtId="0" fontId="4" fillId="17" borderId="68" xfId="2" applyFont="1" applyFill="1" applyBorder="1" applyAlignment="1">
      <alignment vertical="center"/>
    </xf>
    <xf numFmtId="3" fontId="4" fillId="17" borderId="67" xfId="0" applyNumberFormat="1" applyFont="1" applyFill="1" applyBorder="1" applyAlignment="1">
      <alignment vertical="top"/>
    </xf>
    <xf numFmtId="3" fontId="4" fillId="17" borderId="96" xfId="0" applyNumberFormat="1" applyFont="1" applyFill="1" applyBorder="1" applyAlignment="1">
      <alignment vertical="top"/>
    </xf>
    <xf numFmtId="164" fontId="4" fillId="17" borderId="68" xfId="0" applyNumberFormat="1" applyFont="1" applyFill="1" applyBorder="1" applyAlignment="1">
      <alignment vertical="top"/>
    </xf>
    <xf numFmtId="0" fontId="3" fillId="15" borderId="58" xfId="0" applyFont="1" applyFill="1" applyBorder="1" applyAlignment="1">
      <alignment vertical="center" wrapText="1"/>
    </xf>
    <xf numFmtId="0" fontId="2" fillId="15" borderId="57" xfId="0" applyFont="1" applyFill="1" applyBorder="1" applyAlignment="1">
      <alignment horizontal="center" vertical="center" wrapText="1"/>
    </xf>
    <xf numFmtId="0" fontId="2" fillId="15" borderId="60" xfId="0" applyFont="1" applyFill="1" applyBorder="1" applyAlignment="1">
      <alignment vertical="top"/>
    </xf>
    <xf numFmtId="0" fontId="4" fillId="15" borderId="57" xfId="0" applyFont="1" applyFill="1" applyBorder="1" applyAlignment="1">
      <alignment vertical="top"/>
    </xf>
    <xf numFmtId="43" fontId="3" fillId="4" borderId="62" xfId="1" applyFont="1" applyFill="1" applyBorder="1" applyAlignment="1">
      <alignment vertical="top"/>
    </xf>
    <xf numFmtId="3" fontId="3" fillId="4" borderId="64" xfId="0" applyNumberFormat="1" applyFont="1" applyFill="1" applyBorder="1" applyAlignment="1">
      <alignment vertical="top"/>
    </xf>
    <xf numFmtId="43" fontId="3" fillId="4" borderId="62" xfId="1" applyFont="1" applyFill="1" applyBorder="1" applyAlignment="1">
      <alignment horizontal="right" vertical="top"/>
    </xf>
    <xf numFmtId="43" fontId="22" fillId="4" borderId="62" xfId="1" applyFont="1" applyFill="1" applyBorder="1" applyAlignment="1">
      <alignment vertical="top"/>
    </xf>
    <xf numFmtId="3" fontId="40" fillId="0" borderId="62" xfId="0" applyNumberFormat="1" applyFont="1" applyFill="1" applyBorder="1" applyAlignment="1">
      <alignment vertical="top"/>
    </xf>
    <xf numFmtId="0" fontId="2" fillId="0" borderId="68" xfId="0" applyFont="1" applyFill="1" applyBorder="1" applyAlignment="1">
      <alignment vertical="center"/>
    </xf>
    <xf numFmtId="3" fontId="24" fillId="0" borderId="67" xfId="0" applyNumberFormat="1" applyFont="1" applyFill="1" applyBorder="1" applyAlignment="1">
      <alignment vertical="top"/>
    </xf>
    <xf numFmtId="43" fontId="2" fillId="0" borderId="68" xfId="1" applyFont="1" applyFill="1" applyBorder="1" applyAlignment="1">
      <alignment vertical="top"/>
    </xf>
    <xf numFmtId="3" fontId="2" fillId="0" borderId="70" xfId="0" applyNumberFormat="1" applyFont="1" applyFill="1" applyBorder="1" applyAlignment="1">
      <alignment vertical="top"/>
    </xf>
    <xf numFmtId="43" fontId="2" fillId="0" borderId="68" xfId="1" applyFont="1" applyFill="1" applyBorder="1" applyAlignment="1">
      <alignment horizontal="right" vertical="top"/>
    </xf>
    <xf numFmtId="0" fontId="3" fillId="15" borderId="60" xfId="0" applyFont="1" applyFill="1" applyBorder="1" applyAlignment="1">
      <alignment horizontal="left" vertical="center" wrapText="1"/>
    </xf>
    <xf numFmtId="3" fontId="22" fillId="4" borderId="66" xfId="0" applyNumberFormat="1" applyFont="1" applyFill="1" applyBorder="1" applyAlignment="1">
      <alignment vertical="top"/>
    </xf>
    <xf numFmtId="3" fontId="22" fillId="4" borderId="102" xfId="0" applyNumberFormat="1" applyFont="1" applyFill="1" applyBorder="1" applyAlignment="1">
      <alignment vertical="top"/>
    </xf>
    <xf numFmtId="164" fontId="3" fillId="4" borderId="62" xfId="0" applyNumberFormat="1" applyFont="1" applyFill="1" applyBorder="1" applyAlignment="1">
      <alignment vertical="top"/>
    </xf>
    <xf numFmtId="3" fontId="40" fillId="2" borderId="64" xfId="2" applyNumberFormat="1" applyFont="1" applyFill="1" applyBorder="1" applyAlignment="1">
      <alignment vertical="top" wrapText="1"/>
    </xf>
    <xf numFmtId="3" fontId="15" fillId="0" borderId="66" xfId="0" applyNumberFormat="1" applyFont="1" applyFill="1" applyBorder="1" applyAlignment="1">
      <alignment vertical="top"/>
    </xf>
    <xf numFmtId="3" fontId="15" fillId="0" borderId="102" xfId="0" applyNumberFormat="1" applyFont="1" applyFill="1" applyBorder="1" applyAlignment="1">
      <alignment vertical="top"/>
    </xf>
    <xf numFmtId="0" fontId="2" fillId="0" borderId="64" xfId="0" applyFont="1" applyFill="1" applyBorder="1" applyAlignment="1">
      <alignment vertical="top" wrapText="1"/>
    </xf>
    <xf numFmtId="3" fontId="4" fillId="0" borderId="66" xfId="0" applyNumberFormat="1" applyFont="1" applyFill="1" applyBorder="1" applyAlignment="1">
      <alignment vertical="top"/>
    </xf>
    <xf numFmtId="3" fontId="4" fillId="0" borderId="102" xfId="0" applyNumberFormat="1" applyFont="1" applyFill="1" applyBorder="1" applyAlignment="1">
      <alignment vertical="top"/>
    </xf>
    <xf numFmtId="0" fontId="40" fillId="2" borderId="64" xfId="2" applyFont="1" applyFill="1" applyBorder="1" applyAlignment="1">
      <alignment vertical="top"/>
    </xf>
    <xf numFmtId="0" fontId="2" fillId="0" borderId="64" xfId="2" applyFont="1" applyFill="1" applyBorder="1" applyAlignment="1">
      <alignment vertical="center"/>
    </xf>
    <xf numFmtId="0" fontId="28" fillId="4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vertical="top"/>
    </xf>
    <xf numFmtId="3" fontId="4" fillId="2" borderId="66" xfId="0" applyNumberFormat="1" applyFont="1" applyFill="1" applyBorder="1" applyAlignment="1">
      <alignment vertical="top"/>
    </xf>
    <xf numFmtId="0" fontId="40" fillId="0" borderId="64" xfId="2" applyFont="1" applyFill="1" applyBorder="1" applyAlignment="1">
      <alignment vertical="center"/>
    </xf>
    <xf numFmtId="3" fontId="4" fillId="0" borderId="96" xfId="0" applyNumberFormat="1" applyFont="1" applyFill="1" applyBorder="1" applyAlignment="1">
      <alignment vertical="top"/>
    </xf>
    <xf numFmtId="164" fontId="2" fillId="0" borderId="68" xfId="0" applyNumberFormat="1" applyFont="1" applyFill="1" applyBorder="1" applyAlignment="1">
      <alignment vertical="top"/>
    </xf>
    <xf numFmtId="0" fontId="2" fillId="0" borderId="70" xfId="0" applyFont="1" applyFill="1" applyBorder="1" applyAlignment="1">
      <alignment vertical="top" wrapText="1"/>
    </xf>
    <xf numFmtId="3" fontId="4" fillId="2" borderId="67" xfId="0" applyNumberFormat="1" applyFont="1" applyFill="1" applyBorder="1" applyAlignment="1">
      <alignment vertical="top"/>
    </xf>
    <xf numFmtId="3" fontId="4" fillId="2" borderId="68" xfId="0" applyNumberFormat="1" applyFont="1" applyFill="1" applyBorder="1" applyAlignment="1">
      <alignment vertical="top"/>
    </xf>
    <xf numFmtId="0" fontId="6" fillId="0" borderId="47" xfId="0" applyFont="1" applyBorder="1" applyAlignment="1">
      <alignment vertical="top"/>
    </xf>
    <xf numFmtId="0" fontId="5" fillId="0" borderId="88" xfId="0" applyFont="1" applyBorder="1" applyAlignment="1">
      <alignment horizontal="center" vertical="top" wrapText="1"/>
    </xf>
    <xf numFmtId="0" fontId="6" fillId="0" borderId="4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5" fillId="0" borderId="92" xfId="0" applyFont="1" applyBorder="1" applyAlignment="1">
      <alignment horizontal="center" vertical="top" wrapText="1"/>
    </xf>
    <xf numFmtId="0" fontId="6" fillId="0" borderId="40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0" fontId="5" fillId="0" borderId="87" xfId="0" applyFont="1" applyBorder="1" applyAlignment="1">
      <alignment horizontal="center" vertical="top" wrapText="1"/>
    </xf>
    <xf numFmtId="0" fontId="6" fillId="0" borderId="101" xfId="0" applyFont="1" applyBorder="1" applyAlignment="1">
      <alignment vertical="top"/>
    </xf>
    <xf numFmtId="0" fontId="5" fillId="0" borderId="104" xfId="0" applyFont="1" applyBorder="1" applyAlignment="1">
      <alignment vertical="top"/>
    </xf>
    <xf numFmtId="0" fontId="16" fillId="0" borderId="104" xfId="0" applyFont="1" applyBorder="1" applyAlignment="1">
      <alignment vertical="top"/>
    </xf>
    <xf numFmtId="0" fontId="5" fillId="0" borderId="125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/>
    </xf>
    <xf numFmtId="0" fontId="5" fillId="0" borderId="102" xfId="0" applyFont="1" applyBorder="1" applyAlignment="1">
      <alignment vertical="top"/>
    </xf>
    <xf numFmtId="0" fontId="16" fillId="0" borderId="102" xfId="0" applyFont="1" applyBorder="1" applyAlignment="1">
      <alignment vertical="top"/>
    </xf>
    <xf numFmtId="0" fontId="5" fillId="0" borderId="65" xfId="0" applyFont="1" applyBorder="1" applyAlignment="1">
      <alignment horizontal="center" vertical="top" wrapText="1"/>
    </xf>
    <xf numFmtId="0" fontId="6" fillId="0" borderId="72" xfId="0" applyFont="1" applyBorder="1" applyAlignment="1">
      <alignment vertical="top"/>
    </xf>
    <xf numFmtId="0" fontId="5" fillId="0" borderId="103" xfId="0" applyFont="1" applyBorder="1" applyAlignment="1">
      <alignment vertical="top"/>
    </xf>
    <xf numFmtId="0" fontId="16" fillId="0" borderId="103" xfId="0" applyFont="1" applyBorder="1" applyAlignment="1">
      <alignment vertical="top"/>
    </xf>
    <xf numFmtId="0" fontId="5" fillId="0" borderId="8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8" xfId="0" applyFont="1" applyBorder="1" applyAlignment="1">
      <alignment vertical="top"/>
    </xf>
    <xf numFmtId="0" fontId="5" fillId="0" borderId="87" xfId="0" applyFont="1" applyBorder="1" applyAlignment="1">
      <alignment vertical="top"/>
    </xf>
    <xf numFmtId="0" fontId="5" fillId="0" borderId="92" xfId="0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41" fillId="0" borderId="0" xfId="0" applyFont="1" applyFill="1" applyAlignment="1">
      <alignment vertical="top"/>
    </xf>
    <xf numFmtId="0" fontId="25" fillId="0" borderId="97" xfId="0" quotePrefix="1" applyFont="1" applyBorder="1" applyAlignment="1">
      <alignment horizontal="center" vertical="center"/>
    </xf>
    <xf numFmtId="0" fontId="9" fillId="2" borderId="38" xfId="0" quotePrefix="1" applyFont="1" applyFill="1" applyBorder="1" applyAlignment="1">
      <alignment horizontal="center" vertical="center"/>
    </xf>
    <xf numFmtId="0" fontId="9" fillId="2" borderId="36" xfId="0" quotePrefix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6" fillId="0" borderId="1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28" xfId="0" applyFont="1" applyBorder="1" applyAlignment="1">
      <alignment horizontal="left" vertical="center"/>
    </xf>
    <xf numFmtId="0" fontId="27" fillId="0" borderId="56" xfId="0" quotePrefix="1" applyFont="1" applyBorder="1" applyAlignment="1">
      <alignment horizontal="center" vertical="center"/>
    </xf>
    <xf numFmtId="3" fontId="15" fillId="2" borderId="46" xfId="0" quotePrefix="1" applyNumberFormat="1" applyFont="1" applyFill="1" applyBorder="1" applyAlignment="1">
      <alignment vertical="center"/>
    </xf>
    <xf numFmtId="3" fontId="15" fillId="2" borderId="28" xfId="0" quotePrefix="1" applyNumberFormat="1" applyFont="1" applyFill="1" applyBorder="1" applyAlignment="1">
      <alignment vertical="center"/>
    </xf>
    <xf numFmtId="3" fontId="3" fillId="13" borderId="57" xfId="0" applyNumberFormat="1" applyFont="1" applyFill="1" applyBorder="1" applyAlignment="1">
      <alignment vertical="center"/>
    </xf>
    <xf numFmtId="165" fontId="3" fillId="4" borderId="58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5" fillId="6" borderId="61" xfId="0" applyNumberFormat="1" applyFont="1" applyFill="1" applyBorder="1" applyAlignment="1">
      <alignment vertical="center"/>
    </xf>
    <xf numFmtId="165" fontId="40" fillId="6" borderId="62" xfId="2" applyNumberFormat="1" applyFont="1" applyFill="1" applyBorder="1" applyAlignment="1">
      <alignment vertical="center"/>
    </xf>
    <xf numFmtId="3" fontId="4" fillId="12" borderId="61" xfId="0" applyNumberFormat="1" applyFont="1" applyFill="1" applyBorder="1" applyAlignment="1">
      <alignment vertical="center"/>
    </xf>
    <xf numFmtId="165" fontId="2" fillId="6" borderId="62" xfId="2" applyNumberFormat="1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" fillId="6" borderId="62" xfId="0" applyFont="1" applyFill="1" applyBorder="1" applyAlignment="1">
      <alignment vertical="center" wrapText="1"/>
    </xf>
    <xf numFmtId="0" fontId="16" fillId="4" borderId="63" xfId="0" applyFont="1" applyFill="1" applyBorder="1" applyAlignment="1">
      <alignment vertical="center" wrapText="1"/>
    </xf>
    <xf numFmtId="3" fontId="22" fillId="4" borderId="64" xfId="0" applyNumberFormat="1" applyFont="1" applyFill="1" applyBorder="1" applyAlignment="1">
      <alignment vertical="center"/>
    </xf>
    <xf numFmtId="3" fontId="22" fillId="4" borderId="61" xfId="0" applyNumberFormat="1" applyFont="1" applyFill="1" applyBorder="1" applyAlignment="1">
      <alignment vertical="center"/>
    </xf>
    <xf numFmtId="165" fontId="22" fillId="4" borderId="64" xfId="0" applyNumberFormat="1" applyFont="1" applyFill="1" applyBorder="1" applyAlignment="1">
      <alignment vertical="center"/>
    </xf>
    <xf numFmtId="3" fontId="22" fillId="4" borderId="62" xfId="0" applyNumberFormat="1" applyFont="1" applyFill="1" applyBorder="1" applyAlignment="1">
      <alignment vertical="center"/>
    </xf>
    <xf numFmtId="0" fontId="4" fillId="6" borderId="68" xfId="0" applyFont="1" applyFill="1" applyBorder="1" applyAlignment="1">
      <alignment vertical="center" wrapText="1"/>
    </xf>
    <xf numFmtId="0" fontId="22" fillId="15" borderId="58" xfId="0" applyFont="1" applyFill="1" applyBorder="1" applyAlignment="1">
      <alignment vertical="center" wrapText="1"/>
    </xf>
    <xf numFmtId="0" fontId="7" fillId="15" borderId="59" xfId="0" applyFont="1" applyFill="1" applyBorder="1" applyAlignment="1">
      <alignment horizontal="center" vertical="center" wrapText="1"/>
    </xf>
    <xf numFmtId="0" fontId="2" fillId="15" borderId="57" xfId="0" applyFont="1" applyFill="1" applyBorder="1" applyAlignment="1">
      <alignment vertical="center"/>
    </xf>
    <xf numFmtId="0" fontId="2" fillId="15" borderId="58" xfId="0" applyFont="1" applyFill="1" applyBorder="1" applyAlignment="1">
      <alignment vertical="center"/>
    </xf>
    <xf numFmtId="0" fontId="2" fillId="15" borderId="60" xfId="0" applyFont="1" applyFill="1" applyBorder="1" applyAlignment="1">
      <alignment vertical="center"/>
    </xf>
    <xf numFmtId="165" fontId="2" fillId="15" borderId="58" xfId="0" applyNumberFormat="1" applyFont="1" applyFill="1" applyBorder="1" applyAlignment="1">
      <alignment vertical="center"/>
    </xf>
    <xf numFmtId="0" fontId="16" fillId="4" borderId="63" xfId="0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165" fontId="3" fillId="4" borderId="62" xfId="0" applyNumberFormat="1" applyFont="1" applyFill="1" applyBorder="1" applyAlignment="1">
      <alignment vertical="center"/>
    </xf>
    <xf numFmtId="3" fontId="3" fillId="4" borderId="62" xfId="0" applyNumberFormat="1" applyFont="1" applyFill="1" applyBorder="1" applyAlignment="1">
      <alignment vertical="center"/>
    </xf>
    <xf numFmtId="3" fontId="15" fillId="2" borderId="61" xfId="0" applyNumberFormat="1" applyFont="1" applyFill="1" applyBorder="1" applyAlignment="1">
      <alignment vertical="center"/>
    </xf>
    <xf numFmtId="3" fontId="15" fillId="2" borderId="62" xfId="0" applyNumberFormat="1" applyFont="1" applyFill="1" applyBorder="1" applyAlignment="1">
      <alignment vertical="center"/>
    </xf>
    <xf numFmtId="3" fontId="15" fillId="2" borderId="64" xfId="0" applyNumberFormat="1" applyFont="1" applyFill="1" applyBorder="1" applyAlignment="1">
      <alignment vertical="center"/>
    </xf>
    <xf numFmtId="165" fontId="40" fillId="2" borderId="62" xfId="0" applyNumberFormat="1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horizontal="right" vertical="center"/>
    </xf>
    <xf numFmtId="165" fontId="2" fillId="0" borderId="62" xfId="0" applyNumberFormat="1" applyFont="1" applyFill="1" applyBorder="1" applyAlignment="1">
      <alignment horizontal="right" vertical="center"/>
    </xf>
    <xf numFmtId="3" fontId="2" fillId="0" borderId="62" xfId="0" applyNumberFormat="1" applyFont="1" applyFill="1" applyBorder="1" applyAlignment="1">
      <alignment vertical="center"/>
    </xf>
    <xf numFmtId="3" fontId="15" fillId="0" borderId="61" xfId="0" applyNumberFormat="1" applyFont="1" applyFill="1" applyBorder="1" applyAlignment="1">
      <alignment vertical="center"/>
    </xf>
    <xf numFmtId="3" fontId="15" fillId="0" borderId="62" xfId="0" applyNumberFormat="1" applyFont="1" applyFill="1" applyBorder="1" applyAlignment="1">
      <alignment vertical="center"/>
    </xf>
    <xf numFmtId="3" fontId="15" fillId="0" borderId="64" xfId="0" applyNumberFormat="1" applyFont="1" applyFill="1" applyBorder="1" applyAlignment="1">
      <alignment vertical="center"/>
    </xf>
    <xf numFmtId="3" fontId="40" fillId="0" borderId="61" xfId="0" applyNumberFormat="1" applyFont="1" applyFill="1" applyBorder="1" applyAlignment="1">
      <alignment vertical="center"/>
    </xf>
    <xf numFmtId="165" fontId="40" fillId="0" borderId="62" xfId="0" applyNumberFormat="1" applyFont="1" applyFill="1" applyBorder="1" applyAlignment="1">
      <alignment vertical="center"/>
    </xf>
    <xf numFmtId="3" fontId="40" fillId="0" borderId="62" xfId="0" applyNumberFormat="1" applyFont="1" applyFill="1" applyBorder="1" applyAlignment="1">
      <alignment vertical="center"/>
    </xf>
    <xf numFmtId="0" fontId="4" fillId="0" borderId="62" xfId="0" applyFont="1" applyFill="1" applyBorder="1" applyAlignment="1">
      <alignment horizontal="left" vertical="center" wrapText="1"/>
    </xf>
    <xf numFmtId="165" fontId="15" fillId="2" borderId="62" xfId="0" applyNumberFormat="1" applyFont="1" applyFill="1" applyBorder="1" applyAlignment="1">
      <alignment vertical="center"/>
    </xf>
    <xf numFmtId="165" fontId="4" fillId="0" borderId="62" xfId="0" applyNumberFormat="1" applyFont="1" applyFill="1" applyBorder="1" applyAlignment="1">
      <alignment horizontal="right" vertical="center"/>
    </xf>
    <xf numFmtId="165" fontId="15" fillId="0" borderId="62" xfId="0" applyNumberFormat="1" applyFont="1" applyFill="1" applyBorder="1" applyAlignment="1">
      <alignment vertical="center"/>
    </xf>
    <xf numFmtId="0" fontId="4" fillId="0" borderId="68" xfId="2" applyFont="1" applyFill="1" applyBorder="1" applyAlignment="1">
      <alignment vertical="center"/>
    </xf>
    <xf numFmtId="3" fontId="4" fillId="0" borderId="67" xfId="0" applyNumberFormat="1" applyFont="1" applyFill="1" applyBorder="1" applyAlignment="1">
      <alignment vertical="center"/>
    </xf>
    <xf numFmtId="3" fontId="4" fillId="0" borderId="70" xfId="0" applyNumberFormat="1" applyFont="1" applyFill="1" applyBorder="1" applyAlignment="1">
      <alignment horizontal="right" vertical="center"/>
    </xf>
    <xf numFmtId="3" fontId="4" fillId="0" borderId="67" xfId="0" applyNumberFormat="1" applyFont="1" applyFill="1" applyBorder="1" applyAlignment="1">
      <alignment horizontal="right" vertical="center"/>
    </xf>
    <xf numFmtId="165" fontId="4" fillId="0" borderId="68" xfId="0" applyNumberFormat="1" applyFont="1" applyFill="1" applyBorder="1" applyAlignment="1">
      <alignment horizontal="right" vertical="center"/>
    </xf>
    <xf numFmtId="0" fontId="2" fillId="15" borderId="59" xfId="0" applyFont="1" applyFill="1" applyBorder="1" applyAlignment="1">
      <alignment vertical="center"/>
    </xf>
    <xf numFmtId="0" fontId="16" fillId="4" borderId="64" xfId="0" applyFont="1" applyFill="1" applyBorder="1" applyAlignment="1">
      <alignment vertical="center"/>
    </xf>
    <xf numFmtId="43" fontId="22" fillId="4" borderId="62" xfId="1" applyFont="1" applyFill="1" applyBorder="1" applyAlignment="1">
      <alignment vertical="center"/>
    </xf>
    <xf numFmtId="43" fontId="22" fillId="4" borderId="63" xfId="1" applyFont="1" applyFill="1" applyBorder="1" applyAlignment="1">
      <alignment vertical="center"/>
    </xf>
    <xf numFmtId="43" fontId="3" fillId="4" borderId="62" xfId="1" applyFont="1" applyFill="1" applyBorder="1" applyAlignment="1">
      <alignment vertical="center"/>
    </xf>
    <xf numFmtId="43" fontId="15" fillId="2" borderId="62" xfId="1" applyFont="1" applyFill="1" applyBorder="1" applyAlignment="1">
      <alignment vertical="center"/>
    </xf>
    <xf numFmtId="43" fontId="15" fillId="2" borderId="63" xfId="1" applyFont="1" applyFill="1" applyBorder="1" applyAlignment="1">
      <alignment vertical="center"/>
    </xf>
    <xf numFmtId="43" fontId="40" fillId="2" borderId="62" xfId="1" applyFont="1" applyFill="1" applyBorder="1" applyAlignment="1">
      <alignment vertical="center"/>
    </xf>
    <xf numFmtId="43" fontId="4" fillId="0" borderId="62" xfId="1" applyFont="1" applyFill="1" applyBorder="1" applyAlignment="1">
      <alignment vertical="center"/>
    </xf>
    <xf numFmtId="43" fontId="4" fillId="0" borderId="63" xfId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165" fontId="2" fillId="0" borderId="62" xfId="0" applyNumberFormat="1" applyFont="1" applyFill="1" applyBorder="1" applyAlignment="1">
      <alignment vertical="center"/>
    </xf>
    <xf numFmtId="43" fontId="2" fillId="0" borderId="62" xfId="1" applyFont="1" applyFill="1" applyBorder="1" applyAlignment="1">
      <alignment vertical="center"/>
    </xf>
    <xf numFmtId="43" fontId="15" fillId="0" borderId="62" xfId="1" applyFont="1" applyFill="1" applyBorder="1" applyAlignment="1">
      <alignment vertical="center"/>
    </xf>
    <xf numFmtId="43" fontId="15" fillId="0" borderId="63" xfId="1" applyFont="1" applyFill="1" applyBorder="1" applyAlignment="1">
      <alignment vertical="center"/>
    </xf>
    <xf numFmtId="43" fontId="40" fillId="0" borderId="62" xfId="1" applyFont="1" applyFill="1" applyBorder="1" applyAlignment="1">
      <alignment vertical="center"/>
    </xf>
    <xf numFmtId="0" fontId="5" fillId="4" borderId="64" xfId="0" applyFont="1" applyFill="1" applyBorder="1" applyAlignment="1">
      <alignment horizontal="left" vertical="center" wrapText="1"/>
    </xf>
    <xf numFmtId="3" fontId="15" fillId="2" borderId="102" xfId="2" applyNumberFormat="1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/>
    </xf>
    <xf numFmtId="0" fontId="15" fillId="2" borderId="64" xfId="2" applyFont="1" applyFill="1" applyBorder="1" applyAlignment="1">
      <alignment vertical="center"/>
    </xf>
    <xf numFmtId="0" fontId="3" fillId="0" borderId="62" xfId="2" applyFont="1" applyFill="1" applyBorder="1" applyAlignment="1">
      <alignment horizontal="left" vertical="center" wrapText="1"/>
    </xf>
    <xf numFmtId="0" fontId="4" fillId="0" borderId="70" xfId="2" applyFont="1" applyFill="1" applyBorder="1" applyAlignment="1">
      <alignment vertical="center"/>
    </xf>
    <xf numFmtId="3" fontId="2" fillId="0" borderId="67" xfId="0" applyNumberFormat="1" applyFont="1" applyFill="1" applyBorder="1" applyAlignment="1">
      <alignment vertical="center"/>
    </xf>
    <xf numFmtId="165" fontId="2" fillId="0" borderId="68" xfId="0" applyNumberFormat="1" applyFont="1" applyFill="1" applyBorder="1" applyAlignment="1">
      <alignment vertical="center"/>
    </xf>
    <xf numFmtId="0" fontId="6" fillId="0" borderId="68" xfId="2" applyFont="1" applyFill="1" applyBorder="1" applyAlignment="1">
      <alignment vertical="center" wrapText="1"/>
    </xf>
    <xf numFmtId="165" fontId="4" fillId="15" borderId="58" xfId="0" applyNumberFormat="1" applyFont="1" applyFill="1" applyBorder="1" applyAlignment="1">
      <alignment vertical="center"/>
    </xf>
    <xf numFmtId="0" fontId="4" fillId="15" borderId="58" xfId="0" applyFont="1" applyFill="1" applyBorder="1" applyAlignment="1">
      <alignment vertical="center"/>
    </xf>
    <xf numFmtId="0" fontId="2" fillId="15" borderId="98" xfId="0" applyFont="1" applyFill="1" applyBorder="1" applyAlignment="1">
      <alignment vertical="center"/>
    </xf>
    <xf numFmtId="43" fontId="22" fillId="4" borderId="64" xfId="1" applyFont="1" applyFill="1" applyBorder="1" applyAlignment="1">
      <alignment vertical="center"/>
    </xf>
    <xf numFmtId="165" fontId="22" fillId="4" borderId="62" xfId="0" applyNumberFormat="1" applyFont="1" applyFill="1" applyBorder="1" applyAlignment="1">
      <alignment vertical="center"/>
    </xf>
    <xf numFmtId="43" fontId="22" fillId="4" borderId="66" xfId="1" applyFont="1" applyFill="1" applyBorder="1" applyAlignment="1">
      <alignment vertical="center"/>
    </xf>
    <xf numFmtId="43" fontId="15" fillId="2" borderId="64" xfId="1" applyFont="1" applyFill="1" applyBorder="1" applyAlignment="1">
      <alignment vertical="center"/>
    </xf>
    <xf numFmtId="0" fontId="4" fillId="0" borderId="62" xfId="2" applyFont="1" applyFill="1" applyBorder="1" applyAlignment="1">
      <alignment horizontal="left" vertical="center"/>
    </xf>
    <xf numFmtId="43" fontId="4" fillId="0" borderId="64" xfId="1" applyFont="1" applyFill="1" applyBorder="1" applyAlignment="1">
      <alignment vertical="center"/>
    </xf>
    <xf numFmtId="165" fontId="4" fillId="0" borderId="62" xfId="0" applyNumberFormat="1" applyFont="1" applyFill="1" applyBorder="1" applyAlignment="1">
      <alignment vertical="center"/>
    </xf>
    <xf numFmtId="43" fontId="15" fillId="0" borderId="64" xfId="1" applyFont="1" applyFill="1" applyBorder="1" applyAlignment="1">
      <alignment vertical="center"/>
    </xf>
    <xf numFmtId="165" fontId="4" fillId="0" borderId="68" xfId="0" applyNumberFormat="1" applyFont="1" applyFill="1" applyBorder="1" applyAlignment="1">
      <alignment vertical="center"/>
    </xf>
    <xf numFmtId="43" fontId="4" fillId="0" borderId="70" xfId="1" applyFont="1" applyFill="1" applyBorder="1" applyAlignment="1">
      <alignment vertical="center"/>
    </xf>
    <xf numFmtId="165" fontId="4" fillId="15" borderId="60" xfId="0" applyNumberFormat="1" applyFont="1" applyFill="1" applyBorder="1" applyAlignment="1">
      <alignment vertical="center"/>
    </xf>
    <xf numFmtId="43" fontId="22" fillId="4" borderId="102" xfId="1" applyFont="1" applyFill="1" applyBorder="1" applyAlignment="1">
      <alignment vertical="center"/>
    </xf>
    <xf numFmtId="3" fontId="15" fillId="2" borderId="64" xfId="2" applyNumberFormat="1" applyFont="1" applyFill="1" applyBorder="1" applyAlignment="1">
      <alignment vertical="center" wrapText="1"/>
    </xf>
    <xf numFmtId="3" fontId="15" fillId="2" borderId="93" xfId="0" applyNumberFormat="1" applyFont="1" applyFill="1" applyBorder="1" applyAlignment="1">
      <alignment vertical="center"/>
    </xf>
    <xf numFmtId="3" fontId="15" fillId="2" borderId="94" xfId="0" applyNumberFormat="1" applyFont="1" applyFill="1" applyBorder="1" applyAlignment="1">
      <alignment vertical="center"/>
    </xf>
    <xf numFmtId="43" fontId="15" fillId="2" borderId="94" xfId="1" applyFont="1" applyFill="1" applyBorder="1" applyAlignment="1">
      <alignment vertical="center"/>
    </xf>
    <xf numFmtId="43" fontId="15" fillId="2" borderId="102" xfId="1" applyFont="1" applyFill="1" applyBorder="1" applyAlignment="1">
      <alignment vertical="center"/>
    </xf>
    <xf numFmtId="0" fontId="4" fillId="0" borderId="64" xfId="2" applyFont="1" applyFill="1" applyBorder="1" applyAlignment="1">
      <alignment horizontal="left" vertical="center"/>
    </xf>
    <xf numFmtId="43" fontId="4" fillId="0" borderId="102" xfId="1" applyFont="1" applyFill="1" applyBorder="1" applyAlignment="1">
      <alignment vertical="center"/>
    </xf>
    <xf numFmtId="43" fontId="15" fillId="0" borderId="102" xfId="1" applyFont="1" applyFill="1" applyBorder="1" applyAlignment="1">
      <alignment vertical="center"/>
    </xf>
    <xf numFmtId="0" fontId="4" fillId="0" borderId="64" xfId="0" applyFont="1" applyFill="1" applyBorder="1" applyAlignment="1">
      <alignment horizontal="left" vertical="center" wrapText="1"/>
    </xf>
    <xf numFmtId="43" fontId="4" fillId="0" borderId="102" xfId="1" applyFont="1" applyFill="1" applyBorder="1" applyAlignment="1">
      <alignment horizontal="right" vertical="center"/>
    </xf>
    <xf numFmtId="43" fontId="4" fillId="0" borderId="103" xfId="1" applyFont="1" applyFill="1" applyBorder="1" applyAlignment="1">
      <alignment horizontal="right" vertical="center"/>
    </xf>
    <xf numFmtId="43" fontId="4" fillId="0" borderId="103" xfId="1" applyFont="1" applyFill="1" applyBorder="1" applyAlignment="1">
      <alignment vertical="center"/>
    </xf>
    <xf numFmtId="0" fontId="22" fillId="15" borderId="60" xfId="0" applyFont="1" applyFill="1" applyBorder="1" applyAlignment="1">
      <alignment vertical="center" wrapText="1"/>
    </xf>
    <xf numFmtId="0" fontId="2" fillId="15" borderId="104" xfId="0" applyFont="1" applyFill="1" applyBorder="1" applyAlignment="1">
      <alignment vertical="center"/>
    </xf>
    <xf numFmtId="165" fontId="2" fillId="15" borderId="60" xfId="0" applyNumberFormat="1" applyFont="1" applyFill="1" applyBorder="1" applyAlignment="1">
      <alignment vertical="center"/>
    </xf>
    <xf numFmtId="3" fontId="3" fillId="4" borderId="102" xfId="0" applyNumberFormat="1" applyFont="1" applyFill="1" applyBorder="1" applyAlignment="1">
      <alignment vertical="center"/>
    </xf>
    <xf numFmtId="165" fontId="3" fillId="4" borderId="64" xfId="0" applyNumberFormat="1" applyFont="1" applyFill="1" applyBorder="1" applyAlignment="1">
      <alignment vertical="center"/>
    </xf>
    <xf numFmtId="3" fontId="40" fillId="0" borderId="102" xfId="0" applyNumberFormat="1" applyFont="1" applyFill="1" applyBorder="1" applyAlignment="1">
      <alignment vertical="center"/>
    </xf>
    <xf numFmtId="3" fontId="3" fillId="0" borderId="61" xfId="0" applyNumberFormat="1" applyFont="1" applyFill="1" applyBorder="1" applyAlignment="1">
      <alignment vertical="center"/>
    </xf>
    <xf numFmtId="165" fontId="3" fillId="0" borderId="62" xfId="0" applyNumberFormat="1" applyFont="1" applyFill="1" applyBorder="1" applyAlignment="1">
      <alignment vertical="center"/>
    </xf>
    <xf numFmtId="3" fontId="3" fillId="0" borderId="62" xfId="0" applyNumberFormat="1" applyFont="1" applyFill="1" applyBorder="1" applyAlignment="1">
      <alignment vertical="center"/>
    </xf>
    <xf numFmtId="165" fontId="3" fillId="0" borderId="64" xfId="0" applyNumberFormat="1" applyFont="1" applyFill="1" applyBorder="1" applyAlignment="1">
      <alignment vertical="center"/>
    </xf>
    <xf numFmtId="3" fontId="2" fillId="0" borderId="102" xfId="0" applyNumberFormat="1" applyFont="1" applyFill="1" applyBorder="1" applyAlignment="1">
      <alignment horizontal="right" vertical="center"/>
    </xf>
    <xf numFmtId="165" fontId="2" fillId="0" borderId="64" xfId="0" applyNumberFormat="1" applyFont="1" applyFill="1" applyBorder="1" applyAlignment="1">
      <alignment horizontal="right" vertical="center"/>
    </xf>
    <xf numFmtId="0" fontId="5" fillId="4" borderId="78" xfId="0" applyFont="1" applyFill="1" applyBorder="1" applyAlignment="1">
      <alignment horizontal="left" vertical="center" wrapText="1"/>
    </xf>
    <xf numFmtId="3" fontId="3" fillId="4" borderId="86" xfId="0" applyNumberFormat="1" applyFont="1" applyFill="1" applyBorder="1" applyAlignment="1">
      <alignment vertical="center"/>
    </xf>
    <xf numFmtId="3" fontId="3" fillId="4" borderId="80" xfId="0" applyNumberFormat="1" applyFont="1" applyFill="1" applyBorder="1" applyAlignment="1">
      <alignment vertical="center"/>
    </xf>
    <xf numFmtId="3" fontId="3" fillId="4" borderId="64" xfId="0" applyNumberFormat="1" applyFont="1" applyFill="1" applyBorder="1" applyAlignment="1">
      <alignment vertical="center"/>
    </xf>
    <xf numFmtId="3" fontId="40" fillId="0" borderId="6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horizontal="right" vertical="center"/>
    </xf>
    <xf numFmtId="3" fontId="2" fillId="0" borderId="67" xfId="0" applyNumberFormat="1" applyFont="1" applyFill="1" applyBorder="1" applyAlignment="1">
      <alignment horizontal="right" vertical="center"/>
    </xf>
    <xf numFmtId="165" fontId="2" fillId="0" borderId="68" xfId="0" applyNumberFormat="1" applyFont="1" applyFill="1" applyBorder="1" applyAlignment="1">
      <alignment horizontal="right" vertical="center"/>
    </xf>
    <xf numFmtId="165" fontId="2" fillId="0" borderId="70" xfId="0" applyNumberFormat="1" applyFont="1" applyFill="1" applyBorder="1" applyAlignment="1">
      <alignment horizontal="right" vertical="center"/>
    </xf>
    <xf numFmtId="3" fontId="22" fillId="0" borderId="61" xfId="0" applyNumberFormat="1" applyFont="1" applyFill="1" applyBorder="1" applyAlignment="1">
      <alignment vertical="center"/>
    </xf>
    <xf numFmtId="165" fontId="22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165" fontId="22" fillId="0" borderId="64" xfId="0" applyNumberFormat="1" applyFont="1" applyFill="1" applyBorder="1" applyAlignment="1">
      <alignment vertical="center"/>
    </xf>
    <xf numFmtId="165" fontId="4" fillId="0" borderId="64" xfId="0" applyNumberFormat="1" applyFont="1" applyFill="1" applyBorder="1" applyAlignment="1">
      <alignment horizontal="right" vertical="center"/>
    </xf>
    <xf numFmtId="165" fontId="4" fillId="0" borderId="70" xfId="0" applyNumberFormat="1" applyFont="1" applyFill="1" applyBorder="1" applyAlignment="1">
      <alignment horizontal="right" vertical="center"/>
    </xf>
    <xf numFmtId="3" fontId="22" fillId="0" borderId="64" xfId="0" applyNumberFormat="1" applyFont="1" applyFill="1" applyBorder="1" applyAlignment="1">
      <alignment vertical="center"/>
    </xf>
    <xf numFmtId="165" fontId="15" fillId="0" borderId="64" xfId="0" applyNumberFormat="1" applyFont="1" applyFill="1" applyBorder="1" applyAlignment="1">
      <alignment vertical="center"/>
    </xf>
    <xf numFmtId="3" fontId="4" fillId="0" borderId="102" xfId="0" applyNumberFormat="1" applyFont="1" applyFill="1" applyBorder="1" applyAlignment="1">
      <alignment vertical="center"/>
    </xf>
    <xf numFmtId="165" fontId="4" fillId="0" borderId="64" xfId="0" applyNumberFormat="1" applyFont="1" applyFill="1" applyBorder="1" applyAlignment="1">
      <alignment vertical="center"/>
    </xf>
    <xf numFmtId="3" fontId="22" fillId="4" borderId="102" xfId="0" applyNumberFormat="1" applyFont="1" applyFill="1" applyBorder="1" applyAlignment="1">
      <alignment vertical="center"/>
    </xf>
    <xf numFmtId="3" fontId="22" fillId="0" borderId="102" xfId="0" applyNumberFormat="1" applyFont="1" applyFill="1" applyBorder="1" applyAlignment="1">
      <alignment vertical="center"/>
    </xf>
    <xf numFmtId="3" fontId="15" fillId="0" borderId="102" xfId="0" applyNumberFormat="1" applyFont="1" applyFill="1" applyBorder="1" applyAlignment="1">
      <alignment vertical="center"/>
    </xf>
    <xf numFmtId="3" fontId="4" fillId="0" borderId="68" xfId="0" applyNumberFormat="1" applyFont="1" applyFill="1" applyBorder="1" applyAlignment="1">
      <alignment vertical="center"/>
    </xf>
    <xf numFmtId="3" fontId="4" fillId="0" borderId="103" xfId="0" applyNumberFormat="1" applyFont="1" applyFill="1" applyBorder="1" applyAlignment="1">
      <alignment vertical="center"/>
    </xf>
    <xf numFmtId="165" fontId="4" fillId="0" borderId="70" xfId="0" applyNumberFormat="1" applyFont="1" applyFill="1" applyBorder="1" applyAlignment="1">
      <alignment vertical="center"/>
    </xf>
    <xf numFmtId="3" fontId="40" fillId="2" borderId="64" xfId="0" applyNumberFormat="1" applyFont="1" applyFill="1" applyBorder="1" applyAlignment="1">
      <alignment vertical="center"/>
    </xf>
    <xf numFmtId="165" fontId="15" fillId="2" borderId="64" xfId="0" applyNumberFormat="1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3" fontId="3" fillId="4" borderId="71" xfId="0" applyNumberFormat="1" applyFont="1" applyFill="1" applyBorder="1" applyAlignment="1">
      <alignment vertical="center"/>
    </xf>
    <xf numFmtId="0" fontId="30" fillId="2" borderId="17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horizontal="left" vertical="center"/>
    </xf>
    <xf numFmtId="0" fontId="2" fillId="2" borderId="34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5" fontId="4" fillId="2" borderId="20" xfId="0" applyNumberFormat="1" applyFont="1" applyFill="1" applyBorder="1" applyAlignment="1">
      <alignment vertical="center"/>
    </xf>
    <xf numFmtId="165" fontId="4" fillId="2" borderId="34" xfId="0" applyNumberFormat="1" applyFont="1" applyFill="1" applyBorder="1" applyAlignment="1">
      <alignment vertical="center"/>
    </xf>
    <xf numFmtId="0" fontId="5" fillId="2" borderId="8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27" fillId="0" borderId="55" xfId="0" quotePrefix="1" applyFont="1" applyBorder="1" applyAlignment="1">
      <alignment horizontal="center" vertical="center"/>
    </xf>
    <xf numFmtId="3" fontId="15" fillId="2" borderId="106" xfId="0" quotePrefix="1" applyNumberFormat="1" applyFont="1" applyFill="1" applyBorder="1" applyAlignment="1">
      <alignment vertical="center"/>
    </xf>
    <xf numFmtId="3" fontId="15" fillId="2" borderId="23" xfId="0" quotePrefix="1" applyNumberFormat="1" applyFont="1" applyFill="1" applyBorder="1" applyAlignment="1">
      <alignment vertical="center"/>
    </xf>
    <xf numFmtId="0" fontId="3" fillId="4" borderId="58" xfId="2" applyFont="1" applyFill="1" applyBorder="1" applyAlignment="1">
      <alignment horizontal="left" vertical="center"/>
    </xf>
    <xf numFmtId="0" fontId="6" fillId="4" borderId="59" xfId="2" applyFont="1" applyFill="1" applyBorder="1" applyAlignment="1">
      <alignment horizontal="left" vertical="center"/>
    </xf>
    <xf numFmtId="165" fontId="22" fillId="13" borderId="58" xfId="0" applyNumberFormat="1" applyFont="1" applyFill="1" applyBorder="1" applyAlignment="1">
      <alignment vertical="center"/>
    </xf>
    <xf numFmtId="3" fontId="22" fillId="13" borderId="60" xfId="0" applyNumberFormat="1" applyFont="1" applyFill="1" applyBorder="1" applyAlignment="1">
      <alignment vertical="center"/>
    </xf>
    <xf numFmtId="165" fontId="22" fillId="13" borderId="60" xfId="0" applyNumberFormat="1" applyFont="1" applyFill="1" applyBorder="1" applyAlignment="1">
      <alignment vertical="center"/>
    </xf>
    <xf numFmtId="0" fontId="40" fillId="6" borderId="77" xfId="2" applyFont="1" applyFill="1" applyBorder="1" applyAlignment="1">
      <alignment vertical="center"/>
    </xf>
    <xf numFmtId="3" fontId="40" fillId="6" borderId="86" xfId="0" applyNumberFormat="1" applyFont="1" applyFill="1" applyBorder="1" applyAlignment="1">
      <alignment vertical="center"/>
    </xf>
    <xf numFmtId="3" fontId="40" fillId="6" borderId="80" xfId="0" applyNumberFormat="1" applyFont="1" applyFill="1" applyBorder="1" applyAlignment="1">
      <alignment vertical="center"/>
    </xf>
    <xf numFmtId="3" fontId="40" fillId="6" borderId="77" xfId="0" applyNumberFormat="1" applyFont="1" applyFill="1" applyBorder="1" applyAlignment="1">
      <alignment vertical="center"/>
    </xf>
    <xf numFmtId="3" fontId="40" fillId="6" borderId="79" xfId="0" applyNumberFormat="1" applyFont="1" applyFill="1" applyBorder="1" applyAlignment="1">
      <alignment vertical="center"/>
    </xf>
    <xf numFmtId="165" fontId="15" fillId="6" borderId="77" xfId="0" applyNumberFormat="1" applyFont="1" applyFill="1" applyBorder="1" applyAlignment="1">
      <alignment vertical="center"/>
    </xf>
    <xf numFmtId="3" fontId="15" fillId="6" borderId="80" xfId="0" applyNumberFormat="1" applyFont="1" applyFill="1" applyBorder="1" applyAlignment="1">
      <alignment vertical="center"/>
    </xf>
    <xf numFmtId="165" fontId="15" fillId="6" borderId="8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3" fontId="2" fillId="12" borderId="71" xfId="0" applyNumberFormat="1" applyFont="1" applyFill="1" applyBorder="1" applyAlignment="1">
      <alignment vertical="center"/>
    </xf>
    <xf numFmtId="3" fontId="2" fillId="12" borderId="64" xfId="0" applyNumberFormat="1" applyFont="1" applyFill="1" applyBorder="1" applyAlignment="1">
      <alignment vertical="center"/>
    </xf>
    <xf numFmtId="3" fontId="2" fillId="12" borderId="62" xfId="0" applyNumberFormat="1" applyFont="1" applyFill="1" applyBorder="1" applyAlignment="1">
      <alignment vertical="center"/>
    </xf>
    <xf numFmtId="0" fontId="22" fillId="15" borderId="77" xfId="0" applyFont="1" applyFill="1" applyBorder="1" applyAlignment="1">
      <alignment vertical="center" wrapText="1"/>
    </xf>
    <xf numFmtId="0" fontId="2" fillId="15" borderId="79" xfId="0" applyFont="1" applyFill="1" applyBorder="1" applyAlignment="1">
      <alignment vertical="center"/>
    </xf>
    <xf numFmtId="0" fontId="2" fillId="15" borderId="80" xfId="0" applyFont="1" applyFill="1" applyBorder="1" applyAlignment="1">
      <alignment vertical="center"/>
    </xf>
    <xf numFmtId="0" fontId="2" fillId="15" borderId="77" xfId="0" applyFont="1" applyFill="1" applyBorder="1" applyAlignment="1">
      <alignment vertical="center"/>
    </xf>
    <xf numFmtId="165" fontId="4" fillId="15" borderId="77" xfId="0" applyNumberFormat="1" applyFont="1" applyFill="1" applyBorder="1" applyAlignment="1">
      <alignment vertical="center"/>
    </xf>
    <xf numFmtId="0" fontId="4" fillId="15" borderId="77" xfId="0" applyFont="1" applyFill="1" applyBorder="1" applyAlignment="1">
      <alignment vertical="center"/>
    </xf>
    <xf numFmtId="165" fontId="4" fillId="15" borderId="8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2" fillId="4" borderId="64" xfId="1" applyFont="1" applyFill="1" applyBorder="1" applyAlignment="1">
      <alignment vertical="center"/>
    </xf>
    <xf numFmtId="43" fontId="3" fillId="4" borderId="64" xfId="1" applyFont="1" applyFill="1" applyBorder="1" applyAlignment="1">
      <alignment vertical="center"/>
    </xf>
    <xf numFmtId="43" fontId="40" fillId="0" borderId="64" xfId="1" applyFont="1" applyFill="1" applyBorder="1" applyAlignment="1">
      <alignment vertical="center"/>
    </xf>
    <xf numFmtId="0" fontId="4" fillId="0" borderId="68" xfId="0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43" fontId="2" fillId="0" borderId="68" xfId="1" applyFont="1" applyFill="1" applyBorder="1" applyAlignment="1">
      <alignment vertical="center"/>
    </xf>
    <xf numFmtId="43" fontId="2" fillId="0" borderId="70" xfId="1" applyFont="1" applyFill="1" applyBorder="1" applyAlignment="1">
      <alignment vertical="center"/>
    </xf>
    <xf numFmtId="43" fontId="4" fillId="0" borderId="68" xfId="1" applyFont="1" applyFill="1" applyBorder="1" applyAlignment="1">
      <alignment vertical="center"/>
    </xf>
    <xf numFmtId="43" fontId="2" fillId="15" borderId="58" xfId="1" applyFont="1" applyFill="1" applyBorder="1" applyAlignment="1">
      <alignment vertical="center"/>
    </xf>
    <xf numFmtId="43" fontId="4" fillId="15" borderId="60" xfId="1" applyFont="1" applyFill="1" applyBorder="1" applyAlignment="1">
      <alignment vertical="center"/>
    </xf>
    <xf numFmtId="3" fontId="4" fillId="0" borderId="70" xfId="0" applyNumberFormat="1" applyFont="1" applyFill="1" applyBorder="1" applyAlignment="1">
      <alignment vertical="center"/>
    </xf>
    <xf numFmtId="43" fontId="2" fillId="15" borderId="60" xfId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3" fontId="2" fillId="15" borderId="80" xfId="1" applyFont="1" applyFill="1" applyBorder="1" applyAlignment="1">
      <alignment vertical="center"/>
    </xf>
    <xf numFmtId="43" fontId="2" fillId="15" borderId="86" xfId="1" applyFont="1" applyFill="1" applyBorder="1" applyAlignment="1">
      <alignment vertical="center"/>
    </xf>
    <xf numFmtId="43" fontId="4" fillId="15" borderId="80" xfId="1" applyFont="1" applyFill="1" applyBorder="1" applyAlignment="1">
      <alignment vertical="center"/>
    </xf>
    <xf numFmtId="165" fontId="40" fillId="0" borderId="64" xfId="0" applyNumberFormat="1" applyFont="1" applyFill="1" applyBorder="1" applyAlignment="1">
      <alignment vertical="center"/>
    </xf>
    <xf numFmtId="165" fontId="2" fillId="0" borderId="70" xfId="0" applyNumberFormat="1" applyFont="1" applyFill="1" applyBorder="1" applyAlignment="1">
      <alignment vertical="center"/>
    </xf>
    <xf numFmtId="3" fontId="22" fillId="4" borderId="6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94" xfId="0" applyFont="1" applyFill="1" applyBorder="1" applyAlignment="1">
      <alignment vertical="center"/>
    </xf>
    <xf numFmtId="3" fontId="2" fillId="2" borderId="93" xfId="0" applyNumberFormat="1" applyFont="1" applyFill="1" applyBorder="1" applyAlignment="1">
      <alignment vertical="center"/>
    </xf>
    <xf numFmtId="3" fontId="4" fillId="2" borderId="94" xfId="0" applyNumberFormat="1" applyFont="1" applyFill="1" applyBorder="1" applyAlignment="1">
      <alignment vertical="center"/>
    </xf>
    <xf numFmtId="43" fontId="4" fillId="2" borderId="94" xfId="1" applyFont="1" applyFill="1" applyBorder="1" applyAlignment="1">
      <alignment vertical="center"/>
    </xf>
    <xf numFmtId="43" fontId="4" fillId="2" borderId="91" xfId="1" applyFont="1" applyFill="1" applyBorder="1" applyAlignment="1">
      <alignment vertical="center"/>
    </xf>
    <xf numFmtId="165" fontId="4" fillId="0" borderId="94" xfId="0" applyNumberFormat="1" applyFont="1" applyFill="1" applyBorder="1" applyAlignment="1">
      <alignment vertical="center"/>
    </xf>
    <xf numFmtId="43" fontId="4" fillId="0" borderId="91" xfId="1" applyFont="1" applyFill="1" applyBorder="1" applyAlignment="1">
      <alignment vertical="center"/>
    </xf>
    <xf numFmtId="3" fontId="3" fillId="4" borderId="66" xfId="0" applyNumberFormat="1" applyFont="1" applyFill="1" applyBorder="1" applyAlignment="1">
      <alignment vertical="center"/>
    </xf>
    <xf numFmtId="165" fontId="40" fillId="2" borderId="64" xfId="0" applyNumberFormat="1" applyFont="1" applyFill="1" applyBorder="1" applyAlignment="1">
      <alignment vertical="center"/>
    </xf>
    <xf numFmtId="0" fontId="4" fillId="2" borderId="68" xfId="0" applyFont="1" applyFill="1" applyBorder="1" applyAlignment="1">
      <alignment vertical="center"/>
    </xf>
    <xf numFmtId="3" fontId="2" fillId="2" borderId="67" xfId="0" applyNumberFormat="1" applyFont="1" applyFill="1" applyBorder="1" applyAlignment="1">
      <alignment vertical="center"/>
    </xf>
    <xf numFmtId="3" fontId="2" fillId="2" borderId="68" xfId="0" applyNumberFormat="1" applyFont="1" applyFill="1" applyBorder="1" applyAlignment="1">
      <alignment vertical="center"/>
    </xf>
    <xf numFmtId="3" fontId="2" fillId="2" borderId="70" xfId="0" applyNumberFormat="1" applyFont="1" applyFill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8" fillId="0" borderId="88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6" fillId="0" borderId="12" xfId="0" applyNumberFormat="1" applyFont="1" applyFill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0" fontId="8" fillId="0" borderId="87" xfId="0" applyFont="1" applyBorder="1" applyAlignment="1">
      <alignment vertical="center"/>
    </xf>
    <xf numFmtId="3" fontId="46" fillId="0" borderId="1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4" fillId="0" borderId="12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vertical="center"/>
    </xf>
    <xf numFmtId="0" fontId="8" fillId="0" borderId="92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3" fillId="0" borderId="46" xfId="0" applyFont="1" applyBorder="1" applyAlignment="1">
      <alignment vertical="center"/>
    </xf>
    <xf numFmtId="0" fontId="25" fillId="16" borderId="48" xfId="0" quotePrefix="1" applyFont="1" applyFill="1" applyBorder="1" applyAlignment="1">
      <alignment horizontal="center" vertical="center"/>
    </xf>
    <xf numFmtId="0" fontId="25" fillId="16" borderId="38" xfId="0" quotePrefix="1" applyFont="1" applyFill="1" applyBorder="1" applyAlignment="1">
      <alignment horizontal="center" vertical="center"/>
    </xf>
    <xf numFmtId="0" fontId="25" fillId="16" borderId="49" xfId="0" quotePrefix="1" applyFont="1" applyFill="1" applyBorder="1" applyAlignment="1">
      <alignment horizontal="center" vertical="center"/>
    </xf>
    <xf numFmtId="3" fontId="15" fillId="16" borderId="110" xfId="0" quotePrefix="1" applyNumberFormat="1" applyFont="1" applyFill="1" applyBorder="1" applyAlignment="1">
      <alignment vertical="center"/>
    </xf>
    <xf numFmtId="3" fontId="15" fillId="16" borderId="113" xfId="0" quotePrefix="1" applyNumberFormat="1" applyFont="1" applyFill="1" applyBorder="1" applyAlignment="1">
      <alignment vertical="center"/>
    </xf>
    <xf numFmtId="3" fontId="15" fillId="16" borderId="46" xfId="0" quotePrefix="1" applyNumberFormat="1" applyFont="1" applyFill="1" applyBorder="1" applyAlignment="1">
      <alignment vertical="center"/>
    </xf>
    <xf numFmtId="3" fontId="15" fillId="16" borderId="15" xfId="0" quotePrefix="1" applyNumberFormat="1" applyFont="1" applyFill="1" applyBorder="1" applyAlignment="1">
      <alignment vertical="center"/>
    </xf>
    <xf numFmtId="0" fontId="49" fillId="2" borderId="0" xfId="0" applyFont="1" applyFill="1" applyBorder="1" applyAlignment="1"/>
    <xf numFmtId="0" fontId="50" fillId="2" borderId="0" xfId="0" applyFont="1" applyFill="1" applyBorder="1" applyAlignment="1"/>
    <xf numFmtId="0" fontId="16" fillId="2" borderId="0" xfId="0" applyFont="1" applyFill="1" applyBorder="1" applyAlignment="1">
      <alignment vertical="top"/>
    </xf>
    <xf numFmtId="0" fontId="50" fillId="2" borderId="0" xfId="0" applyFont="1" applyFill="1" applyBorder="1" applyAlignment="1">
      <alignment vertical="top"/>
    </xf>
    <xf numFmtId="3" fontId="50" fillId="2" borderId="0" xfId="0" applyNumberFormat="1" applyFont="1" applyFill="1" applyBorder="1" applyAlignment="1">
      <alignment horizontal="left" vertical="top"/>
    </xf>
    <xf numFmtId="0" fontId="50" fillId="0" borderId="0" xfId="0" applyFont="1" applyFill="1" applyAlignment="1">
      <alignment vertical="top"/>
    </xf>
    <xf numFmtId="0" fontId="50" fillId="11" borderId="0" xfId="0" applyFont="1" applyFill="1" applyAlignment="1">
      <alignment vertical="top"/>
    </xf>
    <xf numFmtId="0" fontId="50" fillId="2" borderId="0" xfId="0" applyFont="1" applyFill="1" applyAlignment="1">
      <alignment vertical="top"/>
    </xf>
    <xf numFmtId="0" fontId="50" fillId="16" borderId="0" xfId="0" applyFont="1" applyFill="1" applyAlignment="1">
      <alignment vertical="top"/>
    </xf>
    <xf numFmtId="0" fontId="30" fillId="2" borderId="44" xfId="0" applyFont="1" applyFill="1" applyBorder="1" applyAlignment="1">
      <alignment vertical="center"/>
    </xf>
    <xf numFmtId="0" fontId="50" fillId="2" borderId="35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3" fontId="50" fillId="2" borderId="35" xfId="0" applyNumberFormat="1" applyFont="1" applyFill="1" applyBorder="1" applyAlignment="1">
      <alignment horizontal="left" vertical="center"/>
    </xf>
    <xf numFmtId="0" fontId="27" fillId="2" borderId="97" xfId="0" applyFont="1" applyFill="1" applyBorder="1" applyAlignment="1">
      <alignment horizontal="right" vertical="center"/>
    </xf>
    <xf numFmtId="0" fontId="50" fillId="0" borderId="0" xfId="0" applyFont="1" applyFill="1" applyAlignment="1">
      <alignment vertical="center"/>
    </xf>
    <xf numFmtId="0" fontId="50" fillId="11" borderId="0" xfId="0" applyFont="1" applyFill="1" applyAlignment="1">
      <alignment vertical="center"/>
    </xf>
    <xf numFmtId="0" fontId="16" fillId="0" borderId="35" xfId="0" quotePrefix="1" applyFont="1" applyBorder="1" applyAlignment="1">
      <alignment horizontal="center" vertical="top"/>
    </xf>
    <xf numFmtId="0" fontId="25" fillId="0" borderId="0" xfId="0" applyFont="1" applyFill="1" applyAlignment="1">
      <alignment vertical="top"/>
    </xf>
    <xf numFmtId="0" fontId="25" fillId="0" borderId="0" xfId="0" applyFont="1" applyAlignment="1">
      <alignment vertical="top"/>
    </xf>
    <xf numFmtId="0" fontId="32" fillId="0" borderId="114" xfId="0" quotePrefix="1" applyFont="1" applyBorder="1" applyAlignment="1">
      <alignment horizontal="center" vertical="center"/>
    </xf>
    <xf numFmtId="0" fontId="15" fillId="0" borderId="111" xfId="0" applyFont="1" applyBorder="1" applyAlignment="1">
      <alignment horizontal="left" vertical="top"/>
    </xf>
    <xf numFmtId="43" fontId="15" fillId="2" borderId="113" xfId="1" quotePrefix="1" applyFont="1" applyFill="1" applyBorder="1" applyAlignment="1">
      <alignment vertical="top"/>
    </xf>
    <xf numFmtId="43" fontId="15" fillId="2" borderId="121" xfId="1" quotePrefix="1" applyFont="1" applyFill="1" applyBorder="1" applyAlignment="1">
      <alignment vertical="top"/>
    </xf>
    <xf numFmtId="0" fontId="4" fillId="0" borderId="11" xfId="0" applyFont="1" applyBorder="1" applyAlignment="1">
      <alignment vertical="top"/>
    </xf>
    <xf numFmtId="0" fontId="27" fillId="0" borderId="15" xfId="0" quotePrefix="1" applyFont="1" applyBorder="1" applyAlignment="1">
      <alignment horizontal="center" vertical="top"/>
    </xf>
    <xf numFmtId="0" fontId="7" fillId="4" borderId="60" xfId="2" applyFont="1" applyFill="1" applyBorder="1" applyAlignment="1">
      <alignment horizontal="left" vertical="center"/>
    </xf>
    <xf numFmtId="3" fontId="22" fillId="4" borderId="98" xfId="0" applyNumberFormat="1" applyFont="1" applyFill="1" applyBorder="1" applyAlignment="1">
      <alignment vertical="top"/>
    </xf>
    <xf numFmtId="3" fontId="22" fillId="4" borderId="59" xfId="0" applyNumberFormat="1" applyFont="1" applyFill="1" applyBorder="1" applyAlignment="1">
      <alignment vertical="top"/>
    </xf>
    <xf numFmtId="3" fontId="22" fillId="4" borderId="101" xfId="0" applyNumberFormat="1" applyFont="1" applyFill="1" applyBorder="1" applyAlignment="1">
      <alignment vertical="top"/>
    </xf>
    <xf numFmtId="0" fontId="16" fillId="11" borderId="0" xfId="0" applyFont="1" applyFill="1" applyAlignment="1">
      <alignment vertical="top"/>
    </xf>
    <xf numFmtId="3" fontId="15" fillId="6" borderId="61" xfId="0" applyNumberFormat="1" applyFont="1" applyFill="1" applyBorder="1" applyAlignment="1">
      <alignment vertical="top"/>
    </xf>
    <xf numFmtId="3" fontId="15" fillId="6" borderId="66" xfId="0" applyNumberFormat="1" applyFont="1" applyFill="1" applyBorder="1" applyAlignment="1">
      <alignment vertical="top"/>
    </xf>
    <xf numFmtId="3" fontId="15" fillId="6" borderId="63" xfId="0" applyNumberFormat="1" applyFont="1" applyFill="1" applyBorder="1" applyAlignment="1">
      <alignment vertical="top"/>
    </xf>
    <xf numFmtId="3" fontId="15" fillId="6" borderId="71" xfId="0" applyNumberFormat="1" applyFont="1" applyFill="1" applyBorder="1" applyAlignment="1">
      <alignment vertical="top"/>
    </xf>
    <xf numFmtId="164" fontId="15" fillId="6" borderId="62" xfId="0" applyNumberFormat="1" applyFont="1" applyFill="1" applyBorder="1" applyAlignment="1">
      <alignment vertical="top"/>
    </xf>
    <xf numFmtId="3" fontId="15" fillId="6" borderId="62" xfId="0" applyNumberFormat="1" applyFont="1" applyFill="1" applyBorder="1" applyAlignment="1">
      <alignment vertical="top"/>
    </xf>
    <xf numFmtId="3" fontId="4" fillId="6" borderId="66" xfId="0" applyNumberFormat="1" applyFont="1" applyFill="1" applyBorder="1" applyAlignment="1">
      <alignment vertical="top"/>
    </xf>
    <xf numFmtId="3" fontId="4" fillId="6" borderId="63" xfId="0" applyNumberFormat="1" applyFont="1" applyFill="1" applyBorder="1" applyAlignment="1">
      <alignment vertical="top"/>
    </xf>
    <xf numFmtId="3" fontId="4" fillId="6" borderId="71" xfId="0" applyNumberFormat="1" applyFont="1" applyFill="1" applyBorder="1" applyAlignment="1">
      <alignment vertical="top"/>
    </xf>
    <xf numFmtId="164" fontId="23" fillId="6" borderId="62" xfId="0" applyNumberFormat="1" applyFont="1" applyFill="1" applyBorder="1" applyAlignment="1">
      <alignment vertical="top"/>
    </xf>
    <xf numFmtId="164" fontId="4" fillId="6" borderId="62" xfId="0" applyNumberFormat="1" applyFont="1" applyFill="1" applyBorder="1" applyAlignment="1">
      <alignment vertical="top"/>
    </xf>
    <xf numFmtId="0" fontId="7" fillId="4" borderId="64" xfId="2" applyFont="1" applyFill="1" applyBorder="1" applyAlignment="1">
      <alignment horizontal="left" vertical="center"/>
    </xf>
    <xf numFmtId="0" fontId="4" fillId="6" borderId="68" xfId="2" applyFont="1" applyFill="1" applyBorder="1" applyAlignment="1">
      <alignment vertical="center"/>
    </xf>
    <xf numFmtId="3" fontId="4" fillId="6" borderId="67" xfId="0" applyNumberFormat="1" applyFont="1" applyFill="1" applyBorder="1" applyAlignment="1">
      <alignment vertical="top"/>
    </xf>
    <xf numFmtId="3" fontId="4" fillId="6" borderId="96" xfId="0" applyNumberFormat="1" applyFont="1" applyFill="1" applyBorder="1" applyAlignment="1">
      <alignment vertical="top"/>
    </xf>
    <xf numFmtId="3" fontId="4" fillId="6" borderId="69" xfId="0" applyNumberFormat="1" applyFont="1" applyFill="1" applyBorder="1" applyAlignment="1">
      <alignment vertical="top"/>
    </xf>
    <xf numFmtId="3" fontId="4" fillId="6" borderId="72" xfId="0" applyNumberFormat="1" applyFont="1" applyFill="1" applyBorder="1" applyAlignment="1">
      <alignment vertical="top"/>
    </xf>
    <xf numFmtId="164" fontId="4" fillId="6" borderId="68" xfId="0" applyNumberFormat="1" applyFont="1" applyFill="1" applyBorder="1" applyAlignment="1">
      <alignment vertical="top"/>
    </xf>
    <xf numFmtId="3" fontId="4" fillId="6" borderId="68" xfId="0" applyNumberFormat="1" applyFont="1" applyFill="1" applyBorder="1" applyAlignment="1">
      <alignment vertical="top"/>
    </xf>
    <xf numFmtId="0" fontId="22" fillId="15" borderId="58" xfId="0" applyFont="1" applyFill="1" applyBorder="1" applyAlignment="1">
      <alignment horizontal="left" vertical="center" wrapText="1"/>
    </xf>
    <xf numFmtId="3" fontId="4" fillId="15" borderId="57" xfId="0" applyNumberFormat="1" applyFont="1" applyFill="1" applyBorder="1" applyAlignment="1">
      <alignment vertical="top"/>
    </xf>
    <xf numFmtId="3" fontId="4" fillId="15" borderId="98" xfId="0" applyNumberFormat="1" applyFont="1" applyFill="1" applyBorder="1" applyAlignment="1">
      <alignment vertical="top"/>
    </xf>
    <xf numFmtId="3" fontId="4" fillId="15" borderId="58" xfId="0" applyNumberFormat="1" applyFont="1" applyFill="1" applyBorder="1" applyAlignment="1">
      <alignment vertical="top"/>
    </xf>
    <xf numFmtId="3" fontId="4" fillId="15" borderId="125" xfId="0" applyNumberFormat="1" applyFont="1" applyFill="1" applyBorder="1" applyAlignment="1">
      <alignment vertical="top"/>
    </xf>
    <xf numFmtId="164" fontId="4" fillId="15" borderId="58" xfId="0" applyNumberFormat="1" applyFont="1" applyFill="1" applyBorder="1" applyAlignment="1">
      <alignment vertical="top"/>
    </xf>
    <xf numFmtId="43" fontId="15" fillId="0" borderId="79" xfId="1" applyFont="1" applyFill="1" applyBorder="1" applyAlignment="1">
      <alignment vertical="top"/>
    </xf>
    <xf numFmtId="43" fontId="15" fillId="0" borderId="77" xfId="1" applyFont="1" applyFill="1" applyBorder="1" applyAlignment="1">
      <alignment vertical="top"/>
    </xf>
    <xf numFmtId="43" fontId="15" fillId="0" borderId="78" xfId="1" applyFont="1" applyFill="1" applyBorder="1" applyAlignment="1">
      <alignment vertical="top"/>
    </xf>
    <xf numFmtId="43" fontId="15" fillId="0" borderId="61" xfId="1" applyFont="1" applyFill="1" applyBorder="1" applyAlignment="1">
      <alignment vertical="top"/>
    </xf>
    <xf numFmtId="43" fontId="4" fillId="0" borderId="67" xfId="1" applyFont="1" applyFill="1" applyBorder="1" applyAlignment="1">
      <alignment vertical="top"/>
    </xf>
    <xf numFmtId="43" fontId="4" fillId="0" borderId="69" xfId="1" applyFont="1" applyFill="1" applyBorder="1" applyAlignment="1">
      <alignment vertical="top"/>
    </xf>
    <xf numFmtId="0" fontId="22" fillId="4" borderId="28" xfId="2" applyFont="1" applyFill="1" applyBorder="1" applyAlignment="1">
      <alignment horizontal="left" vertical="center"/>
    </xf>
    <xf numFmtId="0" fontId="28" fillId="4" borderId="27" xfId="0" applyFont="1" applyFill="1" applyBorder="1" applyAlignment="1">
      <alignment horizontal="center" vertical="center"/>
    </xf>
    <xf numFmtId="43" fontId="22" fillId="4" borderId="26" xfId="1" applyFont="1" applyFill="1" applyBorder="1" applyAlignment="1">
      <alignment vertical="top"/>
    </xf>
    <xf numFmtId="43" fontId="22" fillId="4" borderId="28" xfId="1" applyFont="1" applyFill="1" applyBorder="1" applyAlignment="1">
      <alignment vertical="top"/>
    </xf>
    <xf numFmtId="43" fontId="22" fillId="4" borderId="56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15" fillId="0" borderId="4" xfId="2" applyFont="1" applyFill="1" applyBorder="1" applyAlignment="1">
      <alignment vertical="center"/>
    </xf>
    <xf numFmtId="43" fontId="15" fillId="0" borderId="21" xfId="1" applyFont="1" applyFill="1" applyBorder="1" applyAlignment="1">
      <alignment vertical="top"/>
    </xf>
    <xf numFmtId="43" fontId="15" fillId="0" borderId="4" xfId="1" applyFont="1" applyFill="1" applyBorder="1" applyAlignment="1">
      <alignment vertical="top"/>
    </xf>
    <xf numFmtId="43" fontId="15" fillId="0" borderId="55" xfId="1" applyFont="1" applyFill="1" applyBorder="1" applyAlignment="1">
      <alignment vertical="top"/>
    </xf>
    <xf numFmtId="0" fontId="4" fillId="0" borderId="33" xfId="2" applyFont="1" applyFill="1" applyBorder="1" applyAlignment="1">
      <alignment vertical="center"/>
    </xf>
    <xf numFmtId="43" fontId="4" fillId="0" borderId="32" xfId="1" applyFont="1" applyFill="1" applyBorder="1" applyAlignment="1">
      <alignment vertical="top"/>
    </xf>
    <xf numFmtId="43" fontId="4" fillId="0" borderId="33" xfId="1" applyFont="1" applyFill="1" applyBorder="1" applyAlignment="1">
      <alignment vertical="top"/>
    </xf>
    <xf numFmtId="43" fontId="4" fillId="0" borderId="105" xfId="1" applyFont="1" applyFill="1" applyBorder="1" applyAlignment="1">
      <alignment vertical="top"/>
    </xf>
    <xf numFmtId="0" fontId="7" fillId="15" borderId="104" xfId="0" applyFont="1" applyFill="1" applyBorder="1" applyAlignment="1">
      <alignment horizontal="center" vertical="center" wrapText="1"/>
    </xf>
    <xf numFmtId="3" fontId="4" fillId="15" borderId="59" xfId="0" applyNumberFormat="1" applyFont="1" applyFill="1" applyBorder="1" applyAlignment="1">
      <alignment vertical="top"/>
    </xf>
    <xf numFmtId="0" fontId="16" fillId="4" borderId="102" xfId="0" applyFont="1" applyFill="1" applyBorder="1" applyAlignment="1">
      <alignment vertical="top"/>
    </xf>
    <xf numFmtId="0" fontId="4" fillId="0" borderId="62" xfId="0" applyFont="1" applyFill="1" applyBorder="1" applyAlignment="1">
      <alignment vertical="top" wrapText="1"/>
    </xf>
    <xf numFmtId="3" fontId="4" fillId="2" borderId="61" xfId="0" applyNumberFormat="1" applyFont="1" applyFill="1" applyBorder="1" applyAlignment="1">
      <alignment vertical="top"/>
    </xf>
    <xf numFmtId="0" fontId="4" fillId="0" borderId="62" xfId="2" applyFont="1" applyFill="1" applyBorder="1" applyAlignment="1">
      <alignment vertical="center"/>
    </xf>
    <xf numFmtId="3" fontId="2" fillId="16" borderId="62" xfId="0" applyNumberFormat="1" applyFont="1" applyFill="1" applyBorder="1" applyAlignment="1">
      <alignment vertical="top"/>
    </xf>
    <xf numFmtId="0" fontId="28" fillId="4" borderId="102" xfId="0" applyFont="1" applyFill="1" applyBorder="1" applyAlignment="1">
      <alignment horizontal="center" vertical="center"/>
    </xf>
    <xf numFmtId="0" fontId="28" fillId="2" borderId="102" xfId="0" applyFont="1" applyFill="1" applyBorder="1" applyAlignment="1">
      <alignment horizontal="center" vertical="center"/>
    </xf>
    <xf numFmtId="3" fontId="22" fillId="2" borderId="61" xfId="0" applyNumberFormat="1" applyFont="1" applyFill="1" applyBorder="1" applyAlignment="1">
      <alignment vertical="top"/>
    </xf>
    <xf numFmtId="3" fontId="22" fillId="2" borderId="62" xfId="0" applyNumberFormat="1" applyFont="1" applyFill="1" applyBorder="1" applyAlignment="1">
      <alignment vertical="top"/>
    </xf>
    <xf numFmtId="3" fontId="22" fillId="2" borderId="63" xfId="0" applyNumberFormat="1" applyFont="1" applyFill="1" applyBorder="1" applyAlignment="1">
      <alignment vertical="top"/>
    </xf>
    <xf numFmtId="164" fontId="3" fillId="2" borderId="62" xfId="0" applyNumberFormat="1" applyFont="1" applyFill="1" applyBorder="1" applyAlignment="1">
      <alignment vertical="top"/>
    </xf>
    <xf numFmtId="3" fontId="3" fillId="16" borderId="62" xfId="0" applyNumberFormat="1" applyFont="1" applyFill="1" applyBorder="1" applyAlignment="1">
      <alignment vertical="top"/>
    </xf>
    <xf numFmtId="3" fontId="3" fillId="2" borderId="62" xfId="0" applyNumberFormat="1" applyFont="1" applyFill="1" applyBorder="1" applyAlignment="1">
      <alignment vertical="top"/>
    </xf>
    <xf numFmtId="0" fontId="15" fillId="0" borderId="62" xfId="2" applyFont="1" applyFill="1" applyBorder="1" applyAlignment="1">
      <alignment vertical="center"/>
    </xf>
    <xf numFmtId="3" fontId="40" fillId="16" borderId="62" xfId="0" applyNumberFormat="1" applyFont="1" applyFill="1" applyBorder="1" applyAlignment="1">
      <alignment vertical="top"/>
    </xf>
    <xf numFmtId="3" fontId="2" fillId="16" borderId="68" xfId="0" applyNumberFormat="1" applyFont="1" applyFill="1" applyBorder="1" applyAlignment="1">
      <alignment vertical="top"/>
    </xf>
    <xf numFmtId="0" fontId="22" fillId="15" borderId="98" xfId="0" applyFont="1" applyFill="1" applyBorder="1" applyAlignment="1">
      <alignment vertical="center" wrapText="1"/>
    </xf>
    <xf numFmtId="0" fontId="4" fillId="15" borderId="58" xfId="0" applyFont="1" applyFill="1" applyBorder="1" applyAlignment="1">
      <alignment vertical="top"/>
    </xf>
    <xf numFmtId="0" fontId="4" fillId="15" borderId="59" xfId="0" applyFont="1" applyFill="1" applyBorder="1" applyAlignment="1">
      <alignment vertical="top"/>
    </xf>
    <xf numFmtId="0" fontId="4" fillId="0" borderId="66" xfId="0" applyFont="1" applyFill="1" applyBorder="1" applyAlignment="1">
      <alignment vertical="top" wrapText="1"/>
    </xf>
    <xf numFmtId="3" fontId="15" fillId="0" borderId="61" xfId="0" quotePrefix="1" applyNumberFormat="1" applyFont="1" applyFill="1" applyBorder="1" applyAlignment="1">
      <alignment horizontal="right" vertical="top"/>
    </xf>
    <xf numFmtId="3" fontId="15" fillId="0" borderId="62" xfId="0" quotePrefix="1" applyNumberFormat="1" applyFont="1" applyFill="1" applyBorder="1" applyAlignment="1">
      <alignment horizontal="right" vertical="top"/>
    </xf>
    <xf numFmtId="0" fontId="4" fillId="0" borderId="66" xfId="2" applyFont="1" applyFill="1" applyBorder="1" applyAlignment="1">
      <alignment vertical="center"/>
    </xf>
    <xf numFmtId="3" fontId="4" fillId="0" borderId="61" xfId="0" quotePrefix="1" applyNumberFormat="1" applyFont="1" applyFill="1" applyBorder="1" applyAlignment="1">
      <alignment horizontal="right" vertical="top"/>
    </xf>
    <xf numFmtId="3" fontId="4" fillId="0" borderId="62" xfId="0" quotePrefix="1" applyNumberFormat="1" applyFont="1" applyFill="1" applyBorder="1" applyAlignment="1">
      <alignment horizontal="right" vertical="top"/>
    </xf>
    <xf numFmtId="3" fontId="22" fillId="4" borderId="61" xfId="0" quotePrefix="1" applyNumberFormat="1" applyFont="1" applyFill="1" applyBorder="1" applyAlignment="1">
      <alignment horizontal="right" vertical="top"/>
    </xf>
    <xf numFmtId="0" fontId="28" fillId="2" borderId="64" xfId="0" applyFont="1" applyFill="1" applyBorder="1" applyAlignment="1">
      <alignment horizontal="center" vertical="center"/>
    </xf>
    <xf numFmtId="3" fontId="22" fillId="2" borderId="61" xfId="0" quotePrefix="1" applyNumberFormat="1" applyFont="1" applyFill="1" applyBorder="1" applyAlignment="1">
      <alignment horizontal="right" vertical="top"/>
    </xf>
    <xf numFmtId="3" fontId="4" fillId="16" borderId="62" xfId="0" applyNumberFormat="1" applyFont="1" applyFill="1" applyBorder="1" applyAlignment="1">
      <alignment vertical="top"/>
    </xf>
    <xf numFmtId="0" fontId="15" fillId="0" borderId="6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3" fontId="4" fillId="0" borderId="67" xfId="0" quotePrefix="1" applyNumberFormat="1" applyFont="1" applyFill="1" applyBorder="1" applyAlignment="1">
      <alignment horizontal="right" vertical="top"/>
    </xf>
    <xf numFmtId="3" fontId="4" fillId="0" borderId="68" xfId="0" quotePrefix="1" applyNumberFormat="1" applyFont="1" applyFill="1" applyBorder="1" applyAlignment="1">
      <alignment horizontal="right" vertical="top"/>
    </xf>
    <xf numFmtId="0" fontId="4" fillId="15" borderId="98" xfId="0" applyFont="1" applyFill="1" applyBorder="1" applyAlignment="1">
      <alignment vertical="top"/>
    </xf>
    <xf numFmtId="164" fontId="4" fillId="15" borderId="60" xfId="0" applyNumberFormat="1" applyFont="1" applyFill="1" applyBorder="1" applyAlignment="1">
      <alignment vertical="top"/>
    </xf>
    <xf numFmtId="164" fontId="15" fillId="0" borderId="64" xfId="0" applyNumberFormat="1" applyFont="1" applyFill="1" applyBorder="1" applyAlignment="1">
      <alignment vertical="top"/>
    </xf>
    <xf numFmtId="3" fontId="4" fillId="0" borderId="65" xfId="0" applyNumberFormat="1" applyFont="1" applyFill="1" applyBorder="1" applyAlignment="1">
      <alignment vertical="top"/>
    </xf>
    <xf numFmtId="164" fontId="4" fillId="0" borderId="64" xfId="0" applyNumberFormat="1" applyFont="1" applyFill="1" applyBorder="1" applyAlignment="1">
      <alignment vertical="top"/>
    </xf>
    <xf numFmtId="0" fontId="8" fillId="0" borderId="64" xfId="0" applyFont="1" applyBorder="1" applyAlignment="1">
      <alignment horizontal="center" vertical="center"/>
    </xf>
    <xf numFmtId="3" fontId="15" fillId="16" borderId="62" xfId="2" applyNumberFormat="1" applyFont="1" applyFill="1" applyBorder="1" applyAlignment="1">
      <alignment vertical="top" wrapText="1"/>
    </xf>
    <xf numFmtId="3" fontId="22" fillId="0" borderId="61" xfId="0" applyNumberFormat="1" applyFont="1" applyFill="1" applyBorder="1" applyAlignment="1">
      <alignment vertical="top"/>
    </xf>
    <xf numFmtId="3" fontId="22" fillId="0" borderId="62" xfId="0" applyNumberFormat="1" applyFont="1" applyFill="1" applyBorder="1" applyAlignment="1">
      <alignment vertical="top"/>
    </xf>
    <xf numFmtId="3" fontId="22" fillId="0" borderId="65" xfId="0" applyNumberFormat="1" applyFont="1" applyFill="1" applyBorder="1" applyAlignment="1">
      <alignment vertical="top"/>
    </xf>
    <xf numFmtId="0" fontId="4" fillId="16" borderId="62" xfId="0" applyFont="1" applyFill="1" applyBorder="1" applyAlignment="1">
      <alignment vertical="top" wrapText="1"/>
    </xf>
    <xf numFmtId="3" fontId="15" fillId="16" borderId="64" xfId="2" applyNumberFormat="1" applyFont="1" applyFill="1" applyBorder="1" applyAlignment="1">
      <alignment vertical="top" wrapText="1"/>
    </xf>
    <xf numFmtId="3" fontId="22" fillId="2" borderId="65" xfId="0" applyNumberFormat="1" applyFont="1" applyFill="1" applyBorder="1" applyAlignment="1">
      <alignment vertical="top"/>
    </xf>
    <xf numFmtId="43" fontId="22" fillId="2" borderId="62" xfId="1" applyFont="1" applyFill="1" applyBorder="1" applyAlignment="1">
      <alignment vertical="top"/>
    </xf>
    <xf numFmtId="43" fontId="22" fillId="2" borderId="66" xfId="1" applyFont="1" applyFill="1" applyBorder="1" applyAlignment="1">
      <alignment vertical="top"/>
    </xf>
    <xf numFmtId="0" fontId="4" fillId="16" borderId="64" xfId="0" applyFont="1" applyFill="1" applyBorder="1" applyAlignment="1">
      <alignment vertical="top" wrapText="1"/>
    </xf>
    <xf numFmtId="3" fontId="4" fillId="2" borderId="65" xfId="0" applyNumberFormat="1" applyFont="1" applyFill="1" applyBorder="1" applyAlignment="1">
      <alignment vertical="top"/>
    </xf>
    <xf numFmtId="43" fontId="4" fillId="2" borderId="62" xfId="1" applyFont="1" applyFill="1" applyBorder="1" applyAlignment="1">
      <alignment vertical="top"/>
    </xf>
    <xf numFmtId="0" fontId="22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" fillId="16" borderId="68" xfId="0" applyFont="1" applyFill="1" applyBorder="1" applyAlignment="1">
      <alignment vertical="top" wrapText="1"/>
    </xf>
    <xf numFmtId="3" fontId="4" fillId="2" borderId="96" xfId="0" applyNumberFormat="1" applyFont="1" applyFill="1" applyBorder="1" applyAlignment="1">
      <alignment vertical="top"/>
    </xf>
    <xf numFmtId="3" fontId="4" fillId="2" borderId="85" xfId="0" applyNumberFormat="1" applyFont="1" applyFill="1" applyBorder="1" applyAlignment="1">
      <alignment vertical="top"/>
    </xf>
    <xf numFmtId="43" fontId="22" fillId="2" borderId="96" xfId="1" applyFont="1" applyFill="1" applyBorder="1" applyAlignment="1">
      <alignment vertical="top"/>
    </xf>
    <xf numFmtId="0" fontId="22" fillId="15" borderId="60" xfId="0" applyFont="1" applyFill="1" applyBorder="1" applyAlignment="1">
      <alignment vertical="top" wrapText="1"/>
    </xf>
    <xf numFmtId="164" fontId="4" fillId="15" borderId="104" xfId="0" applyNumberFormat="1" applyFont="1" applyFill="1" applyBorder="1" applyAlignment="1">
      <alignment vertical="top"/>
    </xf>
    <xf numFmtId="3" fontId="4" fillId="15" borderId="77" xfId="0" applyNumberFormat="1" applyFont="1" applyFill="1" applyBorder="1" applyAlignment="1">
      <alignment vertical="top"/>
    </xf>
    <xf numFmtId="43" fontId="22" fillId="4" borderId="102" xfId="1" applyFont="1" applyFill="1" applyBorder="1" applyAlignment="1">
      <alignment vertical="top"/>
    </xf>
    <xf numFmtId="167" fontId="22" fillId="4" borderId="62" xfId="1" applyNumberFormat="1" applyFont="1" applyFill="1" applyBorder="1" applyAlignment="1">
      <alignment vertical="top"/>
    </xf>
    <xf numFmtId="0" fontId="4" fillId="0" borderId="64" xfId="0" applyFont="1" applyFill="1" applyBorder="1" applyAlignment="1">
      <alignment vertical="top" wrapText="1"/>
    </xf>
    <xf numFmtId="43" fontId="4" fillId="0" borderId="102" xfId="1" applyFont="1" applyFill="1" applyBorder="1" applyAlignment="1">
      <alignment vertical="top"/>
    </xf>
    <xf numFmtId="167" fontId="4" fillId="0" borderId="62" xfId="1" applyNumberFormat="1" applyFont="1" applyFill="1" applyBorder="1" applyAlignment="1">
      <alignment vertical="top"/>
    </xf>
    <xf numFmtId="0" fontId="4" fillId="0" borderId="64" xfId="2" applyFont="1" applyFill="1" applyBorder="1" applyAlignment="1">
      <alignment vertical="center"/>
    </xf>
    <xf numFmtId="0" fontId="28" fillId="2" borderId="71" xfId="0" applyFont="1" applyFill="1" applyBorder="1" applyAlignment="1">
      <alignment horizontal="center" vertical="center"/>
    </xf>
    <xf numFmtId="43" fontId="22" fillId="2" borderId="61" xfId="1" applyFont="1" applyFill="1" applyBorder="1" applyAlignment="1">
      <alignment vertical="top"/>
    </xf>
    <xf numFmtId="43" fontId="22" fillId="2" borderId="63" xfId="1" applyFont="1" applyFill="1" applyBorder="1" applyAlignment="1">
      <alignment vertical="top"/>
    </xf>
    <xf numFmtId="43" fontId="22" fillId="2" borderId="64" xfId="1" applyFont="1" applyFill="1" applyBorder="1" applyAlignment="1">
      <alignment vertical="top"/>
    </xf>
    <xf numFmtId="167" fontId="22" fillId="2" borderId="62" xfId="1" applyNumberFormat="1" applyFont="1" applyFill="1" applyBorder="1" applyAlignment="1">
      <alignment vertical="top"/>
    </xf>
    <xf numFmtId="0" fontId="28" fillId="2" borderId="72" xfId="0" applyFont="1" applyFill="1" applyBorder="1" applyAlignment="1">
      <alignment horizontal="center" vertical="center"/>
    </xf>
    <xf numFmtId="43" fontId="4" fillId="2" borderId="67" xfId="1" applyFont="1" applyFill="1" applyBorder="1" applyAlignment="1">
      <alignment vertical="top"/>
    </xf>
    <xf numFmtId="43" fontId="4" fillId="2" borderId="68" xfId="1" applyFont="1" applyFill="1" applyBorder="1" applyAlignment="1">
      <alignment vertical="top"/>
    </xf>
    <xf numFmtId="43" fontId="4" fillId="2" borderId="69" xfId="1" applyFont="1" applyFill="1" applyBorder="1" applyAlignment="1">
      <alignment vertical="top"/>
    </xf>
    <xf numFmtId="167" fontId="4" fillId="2" borderId="62" xfId="1" applyNumberFormat="1" applyFont="1" applyFill="1" applyBorder="1" applyAlignment="1">
      <alignment vertical="top"/>
    </xf>
    <xf numFmtId="3" fontId="15" fillId="0" borderId="79" xfId="0" applyNumberFormat="1" applyFont="1" applyFill="1" applyBorder="1" applyAlignment="1">
      <alignment vertical="top"/>
    </xf>
    <xf numFmtId="3" fontId="4" fillId="0" borderId="77" xfId="0" applyNumberFormat="1" applyFont="1" applyFill="1" applyBorder="1" applyAlignment="1">
      <alignment vertical="top"/>
    </xf>
    <xf numFmtId="3" fontId="15" fillId="0" borderId="77" xfId="0" applyNumberFormat="1" applyFont="1" applyFill="1" applyBorder="1" applyAlignment="1">
      <alignment vertical="top"/>
    </xf>
    <xf numFmtId="164" fontId="22" fillId="0" borderId="62" xfId="0" applyNumberFormat="1" applyFont="1" applyFill="1" applyBorder="1" applyAlignment="1">
      <alignment vertical="top"/>
    </xf>
    <xf numFmtId="0" fontId="4" fillId="2" borderId="70" xfId="2" applyFont="1" applyFill="1" applyBorder="1" applyAlignment="1">
      <alignment vertical="center"/>
    </xf>
    <xf numFmtId="164" fontId="4" fillId="2" borderId="68" xfId="0" applyNumberFormat="1" applyFont="1" applyFill="1" applyBorder="1" applyAlignment="1">
      <alignment vertical="top"/>
    </xf>
    <xf numFmtId="43" fontId="4" fillId="2" borderId="70" xfId="1" applyFont="1" applyFill="1" applyBorder="1" applyAlignment="1">
      <alignment vertical="top"/>
    </xf>
    <xf numFmtId="3" fontId="15" fillId="2" borderId="61" xfId="0" applyNumberFormat="1" applyFont="1" applyFill="1" applyBorder="1" applyAlignment="1">
      <alignment vertical="top"/>
    </xf>
    <xf numFmtId="164" fontId="15" fillId="2" borderId="62" xfId="0" applyNumberFormat="1" applyFont="1" applyFill="1" applyBorder="1" applyAlignment="1">
      <alignment vertical="top"/>
    </xf>
    <xf numFmtId="164" fontId="15" fillId="2" borderId="64" xfId="0" applyNumberFormat="1" applyFont="1" applyFill="1" applyBorder="1" applyAlignment="1">
      <alignment vertical="top"/>
    </xf>
    <xf numFmtId="0" fontId="4" fillId="2" borderId="64" xfId="0" applyFont="1" applyFill="1" applyBorder="1" applyAlignment="1">
      <alignment vertical="top" wrapText="1"/>
    </xf>
    <xf numFmtId="43" fontId="15" fillId="2" borderId="62" xfId="1" applyFont="1" applyFill="1" applyBorder="1" applyAlignment="1">
      <alignment vertical="top"/>
    </xf>
    <xf numFmtId="43" fontId="15" fillId="2" borderId="64" xfId="1" applyFont="1" applyFill="1" applyBorder="1" applyAlignment="1">
      <alignment vertical="top"/>
    </xf>
    <xf numFmtId="164" fontId="4" fillId="2" borderId="62" xfId="0" applyNumberFormat="1" applyFont="1" applyFill="1" applyBorder="1" applyAlignment="1">
      <alignment vertical="top"/>
    </xf>
    <xf numFmtId="164" fontId="4" fillId="2" borderId="64" xfId="0" applyNumberFormat="1" applyFont="1" applyFill="1" applyBorder="1" applyAlignment="1">
      <alignment vertical="top"/>
    </xf>
    <xf numFmtId="0" fontId="4" fillId="2" borderId="64" xfId="2" applyFont="1" applyFill="1" applyBorder="1" applyAlignment="1">
      <alignment vertical="center"/>
    </xf>
    <xf numFmtId="164" fontId="22" fillId="2" borderId="62" xfId="0" applyNumberFormat="1" applyFont="1" applyFill="1" applyBorder="1" applyAlignment="1">
      <alignment vertical="top"/>
    </xf>
    <xf numFmtId="164" fontId="22" fillId="2" borderId="64" xfId="0" applyNumberFormat="1" applyFont="1" applyFill="1" applyBorder="1" applyAlignment="1">
      <alignment vertical="top"/>
    </xf>
    <xf numFmtId="3" fontId="4" fillId="2" borderId="69" xfId="0" applyNumberFormat="1" applyFont="1" applyFill="1" applyBorder="1" applyAlignment="1">
      <alignment vertical="top"/>
    </xf>
    <xf numFmtId="0" fontId="7" fillId="0" borderId="47" xfId="0" applyFont="1" applyBorder="1" applyAlignment="1">
      <alignment vertical="top"/>
    </xf>
    <xf numFmtId="0" fontId="7" fillId="0" borderId="46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0" xfId="0" applyFont="1" applyAlignment="1">
      <alignment vertical="top"/>
    </xf>
    <xf numFmtId="0" fontId="16" fillId="0" borderId="88" xfId="0" applyFont="1" applyBorder="1" applyAlignment="1">
      <alignment horizontal="center" vertical="top" wrapText="1"/>
    </xf>
    <xf numFmtId="0" fontId="16" fillId="0" borderId="92" xfId="0" applyFont="1" applyBorder="1" applyAlignment="1">
      <alignment horizontal="center" vertical="top" wrapText="1"/>
    </xf>
    <xf numFmtId="0" fontId="16" fillId="0" borderId="87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3" fontId="16" fillId="0" borderId="0" xfId="0" applyNumberFormat="1" applyFont="1" applyAlignment="1">
      <alignment vertical="top"/>
    </xf>
    <xf numFmtId="0" fontId="16" fillId="0" borderId="49" xfId="0" applyFont="1" applyBorder="1" applyAlignment="1">
      <alignment horizontal="center" vertical="top"/>
    </xf>
    <xf numFmtId="0" fontId="25" fillId="2" borderId="97" xfId="0" quotePrefix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top"/>
    </xf>
    <xf numFmtId="3" fontId="15" fillId="2" borderId="120" xfId="0" quotePrefix="1" applyNumberFormat="1" applyFont="1" applyFill="1" applyBorder="1" applyAlignment="1">
      <alignment vertical="center"/>
    </xf>
    <xf numFmtId="165" fontId="40" fillId="0" borderId="108" xfId="2" applyNumberFormat="1" applyFont="1" applyFill="1" applyBorder="1" applyAlignment="1">
      <alignment horizontal="right" vertical="center"/>
    </xf>
    <xf numFmtId="3" fontId="40" fillId="2" borderId="108" xfId="0" quotePrefix="1" applyNumberFormat="1" applyFont="1" applyFill="1" applyBorder="1" applyAlignment="1">
      <alignment vertical="center"/>
    </xf>
    <xf numFmtId="3" fontId="15" fillId="2" borderId="121" xfId="0" quotePrefix="1" applyNumberFormat="1" applyFont="1" applyFill="1" applyBorder="1" applyAlignment="1">
      <alignment vertical="center"/>
    </xf>
    <xf numFmtId="165" fontId="40" fillId="0" borderId="111" xfId="2" applyNumberFormat="1" applyFont="1" applyFill="1" applyBorder="1" applyAlignment="1">
      <alignment horizontal="right" vertical="center"/>
    </xf>
    <xf numFmtId="3" fontId="40" fillId="2" borderId="121" xfId="0" quotePrefix="1" applyNumberFormat="1" applyFont="1" applyFill="1" applyBorder="1" applyAlignment="1">
      <alignment vertical="center"/>
    </xf>
    <xf numFmtId="3" fontId="15" fillId="2" borderId="11" xfId="0" quotePrefix="1" applyNumberFormat="1" applyFont="1" applyFill="1" applyBorder="1" applyAlignment="1">
      <alignment vertical="center"/>
    </xf>
    <xf numFmtId="3" fontId="15" fillId="2" borderId="14" xfId="0" quotePrefix="1" applyNumberFormat="1" applyFont="1" applyFill="1" applyBorder="1" applyAlignment="1">
      <alignment vertical="center"/>
    </xf>
    <xf numFmtId="3" fontId="15" fillId="2" borderId="13" xfId="0" quotePrefix="1" applyNumberFormat="1" applyFont="1" applyFill="1" applyBorder="1" applyAlignment="1">
      <alignment vertical="center"/>
    </xf>
    <xf numFmtId="3" fontId="15" fillId="2" borderId="89" xfId="0" quotePrefix="1" applyNumberFormat="1" applyFont="1" applyFill="1" applyBorder="1" applyAlignment="1">
      <alignment vertical="center"/>
    </xf>
    <xf numFmtId="3" fontId="15" fillId="2" borderId="1" xfId="0" quotePrefix="1" applyNumberFormat="1" applyFont="1" applyFill="1" applyBorder="1" applyAlignment="1">
      <alignment vertical="center"/>
    </xf>
    <xf numFmtId="165" fontId="40" fillId="0" borderId="33" xfId="2" applyNumberFormat="1" applyFont="1" applyFill="1" applyBorder="1" applyAlignment="1">
      <alignment horizontal="right" vertical="center"/>
    </xf>
    <xf numFmtId="3" fontId="40" fillId="2" borderId="1" xfId="0" quotePrefix="1" applyNumberFormat="1" applyFont="1" applyFill="1" applyBorder="1" applyAlignment="1">
      <alignment vertical="center"/>
    </xf>
    <xf numFmtId="0" fontId="7" fillId="4" borderId="59" xfId="0" applyFont="1" applyFill="1" applyBorder="1" applyAlignment="1">
      <alignment vertical="center"/>
    </xf>
    <xf numFmtId="3" fontId="22" fillId="4" borderId="57" xfId="0" applyNumberFormat="1" applyFont="1" applyFill="1" applyBorder="1" applyAlignment="1">
      <alignment vertical="center"/>
    </xf>
    <xf numFmtId="165" fontId="3" fillId="4" borderId="58" xfId="0" applyNumberFormat="1" applyFont="1" applyFill="1" applyBorder="1" applyAlignment="1">
      <alignment vertical="center"/>
    </xf>
    <xf numFmtId="3" fontId="3" fillId="4" borderId="58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3" fontId="15" fillId="6" borderId="79" xfId="2" applyNumberFormat="1" applyFont="1" applyFill="1" applyBorder="1" applyAlignment="1">
      <alignment vertical="center"/>
    </xf>
    <xf numFmtId="3" fontId="15" fillId="6" borderId="77" xfId="2" applyNumberFormat="1" applyFont="1" applyFill="1" applyBorder="1" applyAlignment="1">
      <alignment vertical="center"/>
    </xf>
    <xf numFmtId="3" fontId="15" fillId="6" borderId="80" xfId="2" applyNumberFormat="1" applyFont="1" applyFill="1" applyBorder="1" applyAlignment="1">
      <alignment vertical="center"/>
    </xf>
    <xf numFmtId="165" fontId="40" fillId="6" borderId="8" xfId="2" applyNumberFormat="1" applyFont="1" applyFill="1" applyBorder="1" applyAlignment="1">
      <alignment vertical="center"/>
    </xf>
    <xf numFmtId="3" fontId="40" fillId="6" borderId="77" xfId="2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5" fontId="2" fillId="6" borderId="62" xfId="2" applyNumberFormat="1" applyFont="1" applyFill="1" applyBorder="1" applyAlignment="1">
      <alignment horizontal="right" vertical="center"/>
    </xf>
    <xf numFmtId="0" fontId="15" fillId="6" borderId="62" xfId="2" applyFont="1" applyFill="1" applyBorder="1" applyAlignment="1">
      <alignment horizontal="left" vertical="center"/>
    </xf>
    <xf numFmtId="3" fontId="15" fillId="6" borderId="7" xfId="2" applyNumberFormat="1" applyFont="1" applyFill="1" applyBorder="1" applyAlignment="1">
      <alignment vertical="top"/>
    </xf>
    <xf numFmtId="3" fontId="15" fillId="6" borderId="8" xfId="2" applyNumberFormat="1" applyFont="1" applyFill="1" applyBorder="1" applyAlignment="1">
      <alignment vertical="top"/>
    </xf>
    <xf numFmtId="3" fontId="15" fillId="6" borderId="0" xfId="2" applyNumberFormat="1" applyFont="1" applyFill="1" applyBorder="1" applyAlignment="1">
      <alignment vertical="top"/>
    </xf>
    <xf numFmtId="3" fontId="40" fillId="6" borderId="9" xfId="2" applyNumberFormat="1" applyFont="1" applyFill="1" applyBorder="1" applyAlignment="1">
      <alignment vertical="top"/>
    </xf>
    <xf numFmtId="3" fontId="2" fillId="6" borderId="71" xfId="2" applyNumberFormat="1" applyFont="1" applyFill="1" applyBorder="1" applyAlignment="1">
      <alignment horizontal="right" vertical="center"/>
    </xf>
    <xf numFmtId="43" fontId="2" fillId="6" borderId="62" xfId="1" applyFont="1" applyFill="1" applyBorder="1" applyAlignment="1">
      <alignment horizontal="right" vertical="center"/>
    </xf>
    <xf numFmtId="43" fontId="2" fillId="6" borderId="64" xfId="1" applyFont="1" applyFill="1" applyBorder="1" applyAlignment="1">
      <alignment horizontal="right" vertical="center"/>
    </xf>
    <xf numFmtId="43" fontId="2" fillId="6" borderId="102" xfId="1" applyFont="1" applyFill="1" applyBorder="1" applyAlignment="1">
      <alignment horizontal="right" vertical="center"/>
    </xf>
    <xf numFmtId="3" fontId="22" fillId="4" borderId="61" xfId="2" applyNumberFormat="1" applyFont="1" applyFill="1" applyBorder="1" applyAlignment="1">
      <alignment vertical="center"/>
    </xf>
    <xf numFmtId="3" fontId="22" fillId="4" borderId="62" xfId="2" applyNumberFormat="1" applyFont="1" applyFill="1" applyBorder="1" applyAlignment="1">
      <alignment vertical="center"/>
    </xf>
    <xf numFmtId="3" fontId="22" fillId="4" borderId="64" xfId="2" applyNumberFormat="1" applyFont="1" applyFill="1" applyBorder="1" applyAlignment="1">
      <alignment vertical="center"/>
    </xf>
    <xf numFmtId="165" fontId="3" fillId="4" borderId="62" xfId="2" applyNumberFormat="1" applyFont="1" applyFill="1" applyBorder="1" applyAlignment="1">
      <alignment vertical="center"/>
    </xf>
    <xf numFmtId="3" fontId="3" fillId="4" borderId="62" xfId="2" applyNumberFormat="1" applyFont="1" applyFill="1" applyBorder="1" applyAlignment="1">
      <alignment vertical="center"/>
    </xf>
    <xf numFmtId="0" fontId="40" fillId="6" borderId="77" xfId="2" applyFont="1" applyFill="1" applyBorder="1" applyAlignment="1">
      <alignment vertical="top"/>
    </xf>
    <xf numFmtId="165" fontId="40" fillId="6" borderId="77" xfId="2" applyNumberFormat="1" applyFont="1" applyFill="1" applyBorder="1" applyAlignment="1">
      <alignment vertical="top"/>
    </xf>
    <xf numFmtId="3" fontId="40" fillId="6" borderId="77" xfId="2" applyNumberFormat="1" applyFont="1" applyFill="1" applyBorder="1" applyAlignment="1">
      <alignment vertical="top"/>
    </xf>
    <xf numFmtId="3" fontId="2" fillId="6" borderId="67" xfId="2" applyNumberFormat="1" applyFont="1" applyFill="1" applyBorder="1" applyAlignment="1">
      <alignment horizontal="right" vertical="center"/>
    </xf>
    <xf numFmtId="3" fontId="2" fillId="6" borderId="68" xfId="2" applyNumberFormat="1" applyFont="1" applyFill="1" applyBorder="1" applyAlignment="1">
      <alignment horizontal="right" vertical="center"/>
    </xf>
    <xf numFmtId="3" fontId="2" fillId="6" borderId="103" xfId="2" applyNumberFormat="1" applyFont="1" applyFill="1" applyBorder="1" applyAlignment="1">
      <alignment horizontal="right" vertical="center"/>
    </xf>
    <xf numFmtId="0" fontId="3" fillId="8" borderId="60" xfId="2" applyFont="1" applyFill="1" applyBorder="1" applyAlignment="1">
      <alignment horizontal="left" vertical="center" wrapText="1"/>
    </xf>
    <xf numFmtId="0" fontId="6" fillId="8" borderId="59" xfId="2" applyFont="1" applyFill="1" applyBorder="1" applyAlignment="1">
      <alignment horizontal="center" vertical="center" wrapText="1"/>
    </xf>
    <xf numFmtId="4" fontId="4" fillId="8" borderId="57" xfId="2" applyNumberFormat="1" applyFont="1" applyFill="1" applyBorder="1" applyAlignment="1">
      <alignment horizontal="right" vertical="center"/>
    </xf>
    <xf numFmtId="3" fontId="4" fillId="8" borderId="58" xfId="2" applyNumberFormat="1" applyFont="1" applyFill="1" applyBorder="1" applyAlignment="1">
      <alignment horizontal="right" vertical="center"/>
    </xf>
    <xf numFmtId="3" fontId="4" fillId="8" borderId="59" xfId="2" applyNumberFormat="1" applyFont="1" applyFill="1" applyBorder="1" applyAlignment="1">
      <alignment horizontal="right" vertical="center"/>
    </xf>
    <xf numFmtId="3" fontId="2" fillId="8" borderId="57" xfId="2" applyNumberFormat="1" applyFont="1" applyFill="1" applyBorder="1" applyAlignment="1">
      <alignment horizontal="right" vertical="center"/>
    </xf>
    <xf numFmtId="165" fontId="2" fillId="8" borderId="58" xfId="2" applyNumberFormat="1" applyFont="1" applyFill="1" applyBorder="1" applyAlignment="1">
      <alignment horizontal="right" vertical="center"/>
    </xf>
    <xf numFmtId="3" fontId="2" fillId="8" borderId="58" xfId="2" applyNumberFormat="1" applyFont="1" applyFill="1" applyBorder="1" applyAlignment="1">
      <alignment horizontal="right" vertical="center"/>
    </xf>
    <xf numFmtId="0" fontId="39" fillId="0" borderId="0" xfId="0" applyFont="1" applyFill="1"/>
    <xf numFmtId="3" fontId="7" fillId="4" borderId="63" xfId="2" applyNumberFormat="1" applyFont="1" applyFill="1" applyBorder="1" applyAlignment="1">
      <alignment vertical="center"/>
    </xf>
    <xf numFmtId="0" fontId="39" fillId="0" borderId="0" xfId="0" applyFont="1" applyBorder="1"/>
    <xf numFmtId="3" fontId="1" fillId="0" borderId="61" xfId="0" applyNumberFormat="1" applyFont="1" applyBorder="1"/>
    <xf numFmtId="0" fontId="1" fillId="0" borderId="62" xfId="0" applyFont="1" applyBorder="1"/>
    <xf numFmtId="43" fontId="1" fillId="0" borderId="63" xfId="1" applyFont="1" applyBorder="1"/>
    <xf numFmtId="0" fontId="1" fillId="0" borderId="61" xfId="0" applyFont="1" applyBorder="1"/>
    <xf numFmtId="0" fontId="2" fillId="0" borderId="64" xfId="2" applyFont="1" applyFill="1" applyBorder="1" applyAlignment="1">
      <alignment vertical="center" wrapText="1"/>
    </xf>
    <xf numFmtId="3" fontId="4" fillId="0" borderId="62" xfId="2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15" fillId="0" borderId="64" xfId="2" applyFont="1" applyFill="1" applyBorder="1" applyAlignment="1">
      <alignment vertical="top" wrapText="1"/>
    </xf>
    <xf numFmtId="0" fontId="2" fillId="0" borderId="70" xfId="2" applyFont="1" applyFill="1" applyBorder="1" applyAlignment="1">
      <alignment vertical="center" wrapText="1"/>
    </xf>
    <xf numFmtId="3" fontId="4" fillId="0" borderId="68" xfId="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2" fillId="0" borderId="8" xfId="2" applyFont="1" applyFill="1" applyBorder="1" applyAlignment="1">
      <alignment vertical="top" wrapText="1"/>
    </xf>
    <xf numFmtId="0" fontId="8" fillId="0" borderId="6" xfId="0" applyFont="1" applyBorder="1" applyAlignment="1">
      <alignment wrapText="1" shrinkToFit="1"/>
    </xf>
    <xf numFmtId="4" fontId="4" fillId="0" borderId="7" xfId="1" applyNumberFormat="1" applyFont="1" applyFill="1" applyBorder="1" applyAlignment="1">
      <alignment vertical="top"/>
    </xf>
    <xf numFmtId="43" fontId="4" fillId="0" borderId="8" xfId="1" applyFont="1" applyFill="1" applyBorder="1" applyAlignment="1">
      <alignment vertical="top" wrapText="1"/>
    </xf>
    <xf numFmtId="3" fontId="4" fillId="0" borderId="8" xfId="2" applyNumberFormat="1" applyFont="1" applyFill="1" applyBorder="1" applyAlignment="1">
      <alignment horizontal="right" vertical="center"/>
    </xf>
    <xf numFmtId="3" fontId="4" fillId="2" borderId="8" xfId="2" applyNumberFormat="1" applyFont="1" applyFill="1" applyBorder="1" applyAlignment="1">
      <alignment horizontal="right" vertical="center"/>
    </xf>
    <xf numFmtId="3" fontId="4" fillId="2" borderId="10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0" fontId="16" fillId="2" borderId="8" xfId="0" quotePrefix="1" applyFont="1" applyFill="1" applyBorder="1" applyAlignment="1">
      <alignment horizontal="center" vertical="top"/>
    </xf>
    <xf numFmtId="0" fontId="5" fillId="0" borderId="88" xfId="2" applyFont="1" applyFill="1" applyBorder="1" applyAlignment="1">
      <alignment vertical="center" wrapText="1"/>
    </xf>
    <xf numFmtId="0" fontId="3" fillId="8" borderId="58" xfId="2" applyFont="1" applyFill="1" applyBorder="1" applyAlignment="1">
      <alignment horizontal="left" vertical="center" wrapText="1"/>
    </xf>
    <xf numFmtId="3" fontId="4" fillId="8" borderId="57" xfId="2" applyNumberFormat="1" applyFont="1" applyFill="1" applyBorder="1" applyAlignment="1">
      <alignment horizontal="right" vertical="center"/>
    </xf>
    <xf numFmtId="3" fontId="4" fillId="8" borderId="60" xfId="2" applyNumberFormat="1" applyFont="1" applyFill="1" applyBorder="1" applyAlignment="1">
      <alignment horizontal="right" vertical="center"/>
    </xf>
    <xf numFmtId="0" fontId="40" fillId="0" borderId="62" xfId="2" applyFont="1" applyFill="1" applyBorder="1" applyAlignment="1">
      <alignment vertical="top"/>
    </xf>
    <xf numFmtId="3" fontId="1" fillId="0" borderId="71" xfId="0" applyNumberFormat="1" applyFont="1" applyBorder="1"/>
    <xf numFmtId="0" fontId="1" fillId="0" borderId="102" xfId="0" applyFont="1" applyBorder="1"/>
    <xf numFmtId="3" fontId="4" fillId="0" borderId="62" xfId="2" applyNumberFormat="1" applyFont="1" applyFill="1" applyBorder="1" applyAlignment="1">
      <alignment vertical="top"/>
    </xf>
    <xf numFmtId="43" fontId="1" fillId="0" borderId="102" xfId="1" applyFont="1" applyBorder="1"/>
    <xf numFmtId="3" fontId="4" fillId="0" borderId="61" xfId="2" applyNumberFormat="1" applyFont="1" applyFill="1" applyBorder="1" applyAlignment="1">
      <alignment vertical="top"/>
    </xf>
    <xf numFmtId="165" fontId="4" fillId="0" borderId="62" xfId="2" applyNumberFormat="1" applyFont="1" applyFill="1" applyBorder="1" applyAlignment="1">
      <alignment vertical="top"/>
    </xf>
    <xf numFmtId="165" fontId="2" fillId="0" borderId="62" xfId="2" applyNumberFormat="1" applyFont="1" applyFill="1" applyBorder="1" applyAlignment="1">
      <alignment vertical="top"/>
    </xf>
    <xf numFmtId="0" fontId="2" fillId="0" borderId="62" xfId="2" applyFont="1" applyFill="1" applyBorder="1" applyAlignment="1">
      <alignment vertical="top" wrapText="1"/>
    </xf>
    <xf numFmtId="4" fontId="2" fillId="0" borderId="62" xfId="2" applyNumberFormat="1" applyFont="1" applyFill="1" applyBorder="1" applyAlignment="1">
      <alignment horizontal="right" vertical="center"/>
    </xf>
    <xf numFmtId="4" fontId="4" fillId="0" borderId="62" xfId="2" applyNumberFormat="1" applyFont="1" applyFill="1" applyBorder="1" applyAlignment="1">
      <alignment vertical="top"/>
    </xf>
    <xf numFmtId="0" fontId="2" fillId="0" borderId="68" xfId="2" applyFont="1" applyFill="1" applyBorder="1" applyAlignment="1">
      <alignment vertical="top" wrapText="1"/>
    </xf>
    <xf numFmtId="3" fontId="4" fillId="0" borderId="68" xfId="2" applyNumberFormat="1" applyFont="1" applyFill="1" applyBorder="1" applyAlignment="1">
      <alignment vertical="top"/>
    </xf>
    <xf numFmtId="0" fontId="6" fillId="8" borderId="60" xfId="2" applyFont="1" applyFill="1" applyBorder="1" applyAlignment="1">
      <alignment horizontal="center" vertical="center" wrapText="1"/>
    </xf>
    <xf numFmtId="3" fontId="4" fillId="8" borderId="140" xfId="2" applyNumberFormat="1" applyFont="1" applyFill="1" applyBorder="1" applyAlignment="1">
      <alignment horizontal="right" vertical="center"/>
    </xf>
    <xf numFmtId="3" fontId="4" fillId="8" borderId="104" xfId="2" applyNumberFormat="1" applyFont="1" applyFill="1" applyBorder="1" applyAlignment="1">
      <alignment horizontal="right" vertical="center"/>
    </xf>
    <xf numFmtId="3" fontId="4" fillId="8" borderId="98" xfId="2" applyNumberFormat="1" applyFont="1" applyFill="1" applyBorder="1" applyAlignment="1">
      <alignment horizontal="right" vertical="center"/>
    </xf>
    <xf numFmtId="3" fontId="7" fillId="4" borderId="64" xfId="2" applyNumberFormat="1" applyFont="1" applyFill="1" applyBorder="1" applyAlignment="1">
      <alignment vertical="center"/>
    </xf>
    <xf numFmtId="4" fontId="3" fillId="4" borderId="61" xfId="2" applyNumberFormat="1" applyFont="1" applyFill="1" applyBorder="1" applyAlignment="1"/>
    <xf numFmtId="43" fontId="3" fillId="4" borderId="141" xfId="1" applyFont="1" applyFill="1" applyBorder="1" applyAlignment="1"/>
    <xf numFmtId="4" fontId="15" fillId="2" borderId="61" xfId="2" applyNumberFormat="1" applyFont="1" applyFill="1" applyBorder="1" applyAlignment="1"/>
    <xf numFmtId="43" fontId="15" fillId="2" borderId="141" xfId="1" applyFont="1" applyFill="1" applyBorder="1" applyAlignment="1"/>
    <xf numFmtId="43" fontId="15" fillId="2" borderId="102" xfId="1" applyFont="1" applyFill="1" applyBorder="1" applyAlignment="1"/>
    <xf numFmtId="43" fontId="15" fillId="0" borderId="66" xfId="1" applyFont="1" applyFill="1" applyBorder="1" applyAlignment="1">
      <alignment horizontal="right" vertical="center"/>
    </xf>
    <xf numFmtId="4" fontId="1" fillId="0" borderId="61" xfId="0" applyNumberFormat="1" applyFont="1" applyBorder="1"/>
    <xf numFmtId="43" fontId="1" fillId="0" borderId="141" xfId="1" applyFont="1" applyBorder="1"/>
    <xf numFmtId="3" fontId="2" fillId="0" borderId="61" xfId="2" applyNumberFormat="1" applyFont="1" applyFill="1" applyBorder="1" applyAlignment="1">
      <alignment vertical="top"/>
    </xf>
    <xf numFmtId="43" fontId="2" fillId="0" borderId="62" xfId="1" applyFont="1" applyFill="1" applyBorder="1" applyAlignment="1">
      <alignment vertical="top"/>
    </xf>
    <xf numFmtId="43" fontId="4" fillId="0" borderId="66" xfId="1" applyFont="1" applyFill="1" applyBorder="1" applyAlignment="1">
      <alignment vertical="top"/>
    </xf>
    <xf numFmtId="43" fontId="1" fillId="0" borderId="62" xfId="1" applyFont="1" applyBorder="1"/>
    <xf numFmtId="0" fontId="2" fillId="0" borderId="64" xfId="2" applyFont="1" applyFill="1" applyBorder="1" applyAlignment="1">
      <alignment vertical="top" wrapText="1"/>
    </xf>
    <xf numFmtId="4" fontId="2" fillId="0" borderId="61" xfId="2" applyNumberFormat="1" applyFont="1" applyFill="1" applyBorder="1" applyAlignment="1">
      <alignment horizontal="right" vertical="center"/>
    </xf>
    <xf numFmtId="43" fontId="2" fillId="0" borderId="141" xfId="1" applyFont="1" applyFill="1" applyBorder="1" applyAlignment="1">
      <alignment horizontal="right" vertical="center"/>
    </xf>
    <xf numFmtId="0" fontId="15" fillId="0" borderId="64" xfId="2" applyFont="1" applyFill="1" applyBorder="1" applyAlignment="1">
      <alignment horizontal="left" vertical="center"/>
    </xf>
    <xf numFmtId="0" fontId="8" fillId="0" borderId="64" xfId="0" applyFont="1" applyBorder="1"/>
    <xf numFmtId="4" fontId="1" fillId="0" borderId="71" xfId="0" applyNumberFormat="1" applyFont="1" applyBorder="1"/>
    <xf numFmtId="43" fontId="1" fillId="0" borderId="142" xfId="1" applyFont="1" applyBorder="1"/>
    <xf numFmtId="4" fontId="2" fillId="0" borderId="11" xfId="2" applyNumberFormat="1" applyFont="1" applyFill="1" applyBorder="1" applyAlignment="1">
      <alignment horizontal="right" vertical="center"/>
    </xf>
    <xf numFmtId="43" fontId="2" fillId="0" borderId="13" xfId="1" applyFont="1" applyFill="1" applyBorder="1" applyAlignment="1">
      <alignment horizontal="right" vertical="center"/>
    </xf>
    <xf numFmtId="4" fontId="2" fillId="15" borderId="57" xfId="2" applyNumberFormat="1" applyFont="1" applyFill="1" applyBorder="1" applyAlignment="1">
      <alignment horizontal="right" vertical="center"/>
    </xf>
    <xf numFmtId="3" fontId="2" fillId="15" borderId="58" xfId="2" applyNumberFormat="1" applyFont="1" applyFill="1" applyBorder="1" applyAlignment="1">
      <alignment horizontal="right" vertical="center"/>
    </xf>
    <xf numFmtId="43" fontId="2" fillId="15" borderId="58" xfId="1" applyFont="1" applyFill="1" applyBorder="1" applyAlignment="1">
      <alignment horizontal="right" vertical="center"/>
    </xf>
    <xf numFmtId="43" fontId="2" fillId="15" borderId="59" xfId="1" applyFont="1" applyFill="1" applyBorder="1" applyAlignment="1">
      <alignment horizontal="right" vertical="center"/>
    </xf>
    <xf numFmtId="3" fontId="2" fillId="15" borderId="57" xfId="2" applyNumberFormat="1" applyFont="1" applyFill="1" applyBorder="1" applyAlignment="1">
      <alignment horizontal="right" vertical="center"/>
    </xf>
    <xf numFmtId="165" fontId="2" fillId="15" borderId="58" xfId="2" applyNumberFormat="1" applyFont="1" applyFill="1" applyBorder="1" applyAlignment="1">
      <alignment horizontal="right" vertical="center"/>
    </xf>
    <xf numFmtId="3" fontId="6" fillId="4" borderId="64" xfId="2" applyNumberFormat="1" applyFont="1" applyFill="1" applyBorder="1" applyAlignment="1">
      <alignment vertical="center"/>
    </xf>
    <xf numFmtId="4" fontId="40" fillId="2" borderId="61" xfId="2" applyNumberFormat="1" applyFont="1" applyFill="1" applyBorder="1" applyAlignment="1"/>
    <xf numFmtId="3" fontId="40" fillId="2" borderId="63" xfId="2" applyNumberFormat="1" applyFont="1" applyFill="1" applyBorder="1" applyAlignment="1"/>
    <xf numFmtId="3" fontId="2" fillId="0" borderId="62" xfId="2" applyNumberFormat="1" applyFont="1" applyFill="1" applyBorder="1" applyAlignment="1">
      <alignment vertical="top"/>
    </xf>
    <xf numFmtId="4" fontId="2" fillId="0" borderId="67" xfId="2" applyNumberFormat="1" applyFont="1" applyFill="1" applyBorder="1" applyAlignment="1">
      <alignment horizontal="right" vertical="center"/>
    </xf>
    <xf numFmtId="3" fontId="1" fillId="0" borderId="102" xfId="0" applyNumberFormat="1" applyFont="1" applyBorder="1"/>
    <xf numFmtId="0" fontId="1" fillId="0" borderId="71" xfId="0" applyFont="1" applyBorder="1"/>
    <xf numFmtId="43" fontId="1" fillId="0" borderId="66" xfId="1" applyFont="1" applyBorder="1"/>
    <xf numFmtId="3" fontId="2" fillId="0" borderId="68" xfId="2" applyNumberFormat="1" applyFont="1" applyFill="1" applyBorder="1" applyAlignment="1">
      <alignment vertical="top"/>
    </xf>
    <xf numFmtId="0" fontId="3" fillId="8" borderId="77" xfId="2" applyFont="1" applyFill="1" applyBorder="1" applyAlignment="1">
      <alignment horizontal="left" vertical="center" wrapText="1"/>
    </xf>
    <xf numFmtId="0" fontId="6" fillId="8" borderId="78" xfId="2" applyFont="1" applyFill="1" applyBorder="1" applyAlignment="1">
      <alignment horizontal="center" vertical="center" wrapText="1"/>
    </xf>
    <xf numFmtId="4" fontId="4" fillId="8" borderId="79" xfId="2" applyNumberFormat="1" applyFont="1" applyFill="1" applyBorder="1" applyAlignment="1">
      <alignment horizontal="right" vertical="center"/>
    </xf>
    <xf numFmtId="3" fontId="4" fillId="8" borderId="77" xfId="2" applyNumberFormat="1" applyFont="1" applyFill="1" applyBorder="1" applyAlignment="1">
      <alignment horizontal="right" vertical="center"/>
    </xf>
    <xf numFmtId="3" fontId="4" fillId="8" borderId="80" xfId="2" applyNumberFormat="1" applyFont="1" applyFill="1" applyBorder="1" applyAlignment="1">
      <alignment horizontal="right" vertical="center"/>
    </xf>
    <xf numFmtId="3" fontId="2" fillId="8" borderId="79" xfId="2" applyNumberFormat="1" applyFont="1" applyFill="1" applyBorder="1" applyAlignment="1">
      <alignment horizontal="right" vertical="center"/>
    </xf>
    <xf numFmtId="165" fontId="2" fillId="8" borderId="77" xfId="2" applyNumberFormat="1" applyFont="1" applyFill="1" applyBorder="1" applyAlignment="1">
      <alignment horizontal="right" vertical="center"/>
    </xf>
    <xf numFmtId="3" fontId="2" fillId="8" borderId="77" xfId="2" applyNumberFormat="1" applyFont="1" applyFill="1" applyBorder="1" applyAlignment="1">
      <alignment horizontal="right" vertical="center"/>
    </xf>
    <xf numFmtId="4" fontId="3" fillId="4" borderId="62" xfId="2" applyNumberFormat="1" applyFont="1" applyFill="1" applyBorder="1" applyAlignment="1">
      <alignment vertical="center"/>
    </xf>
    <xf numFmtId="4" fontId="40" fillId="0" borderId="62" xfId="2" applyNumberFormat="1" applyFont="1" applyFill="1" applyBorder="1" applyAlignment="1">
      <alignment horizontal="right" vertical="center"/>
    </xf>
    <xf numFmtId="4" fontId="2" fillId="0" borderId="62" xfId="2" applyNumberFormat="1" applyFont="1" applyFill="1" applyBorder="1" applyAlignment="1">
      <alignment vertical="top"/>
    </xf>
    <xf numFmtId="4" fontId="2" fillId="0" borderId="62" xfId="1" applyNumberFormat="1" applyFont="1" applyFill="1" applyBorder="1" applyAlignment="1">
      <alignment vertical="top"/>
    </xf>
    <xf numFmtId="4" fontId="22" fillId="4" borderId="62" xfId="2" applyNumberFormat="1" applyFont="1" applyFill="1" applyBorder="1" applyAlignment="1">
      <alignment vertical="center"/>
    </xf>
    <xf numFmtId="4" fontId="15" fillId="0" borderId="62" xfId="2" applyNumberFormat="1" applyFont="1" applyFill="1" applyBorder="1" applyAlignment="1">
      <alignment horizontal="right" vertical="center"/>
    </xf>
    <xf numFmtId="0" fontId="3" fillId="9" borderId="58" xfId="2" applyFont="1" applyFill="1" applyBorder="1" applyAlignment="1">
      <alignment horizontal="left" vertical="center" wrapText="1"/>
    </xf>
    <xf numFmtId="0" fontId="6" fillId="9" borderId="59" xfId="2" applyFont="1" applyFill="1" applyBorder="1" applyAlignment="1">
      <alignment horizontal="center" vertical="center" wrapText="1"/>
    </xf>
    <xf numFmtId="4" fontId="4" fillId="9" borderId="17" xfId="2" applyNumberFormat="1" applyFont="1" applyFill="1" applyBorder="1" applyAlignment="1">
      <alignment horizontal="right" vertical="center"/>
    </xf>
    <xf numFmtId="3" fontId="4" fillId="9" borderId="58" xfId="2" applyNumberFormat="1" applyFont="1" applyFill="1" applyBorder="1" applyAlignment="1">
      <alignment horizontal="right" vertical="center"/>
    </xf>
    <xf numFmtId="3" fontId="4" fillId="9" borderId="60" xfId="2" applyNumberFormat="1" applyFont="1" applyFill="1" applyBorder="1" applyAlignment="1">
      <alignment horizontal="right" vertical="center"/>
    </xf>
    <xf numFmtId="3" fontId="2" fillId="9" borderId="57" xfId="2" applyNumberFormat="1" applyFont="1" applyFill="1" applyBorder="1" applyAlignment="1">
      <alignment horizontal="right" vertical="center"/>
    </xf>
    <xf numFmtId="165" fontId="2" fillId="9" borderId="20" xfId="2" applyNumberFormat="1" applyFont="1" applyFill="1" applyBorder="1" applyAlignment="1">
      <alignment horizontal="right" vertical="center"/>
    </xf>
    <xf numFmtId="3" fontId="2" fillId="9" borderId="5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3" fontId="7" fillId="4" borderId="6" xfId="2" applyNumberFormat="1" applyFont="1" applyFill="1" applyBorder="1" applyAlignment="1">
      <alignment vertical="center"/>
    </xf>
    <xf numFmtId="4" fontId="4" fillId="4" borderId="61" xfId="1" applyNumberFormat="1" applyFont="1" applyFill="1" applyBorder="1" applyAlignment="1">
      <alignment vertical="center"/>
    </xf>
    <xf numFmtId="43" fontId="4" fillId="4" borderId="62" xfId="1" applyFont="1" applyFill="1" applyBorder="1" applyAlignment="1">
      <alignment vertical="center"/>
    </xf>
    <xf numFmtId="43" fontId="4" fillId="4" borderId="10" xfId="1" applyFont="1" applyFill="1" applyBorder="1" applyAlignment="1">
      <alignment vertical="center"/>
    </xf>
    <xf numFmtId="43" fontId="4" fillId="4" borderId="61" xfId="1" applyFont="1" applyFill="1" applyBorder="1" applyAlignment="1">
      <alignment vertical="center"/>
    </xf>
    <xf numFmtId="43" fontId="4" fillId="4" borderId="8" xfId="1" applyFont="1" applyFill="1" applyBorder="1" applyAlignment="1">
      <alignment vertical="center"/>
    </xf>
    <xf numFmtId="0" fontId="40" fillId="0" borderId="94" xfId="2" applyFont="1" applyFill="1" applyBorder="1" applyAlignment="1">
      <alignment vertical="top"/>
    </xf>
    <xf numFmtId="4" fontId="23" fillId="0" borderId="61" xfId="1" applyNumberFormat="1" applyFont="1" applyFill="1" applyBorder="1" applyAlignment="1">
      <alignment horizontal="right" vertical="center"/>
    </xf>
    <xf numFmtId="43" fontId="23" fillId="0" borderId="91" xfId="1" applyFont="1" applyFill="1" applyBorder="1" applyAlignment="1">
      <alignment horizontal="right" vertical="center"/>
    </xf>
    <xf numFmtId="43" fontId="23" fillId="0" borderId="7" xfId="1" applyFont="1" applyFill="1" applyBorder="1" applyAlignment="1">
      <alignment horizontal="right" vertical="center"/>
    </xf>
    <xf numFmtId="43" fontId="23" fillId="0" borderId="8" xfId="1" applyFont="1" applyFill="1" applyBorder="1" applyAlignment="1">
      <alignment horizontal="right" vertical="center"/>
    </xf>
    <xf numFmtId="43" fontId="23" fillId="0" borderId="94" xfId="1" applyFont="1" applyFill="1" applyBorder="1" applyAlignment="1">
      <alignment horizontal="right" vertical="center"/>
    </xf>
    <xf numFmtId="4" fontId="4" fillId="0" borderId="61" xfId="1" applyNumberFormat="1" applyFont="1" applyFill="1" applyBorder="1" applyAlignment="1">
      <alignment vertical="top"/>
    </xf>
    <xf numFmtId="43" fontId="4" fillId="0" borderId="61" xfId="1" applyFont="1" applyFill="1" applyBorder="1" applyAlignment="1">
      <alignment vertical="top"/>
    </xf>
    <xf numFmtId="0" fontId="2" fillId="0" borderId="28" xfId="2" applyFont="1" applyFill="1" applyBorder="1" applyAlignment="1">
      <alignment vertical="top"/>
    </xf>
    <xf numFmtId="4" fontId="4" fillId="0" borderId="26" xfId="1" applyNumberFormat="1" applyFont="1" applyFill="1" applyBorder="1" applyAlignment="1">
      <alignment vertical="top"/>
    </xf>
    <xf numFmtId="43" fontId="4" fillId="0" borderId="27" xfId="1" applyFont="1" applyFill="1" applyBorder="1" applyAlignment="1">
      <alignment vertical="top"/>
    </xf>
    <xf numFmtId="43" fontId="4" fillId="0" borderId="26" xfId="1" applyFont="1" applyFill="1" applyBorder="1" applyAlignment="1">
      <alignment vertical="top"/>
    </xf>
    <xf numFmtId="43" fontId="4" fillId="0" borderId="28" xfId="1" applyFont="1" applyFill="1" applyBorder="1" applyAlignment="1">
      <alignment vertical="top"/>
    </xf>
    <xf numFmtId="0" fontId="40" fillId="0" borderId="4" xfId="2" applyFont="1" applyFill="1" applyBorder="1" applyAlignment="1">
      <alignment horizontal="left" vertical="center"/>
    </xf>
    <xf numFmtId="4" fontId="23" fillId="0" borderId="21" xfId="1" applyNumberFormat="1" applyFont="1" applyFill="1" applyBorder="1" applyAlignment="1">
      <alignment horizontal="right" vertical="center"/>
    </xf>
    <xf numFmtId="43" fontId="23" fillId="0" borderId="23" xfId="1" applyFont="1" applyFill="1" applyBorder="1" applyAlignment="1">
      <alignment horizontal="right" vertical="center"/>
    </xf>
    <xf numFmtId="43" fontId="23" fillId="0" borderId="21" xfId="1" applyFont="1" applyFill="1" applyBorder="1" applyAlignment="1">
      <alignment horizontal="right" vertical="center"/>
    </xf>
    <xf numFmtId="43" fontId="23" fillId="0" borderId="4" xfId="1" applyFont="1" applyFill="1" applyBorder="1" applyAlignment="1">
      <alignment horizontal="right" vertical="center"/>
    </xf>
    <xf numFmtId="0" fontId="2" fillId="0" borderId="5" xfId="2" applyFont="1" applyFill="1" applyBorder="1" applyAlignment="1">
      <alignment vertical="top"/>
    </xf>
    <xf numFmtId="4" fontId="4" fillId="0" borderId="3" xfId="1" applyNumberFormat="1" applyFont="1" applyFill="1" applyBorder="1" applyAlignment="1">
      <alignment vertical="top"/>
    </xf>
    <xf numFmtId="43" fontId="4" fillId="0" borderId="119" xfId="1" applyFont="1" applyFill="1" applyBorder="1" applyAlignment="1">
      <alignment vertical="top"/>
    </xf>
    <xf numFmtId="43" fontId="4" fillId="0" borderId="3" xfId="1" applyFont="1" applyFill="1" applyBorder="1" applyAlignment="1">
      <alignment vertical="top"/>
    </xf>
    <xf numFmtId="43" fontId="4" fillId="0" borderId="5" xfId="1" applyFont="1" applyFill="1" applyBorder="1" applyAlignment="1">
      <alignment vertical="top"/>
    </xf>
    <xf numFmtId="0" fontId="40" fillId="0" borderId="68" xfId="2" applyFont="1" applyFill="1" applyBorder="1" applyAlignment="1">
      <alignment vertical="top"/>
    </xf>
    <xf numFmtId="4" fontId="23" fillId="0" borderId="67" xfId="1" applyNumberFormat="1" applyFont="1" applyFill="1" applyBorder="1" applyAlignment="1">
      <alignment horizontal="right" vertical="center"/>
    </xf>
    <xf numFmtId="43" fontId="23" fillId="0" borderId="70" xfId="1" applyFont="1" applyFill="1" applyBorder="1" applyAlignment="1">
      <alignment horizontal="right" vertical="center"/>
    </xf>
    <xf numFmtId="43" fontId="23" fillId="0" borderId="67" xfId="1" applyFont="1" applyFill="1" applyBorder="1" applyAlignment="1">
      <alignment horizontal="right" vertical="center"/>
    </xf>
    <xf numFmtId="43" fontId="23" fillId="0" borderId="13" xfId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vertical="top"/>
    </xf>
    <xf numFmtId="43" fontId="4" fillId="0" borderId="8" xfId="1" applyFont="1" applyFill="1" applyBorder="1" applyAlignment="1">
      <alignment vertical="top"/>
    </xf>
    <xf numFmtId="43" fontId="4" fillId="0" borderId="10" xfId="1" applyFont="1" applyFill="1" applyBorder="1" applyAlignment="1">
      <alignment vertical="top"/>
    </xf>
    <xf numFmtId="43" fontId="4" fillId="0" borderId="7" xfId="1" applyFont="1" applyFill="1" applyBorder="1" applyAlignment="1">
      <alignment vertical="top"/>
    </xf>
    <xf numFmtId="43" fontId="4" fillId="0" borderId="77" xfId="1" applyFont="1" applyFill="1" applyBorder="1" applyAlignment="1">
      <alignment vertical="top"/>
    </xf>
    <xf numFmtId="4" fontId="4" fillId="0" borderId="67" xfId="1" applyNumberFormat="1" applyFont="1" applyFill="1" applyBorder="1" applyAlignment="1">
      <alignment vertical="top"/>
    </xf>
    <xf numFmtId="0" fontId="6" fillId="0" borderId="11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8" fillId="0" borderId="31" xfId="0" applyFont="1" applyBorder="1" applyAlignment="1">
      <alignment wrapText="1"/>
    </xf>
    <xf numFmtId="4" fontId="4" fillId="0" borderId="11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65" fontId="4" fillId="0" borderId="13" xfId="0" applyNumberFormat="1" applyFont="1" applyBorder="1" applyAlignment="1">
      <alignment vertical="top"/>
    </xf>
    <xf numFmtId="3" fontId="15" fillId="0" borderId="13" xfId="2" applyNumberFormat="1" applyFont="1" applyFill="1" applyBorder="1" applyAlignment="1">
      <alignment horizontal="right" vertical="center"/>
    </xf>
    <xf numFmtId="0" fontId="5" fillId="0" borderId="92" xfId="2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vertical="top"/>
    </xf>
    <xf numFmtId="0" fontId="8" fillId="0" borderId="16" xfId="0" applyFont="1" applyBorder="1" applyAlignment="1">
      <alignment wrapText="1"/>
    </xf>
    <xf numFmtId="4" fontId="4" fillId="0" borderId="50" xfId="2" applyNumberFormat="1" applyFont="1" applyFill="1" applyBorder="1" applyAlignment="1">
      <alignment vertical="top"/>
    </xf>
    <xf numFmtId="3" fontId="4" fillId="0" borderId="51" xfId="2" applyNumberFormat="1" applyFont="1" applyFill="1" applyBorder="1" applyAlignment="1">
      <alignment vertical="top"/>
    </xf>
    <xf numFmtId="3" fontId="4" fillId="0" borderId="116" xfId="2" applyNumberFormat="1" applyFont="1" applyFill="1" applyBorder="1" applyAlignment="1">
      <alignment vertical="top"/>
    </xf>
    <xf numFmtId="3" fontId="2" fillId="0" borderId="50" xfId="2" applyNumberFormat="1" applyFont="1" applyFill="1" applyBorder="1" applyAlignment="1">
      <alignment vertical="top"/>
    </xf>
    <xf numFmtId="165" fontId="2" fillId="0" borderId="51" xfId="2" applyNumberFormat="1" applyFont="1" applyFill="1" applyBorder="1" applyAlignment="1">
      <alignment vertical="top"/>
    </xf>
    <xf numFmtId="3" fontId="2" fillId="0" borderId="51" xfId="2" applyNumberFormat="1" applyFont="1" applyFill="1" applyBorder="1" applyAlignment="1">
      <alignment vertical="top"/>
    </xf>
    <xf numFmtId="0" fontId="5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vertical="top" wrapText="1"/>
    </xf>
    <xf numFmtId="0" fontId="8" fillId="0" borderId="2" xfId="0" applyFont="1" applyBorder="1" applyAlignment="1">
      <alignment wrapText="1"/>
    </xf>
    <xf numFmtId="4" fontId="4" fillId="0" borderId="3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horizontal="right" vertical="center"/>
    </xf>
    <xf numFmtId="3" fontId="4" fillId="0" borderId="119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/>
    </xf>
    <xf numFmtId="165" fontId="2" fillId="0" borderId="5" xfId="2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horizontal="right" vertical="center"/>
    </xf>
    <xf numFmtId="0" fontId="5" fillId="0" borderId="90" xfId="2" applyFont="1" applyFill="1" applyBorder="1" applyAlignment="1">
      <alignment horizontal="center" vertical="center" wrapText="1"/>
    </xf>
    <xf numFmtId="0" fontId="3" fillId="10" borderId="28" xfId="2" applyFont="1" applyFill="1" applyBorder="1" applyAlignment="1">
      <alignment horizontal="left" vertical="center" wrapText="1"/>
    </xf>
    <xf numFmtId="0" fontId="6" fillId="10" borderId="56" xfId="2" applyFont="1" applyFill="1" applyBorder="1" applyAlignment="1">
      <alignment horizontal="center" vertical="center" wrapText="1"/>
    </xf>
    <xf numFmtId="4" fontId="4" fillId="10" borderId="26" xfId="2" applyNumberFormat="1" applyFont="1" applyFill="1" applyBorder="1" applyAlignment="1">
      <alignment horizontal="right" vertical="center"/>
    </xf>
    <xf numFmtId="3" fontId="4" fillId="10" borderId="28" xfId="2" applyNumberFormat="1" applyFont="1" applyFill="1" applyBorder="1" applyAlignment="1">
      <alignment horizontal="right" vertical="center"/>
    </xf>
    <xf numFmtId="3" fontId="4" fillId="10" borderId="27" xfId="2" applyNumberFormat="1" applyFont="1" applyFill="1" applyBorder="1" applyAlignment="1">
      <alignment horizontal="right" vertical="center"/>
    </xf>
    <xf numFmtId="3" fontId="2" fillId="10" borderId="26" xfId="2" applyNumberFormat="1" applyFont="1" applyFill="1" applyBorder="1" applyAlignment="1">
      <alignment horizontal="right" vertical="center"/>
    </xf>
    <xf numFmtId="165" fontId="2" fillId="10" borderId="28" xfId="2" applyNumberFormat="1" applyFont="1" applyFill="1" applyBorder="1" applyAlignment="1">
      <alignment horizontal="right" vertical="center"/>
    </xf>
    <xf numFmtId="3" fontId="2" fillId="10" borderId="28" xfId="2" applyNumberFormat="1" applyFont="1" applyFill="1" applyBorder="1" applyAlignment="1">
      <alignment horizontal="right" vertical="center"/>
    </xf>
    <xf numFmtId="0" fontId="22" fillId="4" borderId="4" xfId="2" applyFont="1" applyFill="1" applyBorder="1" applyAlignment="1">
      <alignment horizontal="left" vertical="center"/>
    </xf>
    <xf numFmtId="0" fontId="7" fillId="4" borderId="55" xfId="2" applyFont="1" applyFill="1" applyBorder="1" applyAlignment="1">
      <alignment horizontal="left" vertical="center"/>
    </xf>
    <xf numFmtId="4" fontId="22" fillId="4" borderId="21" xfId="2" applyNumberFormat="1" applyFont="1" applyFill="1" applyBorder="1" applyAlignment="1">
      <alignment horizontal="right" vertical="center"/>
    </xf>
    <xf numFmtId="3" fontId="22" fillId="4" borderId="4" xfId="2" applyNumberFormat="1" applyFont="1" applyFill="1" applyBorder="1" applyAlignment="1">
      <alignment horizontal="right" vertical="center"/>
    </xf>
    <xf numFmtId="3" fontId="22" fillId="4" borderId="23" xfId="2" applyNumberFormat="1" applyFont="1" applyFill="1" applyBorder="1" applyAlignment="1">
      <alignment horizontal="right" vertical="center"/>
    </xf>
    <xf numFmtId="3" fontId="3" fillId="4" borderId="21" xfId="2" applyNumberFormat="1" applyFont="1" applyFill="1" applyBorder="1" applyAlignment="1">
      <alignment horizontal="right" vertical="center"/>
    </xf>
    <xf numFmtId="165" fontId="3" fillId="4" borderId="4" xfId="2" applyNumberFormat="1" applyFont="1" applyFill="1" applyBorder="1" applyAlignment="1">
      <alignment horizontal="right" vertical="center"/>
    </xf>
    <xf numFmtId="3" fontId="3" fillId="4" borderId="4" xfId="2" applyNumberFormat="1" applyFont="1" applyFill="1" applyBorder="1" applyAlignment="1">
      <alignment horizontal="right" vertical="center"/>
    </xf>
    <xf numFmtId="0" fontId="40" fillId="0" borderId="4" xfId="2" applyFont="1" applyFill="1" applyBorder="1" applyAlignment="1">
      <alignment vertical="top"/>
    </xf>
    <xf numFmtId="4" fontId="15" fillId="0" borderId="21" xfId="2" applyNumberFormat="1" applyFont="1" applyFill="1" applyBorder="1" applyAlignment="1">
      <alignment horizontal="right" vertical="center"/>
    </xf>
    <xf numFmtId="3" fontId="15" fillId="0" borderId="4" xfId="2" applyNumberFormat="1" applyFont="1" applyFill="1" applyBorder="1" applyAlignment="1">
      <alignment horizontal="right" vertical="center"/>
    </xf>
    <xf numFmtId="3" fontId="15" fillId="0" borderId="23" xfId="2" applyNumberFormat="1" applyFont="1" applyFill="1" applyBorder="1" applyAlignment="1">
      <alignment horizontal="right" vertical="center"/>
    </xf>
    <xf numFmtId="3" fontId="15" fillId="0" borderId="21" xfId="2" applyNumberFormat="1" applyFont="1" applyFill="1" applyBorder="1" applyAlignment="1">
      <alignment horizontal="right" vertical="center"/>
    </xf>
    <xf numFmtId="165" fontId="15" fillId="0" borderId="4" xfId="2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vertical="top"/>
    </xf>
    <xf numFmtId="4" fontId="4" fillId="0" borderId="21" xfId="2" applyNumberFormat="1" applyFont="1" applyFill="1" applyBorder="1" applyAlignment="1">
      <alignment vertical="top"/>
    </xf>
    <xf numFmtId="3" fontId="4" fillId="0" borderId="4" xfId="2" applyNumberFormat="1" applyFont="1" applyFill="1" applyBorder="1" applyAlignment="1">
      <alignment vertical="top"/>
    </xf>
    <xf numFmtId="3" fontId="4" fillId="0" borderId="23" xfId="2" applyNumberFormat="1" applyFont="1" applyFill="1" applyBorder="1" applyAlignment="1">
      <alignment vertical="top"/>
    </xf>
    <xf numFmtId="3" fontId="2" fillId="0" borderId="21" xfId="2" applyNumberFormat="1" applyFont="1" applyFill="1" applyBorder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" fontId="2" fillId="0" borderId="4" xfId="2" applyNumberFormat="1" applyFont="1" applyFill="1" applyBorder="1" applyAlignment="1">
      <alignment vertical="top"/>
    </xf>
    <xf numFmtId="0" fontId="6" fillId="0" borderId="3" xfId="2" applyFont="1" applyFill="1" applyBorder="1" applyAlignment="1">
      <alignment horizontal="center" vertical="top"/>
    </xf>
    <xf numFmtId="0" fontId="3" fillId="9" borderId="20" xfId="2" applyFont="1" applyFill="1" applyBorder="1" applyAlignment="1">
      <alignment horizontal="left" vertical="center" wrapText="1"/>
    </xf>
    <xf numFmtId="0" fontId="6" fillId="9" borderId="81" xfId="2" applyFont="1" applyFill="1" applyBorder="1" applyAlignment="1">
      <alignment horizontal="center" vertical="center" wrapText="1"/>
    </xf>
    <xf numFmtId="3" fontId="4" fillId="9" borderId="20" xfId="2" applyNumberFormat="1" applyFont="1" applyFill="1" applyBorder="1" applyAlignment="1">
      <alignment horizontal="right" vertical="center"/>
    </xf>
    <xf numFmtId="3" fontId="4" fillId="9" borderId="34" xfId="2" applyNumberFormat="1" applyFont="1" applyFill="1" applyBorder="1" applyAlignment="1">
      <alignment horizontal="right" vertical="center"/>
    </xf>
    <xf numFmtId="165" fontId="2" fillId="9" borderId="58" xfId="2" applyNumberFormat="1" applyFont="1" applyFill="1" applyBorder="1" applyAlignment="1">
      <alignment horizontal="right" vertical="center"/>
    </xf>
    <xf numFmtId="3" fontId="2" fillId="9" borderId="20" xfId="2" applyNumberFormat="1" applyFont="1" applyFill="1" applyBorder="1" applyAlignment="1">
      <alignment horizontal="right" vertical="center"/>
    </xf>
    <xf numFmtId="3" fontId="7" fillId="4" borderId="95" xfId="2" applyNumberFormat="1" applyFont="1" applyFill="1" applyBorder="1" applyAlignment="1">
      <alignment vertical="center"/>
    </xf>
    <xf numFmtId="4" fontId="22" fillId="4" borderId="61" xfId="1" applyNumberFormat="1" applyFont="1" applyFill="1" applyBorder="1" applyAlignment="1">
      <alignment vertical="center"/>
    </xf>
    <xf numFmtId="43" fontId="22" fillId="4" borderId="7" xfId="1" applyFont="1" applyFill="1" applyBorder="1" applyAlignment="1">
      <alignment vertical="center"/>
    </xf>
    <xf numFmtId="4" fontId="15" fillId="0" borderId="67" xfId="1" applyNumberFormat="1" applyFont="1" applyFill="1" applyBorder="1" applyAlignment="1">
      <alignment horizontal="right" vertical="center"/>
    </xf>
    <xf numFmtId="43" fontId="15" fillId="0" borderId="68" xfId="1" applyFont="1" applyFill="1" applyBorder="1" applyAlignment="1">
      <alignment horizontal="right" vertical="center"/>
    </xf>
    <xf numFmtId="43" fontId="15" fillId="0" borderId="70" xfId="1" applyFont="1" applyFill="1" applyBorder="1" applyAlignment="1">
      <alignment horizontal="right" vertical="center"/>
    </xf>
    <xf numFmtId="43" fontId="15" fillId="0" borderId="67" xfId="1" applyFont="1" applyFill="1" applyBorder="1" applyAlignment="1">
      <alignment horizontal="right" vertical="center"/>
    </xf>
    <xf numFmtId="43" fontId="15" fillId="0" borderId="13" xfId="1" applyFont="1" applyFill="1" applyBorder="1" applyAlignment="1">
      <alignment horizontal="right" vertical="center"/>
    </xf>
    <xf numFmtId="0" fontId="2" fillId="0" borderId="20" xfId="2" applyFont="1" applyFill="1" applyBorder="1" applyAlignment="1">
      <alignment vertical="top"/>
    </xf>
    <xf numFmtId="4" fontId="4" fillId="0" borderId="57" xfId="1" applyNumberFormat="1" applyFont="1" applyFill="1" applyBorder="1" applyAlignment="1">
      <alignment vertical="top"/>
    </xf>
    <xf numFmtId="43" fontId="4" fillId="0" borderId="58" xfId="1" applyFont="1" applyFill="1" applyBorder="1" applyAlignment="1">
      <alignment vertical="top"/>
    </xf>
    <xf numFmtId="43" fontId="4" fillId="0" borderId="60" xfId="1" applyFont="1" applyFill="1" applyBorder="1" applyAlignment="1">
      <alignment vertical="top"/>
    </xf>
    <xf numFmtId="43" fontId="4" fillId="0" borderId="17" xfId="1" applyFont="1" applyFill="1" applyBorder="1" applyAlignment="1">
      <alignment vertical="top"/>
    </xf>
    <xf numFmtId="43" fontId="4" fillId="0" borderId="20" xfId="1" applyFont="1" applyFill="1" applyBorder="1" applyAlignment="1">
      <alignment vertical="top"/>
    </xf>
    <xf numFmtId="43" fontId="4" fillId="0" borderId="93" xfId="1" applyFont="1" applyFill="1" applyBorder="1" applyAlignment="1">
      <alignment vertical="top"/>
    </xf>
    <xf numFmtId="0" fontId="15" fillId="0" borderId="62" xfId="2" applyFont="1" applyFill="1" applyBorder="1" applyAlignment="1">
      <alignment horizontal="left" vertical="center"/>
    </xf>
    <xf numFmtId="4" fontId="15" fillId="0" borderId="61" xfId="1" applyNumberFormat="1" applyFont="1" applyFill="1" applyBorder="1" applyAlignment="1">
      <alignment horizontal="right" vertical="center"/>
    </xf>
    <xf numFmtId="43" fontId="15" fillId="0" borderId="94" xfId="1" applyFont="1" applyFill="1" applyBorder="1" applyAlignment="1">
      <alignment horizontal="right" vertical="center"/>
    </xf>
    <xf numFmtId="43" fontId="15" fillId="0" borderId="8" xfId="1" applyFont="1" applyFill="1" applyBorder="1" applyAlignment="1">
      <alignment horizontal="right" vertical="center"/>
    </xf>
    <xf numFmtId="43" fontId="4" fillId="0" borderId="94" xfId="1" applyFont="1" applyFill="1" applyBorder="1" applyAlignment="1">
      <alignment vertical="top"/>
    </xf>
    <xf numFmtId="43" fontId="22" fillId="4" borderId="93" xfId="1" applyFont="1" applyFill="1" applyBorder="1" applyAlignment="1">
      <alignment vertical="center"/>
    </xf>
    <xf numFmtId="43" fontId="22" fillId="4" borderId="94" xfId="1" applyFont="1" applyFill="1" applyBorder="1" applyAlignment="1">
      <alignment vertical="center"/>
    </xf>
    <xf numFmtId="4" fontId="15" fillId="0" borderId="93" xfId="1" applyNumberFormat="1" applyFont="1" applyFill="1" applyBorder="1" applyAlignment="1">
      <alignment horizontal="right" vertical="center"/>
    </xf>
    <xf numFmtId="43" fontId="15" fillId="0" borderId="93" xfId="1" applyFont="1" applyFill="1" applyBorder="1" applyAlignment="1">
      <alignment horizontal="right" vertical="center"/>
    </xf>
    <xf numFmtId="0" fontId="2" fillId="0" borderId="20" xfId="2" applyFont="1" applyFill="1" applyBorder="1" applyAlignment="1">
      <alignment vertical="top" wrapText="1"/>
    </xf>
    <xf numFmtId="4" fontId="4" fillId="0" borderId="67" xfId="0" applyNumberFormat="1" applyFont="1" applyFill="1" applyBorder="1" applyAlignment="1">
      <alignment vertical="top"/>
    </xf>
    <xf numFmtId="0" fontId="3" fillId="10" borderId="13" xfId="2" applyFont="1" applyFill="1" applyBorder="1" applyAlignment="1">
      <alignment horizontal="left" vertical="center" wrapText="1"/>
    </xf>
    <xf numFmtId="0" fontId="6" fillId="10" borderId="31" xfId="2" applyFont="1" applyFill="1" applyBorder="1" applyAlignment="1">
      <alignment horizontal="center" vertical="center" wrapText="1"/>
    </xf>
    <xf numFmtId="4" fontId="4" fillId="10" borderId="11" xfId="2" applyNumberFormat="1" applyFont="1" applyFill="1" applyBorder="1" applyAlignment="1">
      <alignment horizontal="right" vertical="center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15" xfId="2" applyNumberFormat="1" applyFont="1" applyFill="1" applyBorder="1" applyAlignment="1">
      <alignment horizontal="right" vertical="center"/>
    </xf>
    <xf numFmtId="3" fontId="2" fillId="10" borderId="11" xfId="2" applyNumberFormat="1" applyFont="1" applyFill="1" applyBorder="1" applyAlignment="1">
      <alignment horizontal="right" vertical="center"/>
    </xf>
    <xf numFmtId="165" fontId="2" fillId="10" borderId="13" xfId="2" applyNumberFormat="1" applyFont="1" applyFill="1" applyBorder="1" applyAlignment="1">
      <alignment horizontal="right" vertical="center"/>
    </xf>
    <xf numFmtId="3" fontId="2" fillId="10" borderId="13" xfId="2" applyNumberFormat="1" applyFont="1" applyFill="1" applyBorder="1" applyAlignment="1">
      <alignment horizontal="right" vertical="center"/>
    </xf>
    <xf numFmtId="0" fontId="22" fillId="4" borderId="51" xfId="2" applyFont="1" applyFill="1" applyBorder="1" applyAlignment="1">
      <alignment horizontal="left" vertical="center"/>
    </xf>
    <xf numFmtId="3" fontId="7" fillId="4" borderId="16" xfId="2" applyNumberFormat="1" applyFont="1" applyFill="1" applyBorder="1" applyAlignment="1">
      <alignment vertical="center"/>
    </xf>
    <xf numFmtId="4" fontId="22" fillId="4" borderId="50" xfId="2" applyNumberFormat="1" applyFont="1" applyFill="1" applyBorder="1" applyAlignment="1">
      <alignment vertical="center"/>
    </xf>
    <xf numFmtId="3" fontId="22" fillId="4" borderId="51" xfId="2" applyNumberFormat="1" applyFont="1" applyFill="1" applyBorder="1" applyAlignment="1">
      <alignment vertical="center"/>
    </xf>
    <xf numFmtId="3" fontId="22" fillId="4" borderId="116" xfId="2" applyNumberFormat="1" applyFont="1" applyFill="1" applyBorder="1" applyAlignment="1">
      <alignment vertical="center"/>
    </xf>
    <xf numFmtId="3" fontId="22" fillId="4" borderId="50" xfId="2" applyNumberFormat="1" applyFont="1" applyFill="1" applyBorder="1" applyAlignment="1">
      <alignment vertical="center"/>
    </xf>
    <xf numFmtId="165" fontId="22" fillId="4" borderId="51" xfId="2" applyNumberFormat="1" applyFont="1" applyFill="1" applyBorder="1" applyAlignment="1">
      <alignment vertical="center"/>
    </xf>
    <xf numFmtId="0" fontId="2" fillId="0" borderId="33" xfId="2" applyFont="1" applyFill="1" applyBorder="1" applyAlignment="1">
      <alignment vertical="top"/>
    </xf>
    <xf numFmtId="4" fontId="4" fillId="0" borderId="32" xfId="2" applyNumberFormat="1" applyFont="1" applyFill="1" applyBorder="1" applyAlignment="1">
      <alignment vertical="top"/>
    </xf>
    <xf numFmtId="3" fontId="4" fillId="0" borderId="33" xfId="2" applyNumberFormat="1" applyFont="1" applyFill="1" applyBorder="1" applyAlignment="1">
      <alignment vertical="top"/>
    </xf>
    <xf numFmtId="3" fontId="4" fillId="0" borderId="106" xfId="2" applyNumberFormat="1" applyFont="1" applyFill="1" applyBorder="1" applyAlignment="1">
      <alignment vertical="top"/>
    </xf>
    <xf numFmtId="3" fontId="2" fillId="0" borderId="32" xfId="2" applyNumberFormat="1" applyFont="1" applyFill="1" applyBorder="1" applyAlignment="1">
      <alignment vertical="top"/>
    </xf>
    <xf numFmtId="165" fontId="2" fillId="0" borderId="33" xfId="2" applyNumberFormat="1" applyFont="1" applyFill="1" applyBorder="1" applyAlignment="1">
      <alignment vertical="top"/>
    </xf>
    <xf numFmtId="3" fontId="2" fillId="0" borderId="33" xfId="2" applyNumberFormat="1" applyFont="1" applyFill="1" applyBorder="1" applyAlignment="1">
      <alignment vertical="top"/>
    </xf>
    <xf numFmtId="0" fontId="15" fillId="0" borderId="51" xfId="2" applyFont="1" applyFill="1" applyBorder="1" applyAlignment="1">
      <alignment horizontal="left" vertical="center"/>
    </xf>
    <xf numFmtId="4" fontId="15" fillId="0" borderId="50" xfId="2" applyNumberFormat="1" applyFont="1" applyFill="1" applyBorder="1" applyAlignment="1">
      <alignment horizontal="right" vertical="center"/>
    </xf>
    <xf numFmtId="3" fontId="15" fillId="0" borderId="51" xfId="2" applyNumberFormat="1" applyFont="1" applyFill="1" applyBorder="1" applyAlignment="1">
      <alignment horizontal="right" vertical="center"/>
    </xf>
    <xf numFmtId="3" fontId="15" fillId="0" borderId="116" xfId="2" applyNumberFormat="1" applyFont="1" applyFill="1" applyBorder="1" applyAlignment="1">
      <alignment horizontal="right" vertical="center"/>
    </xf>
    <xf numFmtId="3" fontId="15" fillId="0" borderId="50" xfId="2" applyNumberFormat="1" applyFont="1" applyFill="1" applyBorder="1" applyAlignment="1">
      <alignment horizontal="right" vertical="center"/>
    </xf>
    <xf numFmtId="165" fontId="15" fillId="0" borderId="51" xfId="2" applyNumberFormat="1" applyFont="1" applyFill="1" applyBorder="1" applyAlignment="1">
      <alignment horizontal="right" vertical="center"/>
    </xf>
    <xf numFmtId="3" fontId="7" fillId="4" borderId="55" xfId="2" applyNumberFormat="1" applyFont="1" applyFill="1" applyBorder="1" applyAlignment="1">
      <alignment vertical="center"/>
    </xf>
    <xf numFmtId="4" fontId="22" fillId="4" borderId="21" xfId="2" applyNumberFormat="1" applyFont="1" applyFill="1" applyBorder="1" applyAlignment="1">
      <alignment vertical="center"/>
    </xf>
    <xf numFmtId="3" fontId="22" fillId="4" borderId="4" xfId="2" applyNumberFormat="1" applyFont="1" applyFill="1" applyBorder="1" applyAlignment="1">
      <alignment vertical="center"/>
    </xf>
    <xf numFmtId="3" fontId="22" fillId="4" borderId="23" xfId="2" applyNumberFormat="1" applyFont="1" applyFill="1" applyBorder="1" applyAlignment="1">
      <alignment vertical="center"/>
    </xf>
    <xf numFmtId="3" fontId="22" fillId="4" borderId="21" xfId="2" applyNumberFormat="1" applyFont="1" applyFill="1" applyBorder="1" applyAlignment="1">
      <alignment vertical="center"/>
    </xf>
    <xf numFmtId="165" fontId="22" fillId="4" borderId="4" xfId="2" applyNumberFormat="1" applyFont="1" applyFill="1" applyBorder="1" applyAlignment="1">
      <alignment vertical="center"/>
    </xf>
    <xf numFmtId="0" fontId="15" fillId="0" borderId="4" xfId="2" applyFont="1" applyFill="1" applyBorder="1" applyAlignment="1">
      <alignment horizontal="left" vertical="center"/>
    </xf>
    <xf numFmtId="4" fontId="4" fillId="0" borderId="3" xfId="2" applyNumberFormat="1" applyFont="1" applyFill="1" applyBorder="1" applyAlignment="1">
      <alignment vertical="top"/>
    </xf>
    <xf numFmtId="3" fontId="4" fillId="0" borderId="5" xfId="2" applyNumberFormat="1" applyFont="1" applyFill="1" applyBorder="1" applyAlignment="1">
      <alignment vertical="top"/>
    </xf>
    <xf numFmtId="3" fontId="4" fillId="0" borderId="119" xfId="2" applyNumberFormat="1" applyFont="1" applyFill="1" applyBorder="1" applyAlignment="1">
      <alignment vertical="top"/>
    </xf>
    <xf numFmtId="3" fontId="2" fillId="0" borderId="3" xfId="2" applyNumberFormat="1" applyFont="1" applyFill="1" applyBorder="1" applyAlignment="1">
      <alignment vertical="top"/>
    </xf>
    <xf numFmtId="165" fontId="2" fillId="0" borderId="5" xfId="2" applyNumberFormat="1" applyFont="1" applyFill="1" applyBorder="1" applyAlignment="1">
      <alignment vertical="top"/>
    </xf>
    <xf numFmtId="3" fontId="2" fillId="0" borderId="5" xfId="2" applyNumberFormat="1" applyFont="1" applyFill="1" applyBorder="1" applyAlignment="1">
      <alignment vertical="top"/>
    </xf>
    <xf numFmtId="0" fontId="3" fillId="8" borderId="58" xfId="2" applyFont="1" applyFill="1" applyBorder="1" applyAlignment="1">
      <alignment horizontal="left" vertical="top" wrapText="1"/>
    </xf>
    <xf numFmtId="3" fontId="2" fillId="0" borderId="93" xfId="2" applyNumberFormat="1" applyFont="1" applyFill="1" applyBorder="1" applyAlignment="1">
      <alignment horizontal="right" vertical="center"/>
    </xf>
    <xf numFmtId="3" fontId="2" fillId="0" borderId="94" xfId="2" applyNumberFormat="1" applyFont="1" applyFill="1" applyBorder="1" applyAlignment="1">
      <alignment vertical="top"/>
    </xf>
    <xf numFmtId="43" fontId="2" fillId="0" borderId="91" xfId="1" applyFont="1" applyFill="1" applyBorder="1" applyAlignment="1">
      <alignment horizontal="right" vertical="center"/>
    </xf>
    <xf numFmtId="4" fontId="1" fillId="0" borderId="135" xfId="0" applyNumberFormat="1" applyFont="1" applyBorder="1"/>
    <xf numFmtId="3" fontId="4" fillId="0" borderId="94" xfId="2" applyNumberFormat="1" applyFont="1" applyFill="1" applyBorder="1" applyAlignment="1">
      <alignment vertical="top"/>
    </xf>
    <xf numFmtId="3" fontId="4" fillId="0" borderId="91" xfId="2" applyNumberFormat="1" applyFont="1" applyFill="1" applyBorder="1" applyAlignment="1">
      <alignment vertical="top"/>
    </xf>
    <xf numFmtId="3" fontId="4" fillId="0" borderId="93" xfId="2" applyNumberFormat="1" applyFont="1" applyFill="1" applyBorder="1" applyAlignment="1">
      <alignment vertical="top"/>
    </xf>
    <xf numFmtId="0" fontId="1" fillId="0" borderId="135" xfId="0" applyFont="1" applyBorder="1"/>
    <xf numFmtId="0" fontId="1" fillId="0" borderId="118" xfId="0" applyFont="1" applyBorder="1"/>
    <xf numFmtId="0" fontId="6" fillId="8" borderId="58" xfId="2" applyFont="1" applyFill="1" applyBorder="1" applyAlignment="1">
      <alignment horizontal="center" vertical="center" wrapText="1"/>
    </xf>
    <xf numFmtId="43" fontId="40" fillId="2" borderId="64" xfId="1" applyFont="1" applyFill="1" applyBorder="1" applyAlignment="1"/>
    <xf numFmtId="0" fontId="40" fillId="0" borderId="64" xfId="2" applyFont="1" applyFill="1" applyBorder="1" applyAlignment="1">
      <alignment horizontal="left" vertical="center"/>
    </xf>
    <xf numFmtId="0" fontId="2" fillId="0" borderId="70" xfId="2" applyFont="1" applyFill="1" applyBorder="1" applyAlignment="1">
      <alignment vertical="top" wrapText="1"/>
    </xf>
    <xf numFmtId="0" fontId="16" fillId="0" borderId="7" xfId="0" applyFont="1" applyBorder="1" applyAlignment="1">
      <alignment vertical="top"/>
    </xf>
    <xf numFmtId="0" fontId="27" fillId="0" borderId="112" xfId="0" quotePrefix="1" applyFont="1" applyBorder="1" applyAlignment="1">
      <alignment horizontal="center" vertical="top"/>
    </xf>
    <xf numFmtId="43" fontId="15" fillId="2" borderId="115" xfId="1" quotePrefix="1" applyFont="1" applyFill="1" applyBorder="1" applyAlignment="1">
      <alignment vertical="top"/>
    </xf>
    <xf numFmtId="43" fontId="15" fillId="0" borderId="28" xfId="1" applyFont="1" applyFill="1" applyBorder="1" applyAlignment="1">
      <alignment horizontal="right" vertical="center"/>
    </xf>
    <xf numFmtId="0" fontId="15" fillId="0" borderId="33" xfId="0" applyFont="1" applyBorder="1" applyAlignment="1">
      <alignment horizontal="left" vertical="top"/>
    </xf>
    <xf numFmtId="0" fontId="27" fillId="0" borderId="105" xfId="0" quotePrefix="1" applyFont="1" applyBorder="1" applyAlignment="1">
      <alignment horizontal="center" vertical="top"/>
    </xf>
    <xf numFmtId="3" fontId="3" fillId="4" borderId="101" xfId="2" applyNumberFormat="1" applyFont="1" applyFill="1" applyBorder="1" applyAlignment="1"/>
    <xf numFmtId="3" fontId="3" fillId="4" borderId="60" xfId="2" applyNumberFormat="1" applyFont="1" applyFill="1" applyBorder="1" applyAlignment="1"/>
    <xf numFmtId="3" fontId="3" fillId="4" borderId="57" xfId="2" applyNumberFormat="1" applyFont="1" applyFill="1" applyBorder="1" applyAlignment="1"/>
    <xf numFmtId="165" fontId="3" fillId="4" borderId="58" xfId="2" applyNumberFormat="1" applyFont="1" applyFill="1" applyBorder="1" applyAlignment="1"/>
    <xf numFmtId="3" fontId="3" fillId="4" borderId="58" xfId="2" applyNumberFormat="1" applyFont="1" applyFill="1" applyBorder="1" applyAlignment="1"/>
    <xf numFmtId="165" fontId="15" fillId="6" borderId="62" xfId="2" applyNumberFormat="1" applyFont="1" applyFill="1" applyBorder="1" applyAlignment="1">
      <alignment vertical="top"/>
    </xf>
    <xf numFmtId="43" fontId="2" fillId="6" borderId="61" xfId="1" applyFont="1" applyFill="1" applyBorder="1" applyAlignment="1">
      <alignment vertical="top"/>
    </xf>
    <xf numFmtId="0" fontId="2" fillId="6" borderId="68" xfId="2" applyFont="1" applyFill="1" applyBorder="1" applyAlignment="1">
      <alignment vertical="top"/>
    </xf>
    <xf numFmtId="3" fontId="4" fillId="6" borderId="72" xfId="2" applyNumberFormat="1" applyFont="1" applyFill="1" applyBorder="1" applyAlignment="1">
      <alignment vertical="top"/>
    </xf>
    <xf numFmtId="3" fontId="4" fillId="6" borderId="70" xfId="2" applyNumberFormat="1" applyFont="1" applyFill="1" applyBorder="1" applyAlignment="1">
      <alignment vertical="top"/>
    </xf>
    <xf numFmtId="3" fontId="4" fillId="6" borderId="67" xfId="2" applyNumberFormat="1" applyFont="1" applyFill="1" applyBorder="1" applyAlignment="1">
      <alignment vertical="top"/>
    </xf>
    <xf numFmtId="165" fontId="2" fillId="6" borderId="70" xfId="2" applyNumberFormat="1" applyFont="1" applyFill="1" applyBorder="1" applyAlignment="1">
      <alignment vertical="top"/>
    </xf>
    <xf numFmtId="3" fontId="4" fillId="6" borderId="68" xfId="2" applyNumberFormat="1" applyFont="1" applyFill="1" applyBorder="1" applyAlignment="1">
      <alignment vertical="top"/>
    </xf>
    <xf numFmtId="3" fontId="4" fillId="8" borderId="125" xfId="2" applyNumberFormat="1" applyFont="1" applyFill="1" applyBorder="1" applyAlignment="1">
      <alignment horizontal="right" vertical="center"/>
    </xf>
    <xf numFmtId="3" fontId="6" fillId="4" borderId="62" xfId="2" applyNumberFormat="1" applyFont="1" applyFill="1" applyBorder="1" applyAlignment="1"/>
    <xf numFmtId="43" fontId="40" fillId="2" borderId="65" xfId="1" applyFont="1" applyFill="1" applyBorder="1" applyAlignment="1"/>
    <xf numFmtId="0" fontId="2" fillId="0" borderId="70" xfId="2" applyFont="1" applyFill="1" applyBorder="1" applyAlignment="1">
      <alignment vertical="top"/>
    </xf>
    <xf numFmtId="3" fontId="40" fillId="2" borderId="66" xfId="2" applyNumberFormat="1" applyFont="1" applyFill="1" applyBorder="1" applyAlignment="1"/>
    <xf numFmtId="3" fontId="2" fillId="0" borderId="66" xfId="2" applyNumberFormat="1" applyFont="1" applyFill="1" applyBorder="1" applyAlignment="1">
      <alignment horizontal="right" vertical="center"/>
    </xf>
    <xf numFmtId="0" fontId="30" fillId="16" borderId="46" xfId="0" applyFont="1" applyFill="1" applyBorder="1" applyAlignment="1">
      <alignment vertical="center"/>
    </xf>
    <xf numFmtId="0" fontId="26" fillId="0" borderId="19" xfId="0" applyFont="1" applyFill="1" applyBorder="1" applyAlignment="1">
      <alignment horizontal="left"/>
    </xf>
    <xf numFmtId="0" fontId="31" fillId="2" borderId="87" xfId="0" applyFont="1" applyFill="1" applyBorder="1" applyAlignment="1">
      <alignment horizontal="right" vertical="center"/>
    </xf>
    <xf numFmtId="0" fontId="16" fillId="0" borderId="31" xfId="0" quotePrefix="1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center"/>
    </xf>
    <xf numFmtId="0" fontId="15" fillId="0" borderId="136" xfId="0" applyFont="1" applyBorder="1" applyAlignment="1">
      <alignment horizontal="left" vertical="center"/>
    </xf>
    <xf numFmtId="3" fontId="10" fillId="2" borderId="114" xfId="0" quotePrefix="1" applyNumberFormat="1" applyFont="1" applyFill="1" applyBorder="1" applyAlignment="1">
      <alignment vertical="center"/>
    </xf>
    <xf numFmtId="0" fontId="25" fillId="2" borderId="6" xfId="0" quotePrefix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top"/>
    </xf>
    <xf numFmtId="0" fontId="15" fillId="0" borderId="123" xfId="0" applyFont="1" applyBorder="1" applyAlignment="1">
      <alignment horizontal="left" vertical="top"/>
    </xf>
    <xf numFmtId="3" fontId="15" fillId="2" borderId="113" xfId="0" quotePrefix="1" applyNumberFormat="1" applyFont="1" applyFill="1" applyBorder="1" applyAlignment="1">
      <alignment vertical="top"/>
    </xf>
    <xf numFmtId="3" fontId="15" fillId="2" borderId="121" xfId="0" quotePrefix="1" applyNumberFormat="1" applyFont="1" applyFill="1" applyBorder="1" applyAlignment="1">
      <alignment vertical="top"/>
    </xf>
    <xf numFmtId="165" fontId="40" fillId="0" borderId="115" xfId="2" applyNumberFormat="1" applyFont="1" applyFill="1" applyBorder="1" applyAlignment="1">
      <alignment horizontal="right" vertical="center"/>
    </xf>
    <xf numFmtId="3" fontId="10" fillId="0" borderId="111" xfId="2" applyNumberFormat="1" applyFont="1" applyFill="1" applyBorder="1" applyAlignment="1">
      <alignment horizontal="right" vertical="center"/>
    </xf>
    <xf numFmtId="0" fontId="25" fillId="2" borderId="6" xfId="0" quotePrefix="1" applyFont="1" applyFill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15" fillId="0" borderId="25" xfId="0" applyFont="1" applyBorder="1" applyAlignment="1">
      <alignment horizontal="left" vertical="top"/>
    </xf>
    <xf numFmtId="3" fontId="15" fillId="2" borderId="30" xfId="0" quotePrefix="1" applyNumberFormat="1" applyFont="1" applyFill="1" applyBorder="1" applyAlignment="1">
      <alignment vertical="top"/>
    </xf>
    <xf numFmtId="3" fontId="15" fillId="2" borderId="1" xfId="0" quotePrefix="1" applyNumberFormat="1" applyFont="1" applyFill="1" applyBorder="1" applyAlignment="1">
      <alignment vertical="top"/>
    </xf>
    <xf numFmtId="43" fontId="40" fillId="0" borderId="27" xfId="1" applyFont="1" applyFill="1" applyBorder="1" applyAlignment="1">
      <alignment horizontal="right" vertical="center"/>
    </xf>
    <xf numFmtId="43" fontId="40" fillId="0" borderId="28" xfId="1" applyFont="1" applyFill="1" applyBorder="1" applyAlignment="1">
      <alignment horizontal="right" vertical="center"/>
    </xf>
    <xf numFmtId="3" fontId="10" fillId="0" borderId="27" xfId="2" applyNumberFormat="1" applyFont="1" applyFill="1" applyBorder="1" applyAlignment="1">
      <alignment horizontal="right" vertical="center"/>
    </xf>
    <xf numFmtId="0" fontId="25" fillId="2" borderId="56" xfId="0" quotePrefix="1" applyFont="1" applyFill="1" applyBorder="1" applyAlignment="1">
      <alignment horizontal="center" vertical="top"/>
    </xf>
    <xf numFmtId="0" fontId="22" fillId="4" borderId="9" xfId="2" applyFont="1" applyFill="1" applyBorder="1" applyAlignment="1">
      <alignment horizontal="left" vertical="center"/>
    </xf>
    <xf numFmtId="3" fontId="3" fillId="4" borderId="47" xfId="2" applyNumberFormat="1" applyFont="1" applyFill="1" applyBorder="1" applyAlignment="1">
      <alignment horizontal="right" vertical="center"/>
    </xf>
    <xf numFmtId="3" fontId="3" fillId="4" borderId="10" xfId="2" applyNumberFormat="1" applyFont="1" applyFill="1" applyBorder="1" applyAlignment="1">
      <alignment horizontal="right" vertical="center"/>
    </xf>
    <xf numFmtId="3" fontId="3" fillId="4" borderId="6" xfId="2" applyNumberFormat="1" applyFont="1" applyFill="1" applyBorder="1" applyAlignment="1">
      <alignment horizontal="right" vertical="center"/>
    </xf>
    <xf numFmtId="3" fontId="3" fillId="4" borderId="7" xfId="2" applyNumberFormat="1" applyFont="1" applyFill="1" applyBorder="1" applyAlignment="1">
      <alignment horizontal="right" vertical="center"/>
    </xf>
    <xf numFmtId="165" fontId="3" fillId="4" borderId="80" xfId="2" applyNumberFormat="1" applyFont="1" applyFill="1" applyBorder="1" applyAlignment="1">
      <alignment horizontal="right" vertical="center"/>
    </xf>
    <xf numFmtId="3" fontId="3" fillId="4" borderId="8" xfId="2" applyNumberFormat="1" applyFont="1" applyFill="1" applyBorder="1" applyAlignment="1">
      <alignment horizontal="right" vertical="center"/>
    </xf>
    <xf numFmtId="3" fontId="40" fillId="6" borderId="66" xfId="2" applyNumberFormat="1" applyFont="1" applyFill="1" applyBorder="1" applyAlignment="1">
      <alignment vertical="top" wrapText="1"/>
    </xf>
    <xf numFmtId="3" fontId="40" fillId="6" borderId="117" xfId="2" applyNumberFormat="1" applyFont="1" applyFill="1" applyBorder="1" applyAlignment="1">
      <alignment horizontal="right" vertical="center"/>
    </xf>
    <xf numFmtId="3" fontId="40" fillId="6" borderId="91" xfId="2" applyNumberFormat="1" applyFont="1" applyFill="1" applyBorder="1" applyAlignment="1">
      <alignment horizontal="right" vertical="center"/>
    </xf>
    <xf numFmtId="3" fontId="40" fillId="6" borderId="95" xfId="2" applyNumberFormat="1" applyFont="1" applyFill="1" applyBorder="1" applyAlignment="1">
      <alignment horizontal="right" vertical="center"/>
    </xf>
    <xf numFmtId="3" fontId="40" fillId="6" borderId="93" xfId="2" applyNumberFormat="1" applyFont="1" applyFill="1" applyBorder="1" applyAlignment="1">
      <alignment horizontal="right" vertical="center"/>
    </xf>
    <xf numFmtId="165" fontId="40" fillId="6" borderId="10" xfId="2" applyNumberFormat="1" applyFont="1" applyFill="1" applyBorder="1" applyAlignment="1">
      <alignment horizontal="right" vertical="center"/>
    </xf>
    <xf numFmtId="3" fontId="40" fillId="6" borderId="94" xfId="2" applyNumberFormat="1" applyFont="1" applyFill="1" applyBorder="1" applyAlignment="1">
      <alignment horizontal="right" vertical="center"/>
    </xf>
    <xf numFmtId="3" fontId="2" fillId="6" borderId="66" xfId="2" applyNumberFormat="1" applyFont="1" applyFill="1" applyBorder="1" applyAlignment="1">
      <alignment vertical="top" wrapText="1"/>
    </xf>
    <xf numFmtId="3" fontId="1" fillId="6" borderId="71" xfId="3" applyNumberFormat="1" applyFont="1" applyFill="1" applyBorder="1" applyAlignment="1">
      <alignment vertical="center"/>
    </xf>
    <xf numFmtId="3" fontId="1" fillId="6" borderId="63" xfId="3" applyNumberFormat="1" applyFont="1" applyFill="1" applyBorder="1" applyAlignment="1">
      <alignment vertical="center"/>
    </xf>
    <xf numFmtId="165" fontId="23" fillId="6" borderId="91" xfId="2" applyNumberFormat="1" applyFont="1" applyFill="1" applyBorder="1" applyAlignment="1">
      <alignment horizontal="right" vertical="center"/>
    </xf>
    <xf numFmtId="0" fontId="40" fillId="6" borderId="66" xfId="2" applyFont="1" applyFill="1" applyBorder="1" applyAlignment="1">
      <alignment vertical="top"/>
    </xf>
    <xf numFmtId="3" fontId="40" fillId="6" borderId="47" xfId="2" applyNumberFormat="1" applyFont="1" applyFill="1" applyBorder="1" applyAlignment="1">
      <alignment horizontal="right" vertical="center"/>
    </xf>
    <xf numFmtId="3" fontId="40" fillId="6" borderId="10" xfId="2" applyNumberFormat="1" applyFont="1" applyFill="1" applyBorder="1" applyAlignment="1">
      <alignment horizontal="right" vertical="center"/>
    </xf>
    <xf numFmtId="3" fontId="40" fillId="6" borderId="6" xfId="2" applyNumberFormat="1" applyFont="1" applyFill="1" applyBorder="1" applyAlignment="1">
      <alignment horizontal="right" vertical="center"/>
    </xf>
    <xf numFmtId="3" fontId="40" fillId="6" borderId="7" xfId="2" applyNumberFormat="1" applyFont="1" applyFill="1" applyBorder="1" applyAlignment="1">
      <alignment horizontal="right" vertical="center"/>
    </xf>
    <xf numFmtId="165" fontId="40" fillId="6" borderId="91" xfId="2" applyNumberFormat="1" applyFont="1" applyFill="1" applyBorder="1" applyAlignment="1">
      <alignment horizontal="right" vertical="center"/>
    </xf>
    <xf numFmtId="3" fontId="40" fillId="6" borderId="8" xfId="2" applyNumberFormat="1" applyFont="1" applyFill="1" applyBorder="1" applyAlignment="1">
      <alignment horizontal="right" vertical="center"/>
    </xf>
    <xf numFmtId="0" fontId="2" fillId="6" borderId="9" xfId="2" applyFont="1" applyFill="1" applyBorder="1" applyAlignment="1">
      <alignment vertical="top" wrapText="1"/>
    </xf>
    <xf numFmtId="165" fontId="23" fillId="6" borderId="71" xfId="2" applyNumberFormat="1" applyFont="1" applyFill="1" applyBorder="1" applyAlignment="1">
      <alignment horizontal="right" vertical="center"/>
    </xf>
    <xf numFmtId="165" fontId="23" fillId="6" borderId="62" xfId="2" applyNumberFormat="1" applyFont="1" applyFill="1" applyBorder="1" applyAlignment="1">
      <alignment horizontal="right" vertical="center"/>
    </xf>
    <xf numFmtId="3" fontId="3" fillId="4" borderId="77" xfId="2" applyNumberFormat="1" applyFont="1" applyFill="1" applyBorder="1" applyAlignment="1">
      <alignment vertical="center"/>
    </xf>
    <xf numFmtId="0" fontId="15" fillId="6" borderId="66" xfId="2" applyFont="1" applyFill="1" applyBorder="1" applyAlignment="1">
      <alignment vertical="top"/>
    </xf>
    <xf numFmtId="3" fontId="29" fillId="6" borderId="117" xfId="3" applyNumberFormat="1" applyFont="1" applyFill="1" applyBorder="1" applyAlignment="1">
      <alignment vertical="center"/>
    </xf>
    <xf numFmtId="3" fontId="29" fillId="6" borderId="91" xfId="3" applyNumberFormat="1" applyFont="1" applyFill="1" applyBorder="1" applyAlignment="1">
      <alignment vertical="center"/>
    </xf>
    <xf numFmtId="3" fontId="29" fillId="6" borderId="95" xfId="3" applyNumberFormat="1" applyFont="1" applyFill="1" applyBorder="1" applyAlignment="1">
      <alignment vertical="center"/>
    </xf>
    <xf numFmtId="3" fontId="40" fillId="6" borderId="8" xfId="2" applyNumberFormat="1" applyFont="1" applyFill="1" applyBorder="1" applyAlignment="1">
      <alignment vertical="center"/>
    </xf>
    <xf numFmtId="3" fontId="1" fillId="6" borderId="68" xfId="3" applyNumberFormat="1" applyFont="1" applyFill="1" applyBorder="1" applyAlignment="1">
      <alignment vertical="center"/>
    </xf>
    <xf numFmtId="3" fontId="1" fillId="6" borderId="69" xfId="3" applyNumberFormat="1" applyFont="1" applyFill="1" applyBorder="1" applyAlignment="1">
      <alignment vertical="center"/>
    </xf>
    <xf numFmtId="3" fontId="1" fillId="6" borderId="72" xfId="3" applyNumberFormat="1" applyFont="1" applyFill="1" applyBorder="1" applyAlignment="1">
      <alignment vertical="center"/>
    </xf>
    <xf numFmtId="0" fontId="3" fillId="8" borderId="98" xfId="0" applyFont="1" applyFill="1" applyBorder="1" applyAlignment="1">
      <alignment vertical="center" wrapText="1"/>
    </xf>
    <xf numFmtId="0" fontId="6" fillId="8" borderId="59" xfId="0" applyFont="1" applyFill="1" applyBorder="1" applyAlignment="1">
      <alignment horizontal="center" vertical="center" wrapText="1"/>
    </xf>
    <xf numFmtId="0" fontId="2" fillId="8" borderId="57" xfId="0" applyFont="1" applyFill="1" applyBorder="1" applyAlignment="1">
      <alignment vertical="top"/>
    </xf>
    <xf numFmtId="0" fontId="2" fillId="8" borderId="58" xfId="0" applyFont="1" applyFill="1" applyBorder="1" applyAlignment="1">
      <alignment vertical="top"/>
    </xf>
    <xf numFmtId="0" fontId="2" fillId="8" borderId="59" xfId="0" applyFont="1" applyFill="1" applyBorder="1" applyAlignment="1">
      <alignment vertical="top"/>
    </xf>
    <xf numFmtId="3" fontId="2" fillId="8" borderId="58" xfId="0" applyNumberFormat="1" applyFont="1" applyFill="1" applyBorder="1" applyAlignment="1">
      <alignment vertical="top"/>
    </xf>
    <xf numFmtId="0" fontId="5" fillId="8" borderId="60" xfId="0" applyFont="1" applyFill="1" applyBorder="1" applyAlignment="1">
      <alignment vertical="top"/>
    </xf>
    <xf numFmtId="0" fontId="3" fillId="4" borderId="66" xfId="2" applyFont="1" applyFill="1" applyBorder="1" applyAlignment="1">
      <alignment horizontal="left" vertical="center"/>
    </xf>
    <xf numFmtId="165" fontId="3" fillId="4" borderId="62" xfId="2" applyNumberFormat="1" applyFont="1" applyFill="1" applyBorder="1" applyAlignment="1">
      <alignment horizontal="right"/>
    </xf>
    <xf numFmtId="3" fontId="40" fillId="2" borderId="66" xfId="2" applyNumberFormat="1" applyFont="1" applyFill="1" applyBorder="1" applyAlignment="1">
      <alignment vertical="top" wrapText="1"/>
    </xf>
    <xf numFmtId="3" fontId="2" fillId="0" borderId="102" xfId="0" applyNumberFormat="1" applyFont="1" applyFill="1" applyBorder="1" applyAlignment="1">
      <alignment vertical="top"/>
    </xf>
    <xf numFmtId="0" fontId="40" fillId="2" borderId="66" xfId="2" applyFont="1" applyFill="1" applyBorder="1" applyAlignment="1">
      <alignment vertical="top"/>
    </xf>
    <xf numFmtId="0" fontId="2" fillId="2" borderId="66" xfId="2" applyFont="1" applyFill="1" applyBorder="1" applyAlignment="1">
      <alignment vertical="top" wrapText="1"/>
    </xf>
    <xf numFmtId="3" fontId="40" fillId="2" borderId="102" xfId="2" applyNumberFormat="1" applyFont="1" applyFill="1" applyBorder="1" applyAlignment="1"/>
    <xf numFmtId="0" fontId="2" fillId="2" borderId="96" xfId="2" applyFont="1" applyFill="1" applyBorder="1" applyAlignment="1">
      <alignment vertical="top" wrapText="1"/>
    </xf>
    <xf numFmtId="3" fontId="2" fillId="0" borderId="85" xfId="2" applyNumberFormat="1" applyFont="1" applyFill="1" applyBorder="1" applyAlignment="1">
      <alignment horizontal="right" vertical="center"/>
    </xf>
    <xf numFmtId="3" fontId="2" fillId="0" borderId="103" xfId="0" applyNumberFormat="1" applyFont="1" applyFill="1" applyBorder="1" applyAlignment="1">
      <alignment vertical="top"/>
    </xf>
    <xf numFmtId="0" fontId="3" fillId="8" borderId="19" xfId="0" applyFont="1" applyFill="1" applyBorder="1" applyAlignment="1">
      <alignment vertical="center" wrapText="1"/>
    </xf>
    <xf numFmtId="0" fontId="3" fillId="4" borderId="71" xfId="2" applyFont="1" applyFill="1" applyBorder="1" applyAlignment="1">
      <alignment horizontal="left" vertical="center"/>
    </xf>
    <xf numFmtId="3" fontId="40" fillId="2" borderId="71" xfId="2" applyNumberFormat="1" applyFont="1" applyFill="1" applyBorder="1" applyAlignment="1">
      <alignment vertical="top" wrapText="1"/>
    </xf>
    <xf numFmtId="0" fontId="2" fillId="0" borderId="71" xfId="2" applyFont="1" applyFill="1" applyBorder="1" applyAlignment="1">
      <alignment vertical="top"/>
    </xf>
    <xf numFmtId="0" fontId="40" fillId="2" borderId="71" xfId="2" applyFont="1" applyFill="1" applyBorder="1" applyAlignment="1">
      <alignment vertical="top"/>
    </xf>
    <xf numFmtId="0" fontId="2" fillId="0" borderId="71" xfId="0" applyFont="1" applyFill="1" applyBorder="1" applyAlignment="1">
      <alignment horizontal="left" vertical="center" wrapText="1"/>
    </xf>
    <xf numFmtId="3" fontId="2" fillId="0" borderId="15" xfId="2" applyNumberFormat="1" applyFont="1" applyFill="1" applyBorder="1" applyAlignment="1">
      <alignment horizontal="left" vertical="center"/>
    </xf>
    <xf numFmtId="0" fontId="6" fillId="0" borderId="44" xfId="0" applyFont="1" applyBorder="1" applyAlignment="1">
      <alignment vertical="top"/>
    </xf>
    <xf numFmtId="3" fontId="3" fillId="9" borderId="38" xfId="2" applyNumberFormat="1" applyFont="1" applyFill="1" applyBorder="1" applyAlignment="1">
      <alignment horizontal="right" vertical="center"/>
    </xf>
    <xf numFmtId="43" fontId="18" fillId="4" borderId="38" xfId="1" applyFont="1" applyFill="1" applyBorder="1" applyAlignment="1">
      <alignment horizontal="right" vertical="center"/>
    </xf>
    <xf numFmtId="43" fontId="29" fillId="0" borderId="38" xfId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29" fillId="0" borderId="38" xfId="1" applyFont="1" applyFill="1" applyBorder="1" applyAlignment="1">
      <alignment vertical="center"/>
    </xf>
    <xf numFmtId="43" fontId="3" fillId="4" borderId="38" xfId="1" applyFont="1" applyFill="1" applyBorder="1" applyAlignment="1"/>
    <xf numFmtId="43" fontId="15" fillId="2" borderId="38" xfId="1" applyFont="1" applyFill="1" applyBorder="1" applyAlignment="1"/>
    <xf numFmtId="43" fontId="2" fillId="0" borderId="38" xfId="1" applyFont="1" applyFill="1" applyBorder="1" applyAlignment="1">
      <alignment horizontal="right"/>
    </xf>
    <xf numFmtId="0" fontId="5" fillId="0" borderId="40" xfId="0" applyFont="1" applyBorder="1" applyAlignment="1">
      <alignment vertical="top"/>
    </xf>
    <xf numFmtId="0" fontId="16" fillId="0" borderId="7" xfId="0" applyFont="1" applyBorder="1" applyAlignment="1">
      <alignment horizontal="center" vertical="top"/>
    </xf>
    <xf numFmtId="0" fontId="16" fillId="2" borderId="6" xfId="0" quotePrefix="1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 vertical="center"/>
    </xf>
    <xf numFmtId="0" fontId="16" fillId="2" borderId="6" xfId="0" quotePrefix="1" applyFont="1" applyFill="1" applyBorder="1" applyAlignment="1">
      <alignment horizontal="center" vertical="center"/>
    </xf>
    <xf numFmtId="3" fontId="15" fillId="2" borderId="30" xfId="0" quotePrefix="1" applyNumberFormat="1" applyFont="1" applyFill="1" applyBorder="1" applyAlignment="1">
      <alignment vertical="center"/>
    </xf>
    <xf numFmtId="3" fontId="15" fillId="2" borderId="56" xfId="0" quotePrefix="1" applyNumberFormat="1" applyFont="1" applyFill="1" applyBorder="1" applyAlignment="1">
      <alignment vertical="center"/>
    </xf>
    <xf numFmtId="165" fontId="40" fillId="0" borderId="106" xfId="2" applyNumberFormat="1" applyFont="1" applyFill="1" applyBorder="1" applyAlignment="1">
      <alignment horizontal="right" vertical="center"/>
    </xf>
    <xf numFmtId="3" fontId="3" fillId="4" borderId="40" xfId="2" applyNumberFormat="1" applyFont="1" applyFill="1" applyBorder="1" applyAlignment="1">
      <alignment horizontal="right" vertical="center"/>
    </xf>
    <xf numFmtId="3" fontId="3" fillId="4" borderId="81" xfId="2" applyNumberFormat="1" applyFont="1" applyFill="1" applyBorder="1" applyAlignment="1">
      <alignment horizontal="right" vertical="center"/>
    </xf>
    <xf numFmtId="165" fontId="3" fillId="4" borderId="60" xfId="0" applyNumberFormat="1" applyFont="1" applyFill="1" applyBorder="1" applyAlignment="1">
      <alignment vertical="center"/>
    </xf>
    <xf numFmtId="3" fontId="40" fillId="6" borderId="71" xfId="2" applyNumberFormat="1" applyFont="1" applyFill="1" applyBorder="1" applyAlignment="1">
      <alignment horizontal="right" vertical="center"/>
    </xf>
    <xf numFmtId="165" fontId="40" fillId="6" borderId="10" xfId="2" applyNumberFormat="1" applyFont="1" applyFill="1" applyBorder="1" applyAlignment="1">
      <alignment vertical="center"/>
    </xf>
    <xf numFmtId="3" fontId="40" fillId="6" borderId="77" xfId="2" applyNumberFormat="1" applyFont="1" applyFill="1" applyBorder="1" applyAlignment="1">
      <alignment horizontal="right" vertical="center"/>
    </xf>
    <xf numFmtId="3" fontId="40" fillId="6" borderId="80" xfId="2" applyNumberFormat="1" applyFont="1" applyFill="1" applyBorder="1" applyAlignment="1">
      <alignment horizontal="right" vertical="center"/>
    </xf>
    <xf numFmtId="3" fontId="2" fillId="6" borderId="63" xfId="2" applyNumberFormat="1" applyFont="1" applyFill="1" applyBorder="1" applyAlignment="1">
      <alignment horizontal="right" vertical="center"/>
    </xf>
    <xf numFmtId="165" fontId="2" fillId="6" borderId="64" xfId="2" applyNumberFormat="1" applyFont="1" applyFill="1" applyBorder="1" applyAlignment="1">
      <alignment horizontal="right" vertical="center"/>
    </xf>
    <xf numFmtId="165" fontId="40" fillId="6" borderId="94" xfId="2" applyNumberFormat="1" applyFont="1" applyFill="1" applyBorder="1" applyAlignment="1">
      <alignment horizontal="right" vertical="center"/>
    </xf>
    <xf numFmtId="0" fontId="2" fillId="6" borderId="8" xfId="2" applyFont="1" applyFill="1" applyBorder="1" applyAlignment="1">
      <alignment vertical="top" wrapText="1"/>
    </xf>
    <xf numFmtId="165" fontId="1" fillId="6" borderId="64" xfId="3" applyNumberFormat="1" applyFont="1" applyFill="1" applyBorder="1" applyAlignment="1">
      <alignment vertical="center"/>
    </xf>
    <xf numFmtId="3" fontId="3" fillId="4" borderId="95" xfId="2" applyNumberFormat="1" applyFont="1" applyFill="1" applyBorder="1" applyAlignment="1">
      <alignment horizontal="right" vertical="center"/>
    </xf>
    <xf numFmtId="3" fontId="29" fillId="6" borderId="71" xfId="3" applyNumberFormat="1" applyFont="1" applyFill="1" applyBorder="1" applyAlignment="1">
      <alignment vertical="center"/>
    </xf>
    <xf numFmtId="165" fontId="29" fillId="6" borderId="64" xfId="3" applyNumberFormat="1" applyFont="1" applyFill="1" applyBorder="1" applyAlignment="1">
      <alignment vertical="center"/>
    </xf>
    <xf numFmtId="3" fontId="1" fillId="6" borderId="117" xfId="3" applyNumberFormat="1" applyFont="1" applyFill="1" applyBorder="1" applyAlignment="1">
      <alignment vertical="center"/>
    </xf>
    <xf numFmtId="3" fontId="1" fillId="6" borderId="93" xfId="3" applyNumberFormat="1" applyFont="1" applyFill="1" applyBorder="1" applyAlignment="1">
      <alignment vertical="center"/>
    </xf>
    <xf numFmtId="165" fontId="1" fillId="6" borderId="91" xfId="3" applyNumberFormat="1" applyFont="1" applyFill="1" applyBorder="1" applyAlignment="1">
      <alignment vertical="center"/>
    </xf>
    <xf numFmtId="3" fontId="1" fillId="6" borderId="91" xfId="3" applyNumberFormat="1" applyFont="1" applyFill="1" applyBorder="1" applyAlignment="1">
      <alignment vertical="center"/>
    </xf>
    <xf numFmtId="0" fontId="3" fillId="8" borderId="58" xfId="0" applyFont="1" applyFill="1" applyBorder="1" applyAlignment="1">
      <alignment vertical="center" wrapText="1"/>
    </xf>
    <xf numFmtId="0" fontId="2" fillId="8" borderId="98" xfId="0" applyFont="1" applyFill="1" applyBorder="1" applyAlignment="1">
      <alignment vertical="top"/>
    </xf>
    <xf numFmtId="0" fontId="2" fillId="8" borderId="60" xfId="0" applyFont="1" applyFill="1" applyBorder="1" applyAlignment="1">
      <alignment vertical="top"/>
    </xf>
    <xf numFmtId="3" fontId="2" fillId="0" borderId="66" xfId="0" applyNumberFormat="1" applyFont="1" applyFill="1" applyBorder="1" applyAlignment="1">
      <alignment vertical="top"/>
    </xf>
    <xf numFmtId="0" fontId="2" fillId="2" borderId="68" xfId="2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2" borderId="73" xfId="2" applyFont="1" applyFill="1" applyBorder="1" applyAlignment="1">
      <alignment vertical="top" wrapText="1"/>
    </xf>
    <xf numFmtId="3" fontId="1" fillId="0" borderId="75" xfId="3" applyNumberFormat="1" applyFont="1" applyFill="1" applyBorder="1" applyAlignment="1">
      <alignment vertical="center"/>
    </xf>
    <xf numFmtId="43" fontId="2" fillId="0" borderId="73" xfId="1" applyFont="1" applyFill="1" applyBorder="1" applyAlignment="1">
      <alignment horizontal="right" vertical="center"/>
    </xf>
    <xf numFmtId="3" fontId="2" fillId="0" borderId="73" xfId="2" applyNumberFormat="1" applyFont="1" applyFill="1" applyBorder="1" applyAlignment="1">
      <alignment horizontal="right" vertical="center"/>
    </xf>
    <xf numFmtId="3" fontId="2" fillId="0" borderId="76" xfId="2" applyNumberFormat="1" applyFont="1" applyFill="1" applyBorder="1" applyAlignment="1">
      <alignment horizontal="right" vertical="center"/>
    </xf>
    <xf numFmtId="3" fontId="2" fillId="0" borderId="74" xfId="2" applyNumberFormat="1" applyFont="1" applyFill="1" applyBorder="1" applyAlignment="1">
      <alignment horizontal="right" vertical="center"/>
    </xf>
    <xf numFmtId="3" fontId="2" fillId="0" borderId="143" xfId="0" applyNumberFormat="1" applyFont="1" applyFill="1" applyBorder="1" applyAlignment="1">
      <alignment vertical="top"/>
    </xf>
    <xf numFmtId="3" fontId="2" fillId="2" borderId="73" xfId="2" applyNumberFormat="1" applyFont="1" applyFill="1" applyBorder="1" applyAlignment="1">
      <alignment horizontal="right" vertical="center"/>
    </xf>
    <xf numFmtId="0" fontId="3" fillId="8" borderId="77" xfId="0" applyFont="1" applyFill="1" applyBorder="1" applyAlignment="1">
      <alignment vertical="center" wrapText="1"/>
    </xf>
    <xf numFmtId="0" fontId="6" fillId="8" borderId="80" xfId="0" applyFont="1" applyFill="1" applyBorder="1" applyAlignment="1">
      <alignment horizontal="center" vertical="center" wrapText="1"/>
    </xf>
    <xf numFmtId="0" fontId="2" fillId="8" borderId="79" xfId="0" applyFont="1" applyFill="1" applyBorder="1" applyAlignment="1">
      <alignment vertical="top"/>
    </xf>
    <xf numFmtId="0" fontId="2" fillId="8" borderId="77" xfId="0" applyFont="1" applyFill="1" applyBorder="1" applyAlignment="1">
      <alignment vertical="top"/>
    </xf>
    <xf numFmtId="0" fontId="2" fillId="8" borderId="78" xfId="0" applyFont="1" applyFill="1" applyBorder="1" applyAlignment="1">
      <alignment vertical="top"/>
    </xf>
    <xf numFmtId="165" fontId="2" fillId="8" borderId="77" xfId="0" applyNumberFormat="1" applyFont="1" applyFill="1" applyBorder="1" applyAlignment="1">
      <alignment vertical="top"/>
    </xf>
    <xf numFmtId="3" fontId="2" fillId="8" borderId="77" xfId="0" applyNumberFormat="1" applyFont="1" applyFill="1" applyBorder="1" applyAlignment="1">
      <alignment vertical="top"/>
    </xf>
    <xf numFmtId="3" fontId="2" fillId="8" borderId="60" xfId="0" applyNumberFormat="1" applyFont="1" applyFill="1" applyBorder="1" applyAlignment="1">
      <alignment vertical="top"/>
    </xf>
    <xf numFmtId="3" fontId="3" fillId="4" borderId="63" xfId="0" applyNumberFormat="1" applyFont="1" applyFill="1" applyBorder="1" applyAlignment="1">
      <alignment vertical="top"/>
    </xf>
    <xf numFmtId="43" fontId="3" fillId="0" borderId="62" xfId="1" applyFont="1" applyFill="1" applyBorder="1" applyAlignment="1">
      <alignment vertical="top"/>
    </xf>
    <xf numFmtId="3" fontId="3" fillId="0" borderId="63" xfId="0" applyNumberFormat="1" applyFont="1" applyFill="1" applyBorder="1" applyAlignment="1">
      <alignment vertical="top"/>
    </xf>
    <xf numFmtId="3" fontId="3" fillId="0" borderId="64" xfId="0" applyNumberFormat="1" applyFont="1" applyFill="1" applyBorder="1" applyAlignment="1">
      <alignment vertical="top"/>
    </xf>
    <xf numFmtId="0" fontId="2" fillId="0" borderId="64" xfId="0" applyFont="1" applyFill="1" applyBorder="1" applyAlignment="1">
      <alignment vertical="center"/>
    </xf>
    <xf numFmtId="3" fontId="2" fillId="0" borderId="63" xfId="0" applyNumberFormat="1" applyFont="1" applyFill="1" applyBorder="1" applyAlignment="1">
      <alignment vertical="top"/>
    </xf>
    <xf numFmtId="165" fontId="2" fillId="0" borderId="62" xfId="0" applyNumberFormat="1" applyFont="1" applyFill="1" applyBorder="1" applyAlignment="1">
      <alignment vertical="top"/>
    </xf>
    <xf numFmtId="3" fontId="3" fillId="4" borderId="65" xfId="0" applyNumberFormat="1" applyFont="1" applyFill="1" applyBorder="1" applyAlignment="1">
      <alignment vertical="top"/>
    </xf>
    <xf numFmtId="3" fontId="3" fillId="0" borderId="65" xfId="0" applyNumberFormat="1" applyFont="1" applyFill="1" applyBorder="1" applyAlignment="1">
      <alignment vertical="top"/>
    </xf>
    <xf numFmtId="0" fontId="2" fillId="0" borderId="62" xfId="0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top"/>
    </xf>
    <xf numFmtId="43" fontId="6" fillId="4" borderId="62" xfId="1" applyFont="1" applyFill="1" applyBorder="1" applyAlignment="1"/>
    <xf numFmtId="3" fontId="6" fillId="4" borderId="65" xfId="2" applyNumberFormat="1" applyFont="1" applyFill="1" applyBorder="1" applyAlignment="1"/>
    <xf numFmtId="0" fontId="4" fillId="2" borderId="70" xfId="2" applyFont="1" applyFill="1" applyBorder="1" applyAlignment="1">
      <alignment vertical="top" wrapText="1"/>
    </xf>
    <xf numFmtId="43" fontId="5" fillId="0" borderId="13" xfId="1" applyFont="1" applyFill="1" applyBorder="1" applyAlignment="1">
      <alignment horizontal="right" vertical="center"/>
    </xf>
    <xf numFmtId="3" fontId="5" fillId="0" borderId="13" xfId="2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vertical="top"/>
    </xf>
    <xf numFmtId="3" fontId="5" fillId="0" borderId="69" xfId="2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3" fontId="1" fillId="0" borderId="19" xfId="3" applyNumberFormat="1" applyFont="1" applyFill="1" applyBorder="1" applyAlignment="1">
      <alignment vertical="center"/>
    </xf>
    <xf numFmtId="43" fontId="5" fillId="0" borderId="19" xfId="1" applyFont="1" applyFill="1" applyBorder="1" applyAlignment="1">
      <alignment horizontal="right" vertical="center"/>
    </xf>
    <xf numFmtId="3" fontId="5" fillId="0" borderId="19" xfId="2" applyNumberFormat="1" applyFont="1" applyFill="1" applyBorder="1" applyAlignment="1">
      <alignment horizontal="right" vertical="center"/>
    </xf>
    <xf numFmtId="3" fontId="2" fillId="0" borderId="19" xfId="0" applyNumberFormat="1" applyFont="1" applyFill="1" applyBorder="1" applyAlignment="1">
      <alignment vertical="top"/>
    </xf>
    <xf numFmtId="165" fontId="2" fillId="0" borderId="19" xfId="0" applyNumberFormat="1" applyFont="1" applyFill="1" applyBorder="1" applyAlignment="1">
      <alignment vertical="top"/>
    </xf>
    <xf numFmtId="3" fontId="2" fillId="0" borderId="19" xfId="2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 wrapText="1"/>
    </xf>
    <xf numFmtId="0" fontId="42" fillId="16" borderId="0" xfId="0" applyFont="1" applyFill="1" applyBorder="1" applyAlignment="1">
      <alignment vertical="top"/>
    </xf>
    <xf numFmtId="0" fontId="38" fillId="16" borderId="0" xfId="0" applyFont="1" applyFill="1" applyBorder="1" applyAlignment="1">
      <alignment horizontal="center" vertical="center" wrapText="1"/>
    </xf>
    <xf numFmtId="3" fontId="42" fillId="16" borderId="0" xfId="0" applyNumberFormat="1" applyFont="1" applyFill="1" applyBorder="1" applyAlignment="1">
      <alignment vertical="top"/>
    </xf>
    <xf numFmtId="43" fontId="42" fillId="16" borderId="0" xfId="1" applyFont="1" applyFill="1" applyBorder="1" applyAlignment="1">
      <alignment vertical="top"/>
    </xf>
    <xf numFmtId="3" fontId="4" fillId="16" borderId="0" xfId="0" applyNumberFormat="1" applyFont="1" applyFill="1" applyBorder="1" applyAlignment="1">
      <alignment vertical="top"/>
    </xf>
    <xf numFmtId="0" fontId="2" fillId="16" borderId="0" xfId="0" applyFont="1" applyFill="1" applyBorder="1" applyAlignment="1">
      <alignment vertical="top"/>
    </xf>
    <xf numFmtId="165" fontId="2" fillId="16" borderId="0" xfId="0" applyNumberFormat="1" applyFont="1" applyFill="1" applyBorder="1" applyAlignment="1">
      <alignment vertical="top"/>
    </xf>
    <xf numFmtId="43" fontId="2" fillId="16" borderId="0" xfId="1" applyFont="1" applyFill="1" applyBorder="1" applyAlignment="1">
      <alignment vertical="top"/>
    </xf>
    <xf numFmtId="3" fontId="5" fillId="16" borderId="0" xfId="2" applyNumberFormat="1" applyFont="1" applyFill="1" applyBorder="1" applyAlignment="1">
      <alignment horizontal="right" vertical="center"/>
    </xf>
    <xf numFmtId="0" fontId="5" fillId="16" borderId="0" xfId="0" applyFont="1" applyFill="1" applyBorder="1" applyAlignment="1">
      <alignment horizontal="center" vertical="center" wrapText="1"/>
    </xf>
    <xf numFmtId="165" fontId="40" fillId="0" borderId="108" xfId="2" applyNumberFormat="1" applyFont="1" applyFill="1" applyBorder="1" applyAlignment="1">
      <alignment horizontal="center" vertical="center"/>
    </xf>
    <xf numFmtId="165" fontId="40" fillId="0" borderId="111" xfId="2" applyNumberFormat="1" applyFont="1" applyFill="1" applyBorder="1" applyAlignment="1">
      <alignment horizontal="center" vertical="center"/>
    </xf>
    <xf numFmtId="165" fontId="40" fillId="0" borderId="33" xfId="2" applyNumberFormat="1" applyFont="1" applyFill="1" applyBorder="1" applyAlignment="1">
      <alignment horizontal="center" vertical="center"/>
    </xf>
    <xf numFmtId="3" fontId="3" fillId="4" borderId="19" xfId="2" applyNumberFormat="1" applyFont="1" applyFill="1" applyBorder="1" applyAlignment="1">
      <alignment horizontal="right" vertical="center"/>
    </xf>
    <xf numFmtId="3" fontId="3" fillId="4" borderId="104" xfId="2" applyNumberFormat="1" applyFont="1" applyFill="1" applyBorder="1" applyAlignment="1">
      <alignment horizontal="right" vertical="center"/>
    </xf>
    <xf numFmtId="165" fontId="3" fillId="4" borderId="58" xfId="0" applyNumberFormat="1" applyFont="1" applyFill="1" applyBorder="1" applyAlignment="1">
      <alignment horizontal="center" vertical="center"/>
    </xf>
    <xf numFmtId="3" fontId="40" fillId="6" borderId="102" xfId="2" applyNumberFormat="1" applyFont="1" applyFill="1" applyBorder="1" applyAlignment="1">
      <alignment horizontal="right" vertical="center"/>
    </xf>
    <xf numFmtId="3" fontId="40" fillId="6" borderId="129" xfId="2" applyNumberFormat="1" applyFont="1" applyFill="1" applyBorder="1" applyAlignment="1">
      <alignment horizontal="right" vertical="center"/>
    </xf>
    <xf numFmtId="165" fontId="40" fillId="6" borderId="8" xfId="2" applyNumberFormat="1" applyFont="1" applyFill="1" applyBorder="1" applyAlignment="1">
      <alignment horizontal="center" vertical="center"/>
    </xf>
    <xf numFmtId="3" fontId="2" fillId="6" borderId="102" xfId="2" applyNumberFormat="1" applyFont="1" applyFill="1" applyBorder="1" applyAlignment="1">
      <alignment horizontal="right" vertical="center"/>
    </xf>
    <xf numFmtId="165" fontId="2" fillId="6" borderId="62" xfId="2" applyNumberFormat="1" applyFont="1" applyFill="1" applyBorder="1" applyAlignment="1">
      <alignment horizontal="center" vertical="center"/>
    </xf>
    <xf numFmtId="0" fontId="3" fillId="8" borderId="101" xfId="0" applyFont="1" applyFill="1" applyBorder="1" applyAlignment="1">
      <alignment vertical="center" wrapText="1"/>
    </xf>
    <xf numFmtId="0" fontId="2" fillId="8" borderId="104" xfId="0" applyFont="1" applyFill="1" applyBorder="1" applyAlignment="1">
      <alignment vertical="top"/>
    </xf>
    <xf numFmtId="165" fontId="3" fillId="4" borderId="62" xfId="0" applyNumberFormat="1" applyFont="1" applyFill="1" applyBorder="1" applyAlignment="1">
      <alignment horizontal="center" vertical="top"/>
    </xf>
    <xf numFmtId="165" fontId="3" fillId="0" borderId="62" xfId="0" applyNumberFormat="1" applyFont="1" applyFill="1" applyBorder="1" applyAlignment="1">
      <alignment horizontal="center" vertical="top"/>
    </xf>
    <xf numFmtId="3" fontId="3" fillId="0" borderId="102" xfId="0" applyNumberFormat="1" applyFont="1" applyFill="1" applyBorder="1" applyAlignment="1">
      <alignment vertical="top"/>
    </xf>
    <xf numFmtId="3" fontId="2" fillId="0" borderId="85" xfId="0" applyNumberFormat="1" applyFont="1" applyFill="1" applyBorder="1" applyAlignment="1">
      <alignment vertical="top"/>
    </xf>
    <xf numFmtId="165" fontId="2" fillId="0" borderId="68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vertical="top" wrapText="1"/>
    </xf>
    <xf numFmtId="43" fontId="8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center"/>
    </xf>
    <xf numFmtId="165" fontId="5" fillId="2" borderId="0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vertical="top"/>
    </xf>
    <xf numFmtId="0" fontId="5" fillId="0" borderId="129" xfId="0" applyFont="1" applyBorder="1" applyAlignment="1">
      <alignment vertical="top"/>
    </xf>
    <xf numFmtId="0" fontId="5" fillId="0" borderId="84" xfId="0" applyFont="1" applyBorder="1" applyAlignment="1">
      <alignment horizontal="center" vertical="top" wrapText="1"/>
    </xf>
    <xf numFmtId="3" fontId="15" fillId="2" borderId="29" xfId="0" quotePrefix="1" applyNumberFormat="1" applyFont="1" applyFill="1" applyBorder="1" applyAlignment="1">
      <alignment vertical="center"/>
    </xf>
    <xf numFmtId="3" fontId="15" fillId="2" borderId="4" xfId="0" quotePrefix="1" applyNumberFormat="1" applyFont="1" applyFill="1" applyBorder="1" applyAlignment="1">
      <alignment vertical="center"/>
    </xf>
    <xf numFmtId="3" fontId="15" fillId="2" borderId="127" xfId="0" quotePrefix="1" applyNumberFormat="1" applyFont="1" applyFill="1" applyBorder="1" applyAlignment="1">
      <alignment vertical="center"/>
    </xf>
    <xf numFmtId="3" fontId="15" fillId="2" borderId="21" xfId="0" quotePrefix="1" applyNumberFormat="1" applyFont="1" applyFill="1" applyBorder="1" applyAlignment="1">
      <alignment vertical="center"/>
    </xf>
    <xf numFmtId="165" fontId="15" fillId="0" borderId="23" xfId="2" applyNumberFormat="1" applyFont="1" applyFill="1" applyBorder="1" applyAlignment="1">
      <alignment horizontal="right" vertical="center"/>
    </xf>
    <xf numFmtId="165" fontId="15" fillId="0" borderId="55" xfId="2" applyNumberFormat="1" applyFont="1" applyFill="1" applyBorder="1" applyAlignment="1">
      <alignment horizontal="right" vertical="center"/>
    </xf>
    <xf numFmtId="3" fontId="9" fillId="0" borderId="24" xfId="0" applyNumberFormat="1" applyFont="1" applyFill="1" applyBorder="1" applyAlignment="1">
      <alignment vertical="center" wrapText="1"/>
    </xf>
    <xf numFmtId="3" fontId="25" fillId="0" borderId="24" xfId="0" applyNumberFormat="1" applyFont="1" applyFill="1" applyBorder="1" applyAlignment="1">
      <alignment vertical="center" wrapText="1"/>
    </xf>
    <xf numFmtId="43" fontId="9" fillId="0" borderId="21" xfId="1" applyFont="1" applyFill="1" applyBorder="1" applyAlignment="1">
      <alignment vertical="center" wrapText="1"/>
    </xf>
    <xf numFmtId="43" fontId="9" fillId="0" borderId="4" xfId="1" applyFont="1" applyFill="1" applyBorder="1" applyAlignment="1">
      <alignment vertical="center" wrapText="1"/>
    </xf>
    <xf numFmtId="3" fontId="15" fillId="2" borderId="12" xfId="0" quotePrefix="1" applyNumberFormat="1" applyFont="1" applyFill="1" applyBorder="1" applyAlignment="1">
      <alignment vertical="center"/>
    </xf>
    <xf numFmtId="3" fontId="15" fillId="2" borderId="92" xfId="0" quotePrefix="1" applyNumberFormat="1" applyFont="1" applyFill="1" applyBorder="1" applyAlignment="1">
      <alignment vertical="center"/>
    </xf>
    <xf numFmtId="165" fontId="15" fillId="0" borderId="13" xfId="2" applyNumberFormat="1" applyFont="1" applyFill="1" applyBorder="1" applyAlignment="1">
      <alignment horizontal="right" vertical="center"/>
    </xf>
    <xf numFmtId="165" fontId="15" fillId="0" borderId="31" xfId="2" applyNumberFormat="1" applyFont="1" applyFill="1" applyBorder="1" applyAlignment="1">
      <alignment horizontal="right" vertical="center"/>
    </xf>
    <xf numFmtId="3" fontId="15" fillId="2" borderId="42" xfId="0" quotePrefix="1" applyNumberFormat="1" applyFont="1" applyFill="1" applyBorder="1" applyAlignment="1">
      <alignment vertical="center"/>
    </xf>
    <xf numFmtId="3" fontId="12" fillId="8" borderId="13" xfId="0" applyNumberFormat="1" applyFont="1" applyFill="1" applyBorder="1" applyAlignment="1">
      <alignment vertical="center" wrapText="1"/>
    </xf>
    <xf numFmtId="164" fontId="12" fillId="8" borderId="13" xfId="0" applyNumberFormat="1" applyFont="1" applyFill="1" applyBorder="1" applyAlignment="1">
      <alignment vertical="center" wrapText="1"/>
    </xf>
    <xf numFmtId="164" fontId="12" fillId="8" borderId="31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23" fillId="2" borderId="28" xfId="0" quotePrefix="1" applyNumberFormat="1" applyFont="1" applyFill="1" applyBorder="1" applyAlignment="1">
      <alignment vertical="center"/>
    </xf>
    <xf numFmtId="3" fontId="23" fillId="2" borderId="27" xfId="0" quotePrefix="1" applyNumberFormat="1" applyFont="1" applyFill="1" applyBorder="1" applyAlignment="1">
      <alignment vertical="center"/>
    </xf>
    <xf numFmtId="3" fontId="15" fillId="23" borderId="33" xfId="0" quotePrefix="1" applyNumberFormat="1" applyFont="1" applyFill="1" applyBorder="1" applyAlignment="1">
      <alignment vertical="center"/>
    </xf>
    <xf numFmtId="3" fontId="22" fillId="23" borderId="106" xfId="0" quotePrefix="1" applyNumberFormat="1" applyFont="1" applyFill="1" applyBorder="1" applyAlignment="1">
      <alignment vertical="center"/>
    </xf>
    <xf numFmtId="0" fontId="23" fillId="23" borderId="133" xfId="0" applyFont="1" applyFill="1" applyBorder="1" applyAlignment="1">
      <alignment horizontal="left" vertical="center"/>
    </xf>
    <xf numFmtId="3" fontId="9" fillId="5" borderId="0" xfId="0" applyNumberFormat="1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vertical="center" wrapText="1"/>
    </xf>
    <xf numFmtId="164" fontId="12" fillId="7" borderId="36" xfId="0" applyNumberFormat="1" applyFont="1" applyFill="1" applyBorder="1" applyAlignment="1">
      <alignment vertical="center" wrapText="1"/>
    </xf>
    <xf numFmtId="3" fontId="12" fillId="7" borderId="11" xfId="0" applyNumberFormat="1" applyFont="1" applyFill="1" applyBorder="1" applyAlignment="1">
      <alignment vertical="center" wrapText="1"/>
    </xf>
    <xf numFmtId="43" fontId="25" fillId="0" borderId="21" xfId="1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left" vertical="center" wrapText="1"/>
    </xf>
    <xf numFmtId="0" fontId="22" fillId="23" borderId="106" xfId="0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vertical="center" wrapText="1"/>
    </xf>
    <xf numFmtId="3" fontId="15" fillId="0" borderId="35" xfId="0" applyNumberFormat="1" applyFont="1" applyFill="1" applyBorder="1" applyAlignment="1">
      <alignment vertical="center" wrapText="1"/>
    </xf>
    <xf numFmtId="3" fontId="12" fillId="8" borderId="35" xfId="0" applyNumberFormat="1" applyFont="1" applyFill="1" applyBorder="1" applyAlignment="1">
      <alignment vertical="center" wrapText="1"/>
    </xf>
    <xf numFmtId="3" fontId="12" fillId="8" borderId="48" xfId="0" applyNumberFormat="1" applyFont="1" applyFill="1" applyBorder="1" applyAlignment="1">
      <alignment vertical="center" wrapText="1"/>
    </xf>
    <xf numFmtId="3" fontId="23" fillId="2" borderId="30" xfId="0" quotePrefix="1" applyNumberFormat="1" applyFont="1" applyFill="1" applyBorder="1" applyAlignment="1">
      <alignment vertical="center"/>
    </xf>
    <xf numFmtId="3" fontId="22" fillId="23" borderId="32" xfId="0" quotePrefix="1" applyNumberFormat="1" applyFont="1" applyFill="1" applyBorder="1" applyAlignment="1">
      <alignment vertical="center"/>
    </xf>
    <xf numFmtId="3" fontId="22" fillId="23" borderId="126" xfId="0" quotePrefix="1" applyNumberFormat="1" applyFont="1" applyFill="1" applyBorder="1" applyAlignment="1">
      <alignment vertical="center"/>
    </xf>
    <xf numFmtId="3" fontId="23" fillId="2" borderId="116" xfId="0" quotePrefix="1" applyNumberFormat="1" applyFont="1" applyFill="1" applyBorder="1" applyAlignment="1">
      <alignment vertical="center"/>
    </xf>
    <xf numFmtId="3" fontId="22" fillId="23" borderId="33" xfId="0" quotePrefix="1" applyNumberFormat="1" applyFont="1" applyFill="1" applyBorder="1" applyAlignment="1">
      <alignment vertical="center"/>
    </xf>
    <xf numFmtId="164" fontId="23" fillId="16" borderId="51" xfId="0" applyNumberFormat="1" applyFont="1" applyFill="1" applyBorder="1" applyAlignment="1">
      <alignment vertical="center" wrapText="1"/>
    </xf>
    <xf numFmtId="164" fontId="23" fillId="16" borderId="4" xfId="0" applyNumberFormat="1" applyFont="1" applyFill="1" applyBorder="1" applyAlignment="1">
      <alignment vertical="center" wrapText="1"/>
    </xf>
    <xf numFmtId="164" fontId="22" fillId="23" borderId="13" xfId="0" applyNumberFormat="1" applyFont="1" applyFill="1" applyBorder="1" applyAlignment="1">
      <alignment vertical="center" wrapText="1"/>
    </xf>
    <xf numFmtId="43" fontId="9" fillId="0" borderId="23" xfId="1" applyFont="1" applyFill="1" applyBorder="1" applyAlignment="1">
      <alignment vertical="center" wrapText="1"/>
    </xf>
    <xf numFmtId="3" fontId="23" fillId="2" borderId="26" xfId="0" quotePrefix="1" applyNumberFormat="1" applyFont="1" applyFill="1" applyBorder="1" applyAlignment="1">
      <alignment vertical="center"/>
    </xf>
    <xf numFmtId="164" fontId="23" fillId="16" borderId="28" xfId="0" applyNumberFormat="1" applyFont="1" applyFill="1" applyBorder="1" applyAlignment="1">
      <alignment vertical="center" wrapText="1"/>
    </xf>
    <xf numFmtId="164" fontId="22" fillId="23" borderId="33" xfId="0" applyNumberFormat="1" applyFont="1" applyFill="1" applyBorder="1" applyAlignment="1">
      <alignment vertical="center" wrapText="1"/>
    </xf>
    <xf numFmtId="164" fontId="12" fillId="7" borderId="15" xfId="0" applyNumberFormat="1" applyFont="1" applyFill="1" applyBorder="1" applyAlignment="1">
      <alignment vertical="center" wrapText="1"/>
    </xf>
    <xf numFmtId="3" fontId="12" fillId="8" borderId="11" xfId="0" applyNumberFormat="1" applyFont="1" applyFill="1" applyBorder="1" applyAlignment="1">
      <alignment vertical="center" wrapText="1"/>
    </xf>
    <xf numFmtId="164" fontId="22" fillId="23" borderId="15" xfId="0" applyNumberFormat="1" applyFont="1" applyFill="1" applyBorder="1" applyAlignment="1">
      <alignment vertical="center" wrapText="1"/>
    </xf>
    <xf numFmtId="164" fontId="23" fillId="16" borderId="116" xfId="0" applyNumberFormat="1" applyFont="1" applyFill="1" applyBorder="1" applyAlignment="1">
      <alignment vertical="center" wrapText="1"/>
    </xf>
    <xf numFmtId="164" fontId="23" fillId="16" borderId="23" xfId="0" applyNumberFormat="1" applyFont="1" applyFill="1" applyBorder="1" applyAlignment="1">
      <alignment vertical="center" wrapText="1"/>
    </xf>
    <xf numFmtId="3" fontId="4" fillId="0" borderId="92" xfId="0" applyNumberFormat="1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 wrapText="1"/>
    </xf>
    <xf numFmtId="3" fontId="15" fillId="6" borderId="30" xfId="0" applyNumberFormat="1" applyFont="1" applyFill="1" applyBorder="1" applyAlignment="1">
      <alignment vertical="center" wrapText="1"/>
    </xf>
    <xf numFmtId="3" fontId="15" fillId="6" borderId="28" xfId="0" applyNumberFormat="1" applyFont="1" applyFill="1" applyBorder="1" applyAlignment="1">
      <alignment vertical="center" wrapText="1"/>
    </xf>
    <xf numFmtId="3" fontId="15" fillId="6" borderId="1" xfId="0" applyNumberFormat="1" applyFont="1" applyFill="1" applyBorder="1" applyAlignment="1">
      <alignment vertical="center" wrapText="1"/>
    </xf>
    <xf numFmtId="3" fontId="15" fillId="6" borderId="89" xfId="0" applyNumberFormat="1" applyFont="1" applyFill="1" applyBorder="1" applyAlignment="1">
      <alignment vertical="center" wrapText="1"/>
    </xf>
    <xf numFmtId="0" fontId="22" fillId="4" borderId="89" xfId="2" applyFont="1" applyFill="1" applyBorder="1" applyAlignment="1">
      <alignment vertical="center"/>
    </xf>
    <xf numFmtId="0" fontId="15" fillId="6" borderId="86" xfId="2" applyFont="1" applyFill="1" applyBorder="1" applyAlignment="1">
      <alignment vertical="center"/>
    </xf>
    <xf numFmtId="3" fontId="15" fillId="6" borderId="86" xfId="0" applyNumberFormat="1" applyFont="1" applyFill="1" applyBorder="1" applyAlignment="1">
      <alignment horizontal="right" vertical="center" wrapText="1"/>
    </xf>
    <xf numFmtId="3" fontId="15" fillId="6" borderId="77" xfId="0" applyNumberFormat="1" applyFont="1" applyFill="1" applyBorder="1" applyAlignment="1">
      <alignment horizontal="right" vertical="center" wrapText="1"/>
    </xf>
    <xf numFmtId="3" fontId="15" fillId="6" borderId="129" xfId="0" applyNumberFormat="1" applyFont="1" applyFill="1" applyBorder="1" applyAlignment="1">
      <alignment horizontal="right" vertical="center" wrapText="1"/>
    </xf>
    <xf numFmtId="3" fontId="15" fillId="6" borderId="84" xfId="0" applyNumberFormat="1" applyFont="1" applyFill="1" applyBorder="1" applyAlignment="1">
      <alignment horizontal="right" vertical="center" wrapText="1"/>
    </xf>
    <xf numFmtId="164" fontId="15" fillId="6" borderId="77" xfId="0" applyNumberFormat="1" applyFont="1" applyFill="1" applyBorder="1" applyAlignment="1">
      <alignment horizontal="right" vertical="center" wrapText="1"/>
    </xf>
    <xf numFmtId="164" fontId="15" fillId="6" borderId="78" xfId="0" applyNumberFormat="1" applyFont="1" applyFill="1" applyBorder="1" applyAlignment="1">
      <alignment horizontal="right" vertical="center" wrapText="1"/>
    </xf>
    <xf numFmtId="3" fontId="15" fillId="6" borderId="78" xfId="0" applyNumberFormat="1" applyFont="1" applyFill="1" applyBorder="1" applyAlignment="1">
      <alignment horizontal="right" vertical="center" wrapText="1"/>
    </xf>
    <xf numFmtId="0" fontId="22" fillId="4" borderId="30" xfId="2" applyFont="1" applyFill="1" applyBorder="1" applyAlignment="1">
      <alignment vertical="center"/>
    </xf>
    <xf numFmtId="3" fontId="22" fillId="4" borderId="82" xfId="0" applyNumberFormat="1" applyFont="1" applyFill="1" applyBorder="1" applyAlignment="1">
      <alignment horizontal="right" vertical="center" wrapText="1"/>
    </xf>
    <xf numFmtId="3" fontId="22" fillId="4" borderId="73" xfId="0" applyNumberFormat="1" applyFont="1" applyFill="1" applyBorder="1" applyAlignment="1">
      <alignment horizontal="right" vertical="center" wrapText="1"/>
    </xf>
    <xf numFmtId="3" fontId="22" fillId="4" borderId="138" xfId="0" applyNumberFormat="1" applyFont="1" applyFill="1" applyBorder="1" applyAlignment="1">
      <alignment horizontal="right" vertical="center" wrapText="1"/>
    </xf>
    <xf numFmtId="3" fontId="22" fillId="4" borderId="137" xfId="0" applyNumberFormat="1" applyFont="1" applyFill="1" applyBorder="1" applyAlignment="1">
      <alignment horizontal="right" vertical="center" wrapText="1"/>
    </xf>
    <xf numFmtId="164" fontId="22" fillId="4" borderId="73" xfId="0" applyNumberFormat="1" applyFont="1" applyFill="1" applyBorder="1" applyAlignment="1">
      <alignment horizontal="right" vertical="center" wrapText="1"/>
    </xf>
    <xf numFmtId="164" fontId="22" fillId="4" borderId="74" xfId="0" applyNumberFormat="1" applyFont="1" applyFill="1" applyBorder="1" applyAlignment="1">
      <alignment horizontal="right" vertical="center" wrapText="1"/>
    </xf>
    <xf numFmtId="3" fontId="22" fillId="4" borderId="74" xfId="0" applyNumberFormat="1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3" fontId="4" fillId="0" borderId="48" xfId="0" applyNumberFormat="1" applyFont="1" applyFill="1" applyBorder="1" applyAlignment="1">
      <alignment vertical="center" wrapText="1"/>
    </xf>
    <xf numFmtId="3" fontId="4" fillId="2" borderId="13" xfId="0" applyNumberFormat="1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3" fontId="4" fillId="2" borderId="92" xfId="0" applyNumberFormat="1" applyFont="1" applyFill="1" applyBorder="1" applyAlignment="1">
      <alignment vertical="center" wrapText="1"/>
    </xf>
    <xf numFmtId="3" fontId="4" fillId="2" borderId="38" xfId="0" applyNumberFormat="1" applyFont="1" applyFill="1" applyBorder="1" applyAlignment="1">
      <alignment vertical="center" wrapText="1"/>
    </xf>
    <xf numFmtId="165" fontId="4" fillId="0" borderId="38" xfId="0" applyNumberFormat="1" applyFont="1" applyFill="1" applyBorder="1" applyAlignment="1">
      <alignment vertical="center" wrapText="1"/>
    </xf>
    <xf numFmtId="165" fontId="4" fillId="0" borderId="49" xfId="0" applyNumberFormat="1" applyFont="1" applyFill="1" applyBorder="1" applyAlignment="1">
      <alignment vertical="center" wrapText="1"/>
    </xf>
    <xf numFmtId="3" fontId="4" fillId="0" borderId="97" xfId="0" applyNumberFormat="1" applyFont="1" applyFill="1" applyBorder="1" applyAlignment="1">
      <alignment vertical="center" wrapText="1"/>
    </xf>
    <xf numFmtId="0" fontId="15" fillId="0" borderId="29" xfId="0" applyFont="1" applyBorder="1" applyAlignment="1">
      <alignment horizontal="left" vertical="top"/>
    </xf>
    <xf numFmtId="3" fontId="15" fillId="2" borderId="55" xfId="0" quotePrefix="1" applyNumberFormat="1" applyFont="1" applyFill="1" applyBorder="1" applyAlignment="1">
      <alignment vertical="center"/>
    </xf>
    <xf numFmtId="164" fontId="23" fillId="16" borderId="27" xfId="0" applyNumberFormat="1" applyFont="1" applyFill="1" applyBorder="1" applyAlignment="1">
      <alignment vertical="center" wrapText="1"/>
    </xf>
    <xf numFmtId="43" fontId="22" fillId="16" borderId="61" xfId="1" applyFont="1" applyFill="1" applyBorder="1" applyAlignment="1"/>
    <xf numFmtId="3" fontId="4" fillId="0" borderId="144" xfId="0" applyNumberFormat="1" applyFont="1" applyFill="1" applyBorder="1" applyAlignment="1">
      <alignment vertical="center" wrapText="1"/>
    </xf>
    <xf numFmtId="0" fontId="15" fillId="6" borderId="86" xfId="2" applyFont="1" applyFill="1" applyBorder="1" applyAlignment="1">
      <alignment vertical="center" wrapText="1"/>
    </xf>
    <xf numFmtId="3" fontId="15" fillId="6" borderId="86" xfId="0" applyNumberFormat="1" applyFont="1" applyFill="1" applyBorder="1" applyAlignment="1">
      <alignment vertical="center" wrapText="1"/>
    </xf>
    <xf numFmtId="3" fontId="15" fillId="6" borderId="77" xfId="0" applyNumberFormat="1" applyFont="1" applyFill="1" applyBorder="1" applyAlignment="1">
      <alignment vertical="center" wrapText="1"/>
    </xf>
    <xf numFmtId="3" fontId="15" fillId="6" borderId="129" xfId="0" applyNumberFormat="1" applyFont="1" applyFill="1" applyBorder="1" applyAlignment="1">
      <alignment vertical="center" wrapText="1"/>
    </xf>
    <xf numFmtId="3" fontId="15" fillId="6" borderId="79" xfId="0" applyNumberFormat="1" applyFont="1" applyFill="1" applyBorder="1" applyAlignment="1">
      <alignment vertical="center" wrapText="1"/>
    </xf>
    <xf numFmtId="3" fontId="15" fillId="6" borderId="78" xfId="0" applyNumberFormat="1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3" fontId="4" fillId="0" borderId="46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165" fontId="4" fillId="0" borderId="31" xfId="0" applyNumberFormat="1" applyFont="1" applyFill="1" applyBorder="1" applyAlignment="1">
      <alignment vertical="center" wrapText="1"/>
    </xf>
    <xf numFmtId="0" fontId="2" fillId="0" borderId="82" xfId="0" applyFont="1" applyFill="1" applyBorder="1" applyAlignment="1">
      <alignment vertical="center" wrapText="1"/>
    </xf>
    <xf numFmtId="3" fontId="2" fillId="0" borderId="82" xfId="0" applyNumberFormat="1" applyFont="1" applyFill="1" applyBorder="1" applyAlignment="1">
      <alignment vertical="center" wrapText="1"/>
    </xf>
    <xf numFmtId="3" fontId="2" fillId="0" borderId="73" xfId="0" applyNumberFormat="1" applyFont="1" applyFill="1" applyBorder="1" applyAlignment="1">
      <alignment vertical="center" wrapText="1"/>
    </xf>
    <xf numFmtId="3" fontId="2" fillId="0" borderId="138" xfId="0" applyNumberFormat="1" applyFont="1" applyFill="1" applyBorder="1" applyAlignment="1">
      <alignment vertical="center" wrapText="1"/>
    </xf>
    <xf numFmtId="43" fontId="2" fillId="0" borderId="76" xfId="1" applyFont="1" applyFill="1" applyBorder="1" applyAlignment="1">
      <alignment vertical="center" wrapText="1"/>
    </xf>
    <xf numFmtId="43" fontId="2" fillId="0" borderId="74" xfId="1" applyFont="1" applyFill="1" applyBorder="1" applyAlignment="1">
      <alignment vertical="center" wrapText="1"/>
    </xf>
    <xf numFmtId="3" fontId="2" fillId="0" borderId="137" xfId="0" applyNumberFormat="1" applyFont="1" applyFill="1" applyBorder="1" applyAlignment="1">
      <alignment vertical="center" wrapText="1"/>
    </xf>
    <xf numFmtId="3" fontId="4" fillId="0" borderId="22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9" fillId="0" borderId="30" xfId="0" applyFont="1" applyBorder="1" applyAlignment="1">
      <alignment horizontal="center"/>
    </xf>
    <xf numFmtId="0" fontId="9" fillId="0" borderId="28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28" xfId="0" quotePrefix="1" applyFont="1" applyFill="1" applyBorder="1" applyAlignment="1">
      <alignment horizontal="center"/>
    </xf>
    <xf numFmtId="0" fontId="9" fillId="0" borderId="89" xfId="0" quotePrefix="1" applyFont="1" applyBorder="1" applyAlignment="1">
      <alignment horizontal="center"/>
    </xf>
    <xf numFmtId="0" fontId="9" fillId="2" borderId="26" xfId="0" quotePrefix="1" applyFont="1" applyFill="1" applyBorder="1" applyAlignment="1">
      <alignment horizontal="center"/>
    </xf>
    <xf numFmtId="0" fontId="9" fillId="2" borderId="28" xfId="0" quotePrefix="1" applyFont="1" applyFill="1" applyBorder="1" applyAlignment="1">
      <alignment horizontal="center"/>
    </xf>
    <xf numFmtId="0" fontId="9" fillId="2" borderId="56" xfId="0" quotePrefix="1" applyFont="1" applyFill="1" applyBorder="1" applyAlignment="1">
      <alignment horizontal="center"/>
    </xf>
    <xf numFmtId="0" fontId="25" fillId="2" borderId="89" xfId="0" quotePrefix="1" applyFont="1" applyFill="1" applyBorder="1" applyAlignment="1">
      <alignment horizontal="center"/>
    </xf>
    <xf numFmtId="3" fontId="15" fillId="2" borderId="146" xfId="0" quotePrefix="1" applyNumberFormat="1" applyFont="1" applyFill="1" applyBorder="1" applyAlignment="1">
      <alignment vertical="center"/>
    </xf>
    <xf numFmtId="3" fontId="15" fillId="2" borderId="147" xfId="0" quotePrefix="1" applyNumberFormat="1" applyFont="1" applyFill="1" applyBorder="1" applyAlignment="1">
      <alignment vertical="center"/>
    </xf>
    <xf numFmtId="3" fontId="15" fillId="2" borderId="148" xfId="0" quotePrefix="1" applyNumberFormat="1" applyFont="1" applyFill="1" applyBorder="1" applyAlignment="1">
      <alignment vertical="center"/>
    </xf>
    <xf numFmtId="3" fontId="15" fillId="2" borderId="149" xfId="0" quotePrefix="1" applyNumberFormat="1" applyFont="1" applyFill="1" applyBorder="1" applyAlignment="1">
      <alignment vertical="center"/>
    </xf>
    <xf numFmtId="165" fontId="15" fillId="0" borderId="150" xfId="2" applyNumberFormat="1" applyFont="1" applyFill="1" applyBorder="1" applyAlignment="1">
      <alignment horizontal="right" vertical="center"/>
    </xf>
    <xf numFmtId="3" fontId="15" fillId="2" borderId="150" xfId="0" quotePrefix="1" applyNumberFormat="1" applyFont="1" applyFill="1" applyBorder="1" applyAlignment="1">
      <alignment vertical="center"/>
    </xf>
    <xf numFmtId="165" fontId="15" fillId="0" borderId="151" xfId="2" applyNumberFormat="1" applyFont="1" applyFill="1" applyBorder="1" applyAlignment="1">
      <alignment horizontal="right" vertical="center"/>
    </xf>
    <xf numFmtId="3" fontId="15" fillId="2" borderId="151" xfId="0" quotePrefix="1" applyNumberFormat="1" applyFont="1" applyFill="1" applyBorder="1" applyAlignment="1">
      <alignment vertical="center"/>
    </xf>
    <xf numFmtId="0" fontId="9" fillId="0" borderId="29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24" xfId="0" quotePrefix="1" applyFont="1" applyBorder="1" applyAlignment="1">
      <alignment horizontal="center"/>
    </xf>
    <xf numFmtId="0" fontId="9" fillId="0" borderId="4" xfId="0" quotePrefix="1" applyFont="1" applyFill="1" applyBorder="1" applyAlignment="1">
      <alignment horizontal="center"/>
    </xf>
    <xf numFmtId="0" fontId="9" fillId="0" borderId="127" xfId="0" quotePrefix="1" applyFont="1" applyBorder="1" applyAlignment="1">
      <alignment horizontal="center"/>
    </xf>
    <xf numFmtId="0" fontId="9" fillId="2" borderId="21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55" xfId="0" quotePrefix="1" applyFont="1" applyFill="1" applyBorder="1" applyAlignment="1">
      <alignment horizontal="center"/>
    </xf>
    <xf numFmtId="0" fontId="25" fillId="2" borderId="127" xfId="0" quotePrefix="1" applyFont="1" applyFill="1" applyBorder="1" applyAlignment="1">
      <alignment horizontal="center"/>
    </xf>
    <xf numFmtId="165" fontId="2" fillId="8" borderId="60" xfId="0" applyNumberFormat="1" applyFont="1" applyFill="1" applyBorder="1" applyAlignment="1">
      <alignment vertical="top"/>
    </xf>
    <xf numFmtId="165" fontId="3" fillId="4" borderId="64" xfId="0" applyNumberFormat="1" applyFont="1" applyFill="1" applyBorder="1" applyAlignment="1">
      <alignment vertical="top"/>
    </xf>
    <xf numFmtId="165" fontId="3" fillId="0" borderId="64" xfId="0" applyNumberFormat="1" applyFont="1" applyFill="1" applyBorder="1" applyAlignment="1">
      <alignment vertical="top"/>
    </xf>
    <xf numFmtId="165" fontId="2" fillId="0" borderId="64" xfId="0" applyNumberFormat="1" applyFont="1" applyFill="1" applyBorder="1" applyAlignment="1">
      <alignment vertical="top"/>
    </xf>
    <xf numFmtId="165" fontId="2" fillId="0" borderId="103" xfId="0" applyNumberFormat="1" applyFont="1" applyFill="1" applyBorder="1" applyAlignment="1">
      <alignment vertical="top"/>
    </xf>
    <xf numFmtId="165" fontId="3" fillId="4" borderId="64" xfId="0" applyNumberFormat="1" applyFont="1" applyFill="1" applyBorder="1" applyAlignment="1">
      <alignment horizontal="center" vertical="top"/>
    </xf>
    <xf numFmtId="165" fontId="3" fillId="0" borderId="64" xfId="0" applyNumberFormat="1" applyFont="1" applyFill="1" applyBorder="1" applyAlignment="1">
      <alignment horizontal="center" vertical="top"/>
    </xf>
    <xf numFmtId="165" fontId="2" fillId="0" borderId="103" xfId="0" applyNumberFormat="1" applyFont="1" applyFill="1" applyBorder="1" applyAlignment="1">
      <alignment horizontal="center" vertical="top"/>
    </xf>
    <xf numFmtId="3" fontId="22" fillId="4" borderId="71" xfId="0" applyNumberFormat="1" applyFont="1" applyFill="1" applyBorder="1" applyAlignment="1">
      <alignment vertical="center"/>
    </xf>
    <xf numFmtId="3" fontId="4" fillId="12" borderId="72" xfId="0" applyNumberFormat="1" applyFont="1" applyFill="1" applyBorder="1" applyAlignment="1">
      <alignment vertical="center"/>
    </xf>
    <xf numFmtId="3" fontId="3" fillId="13" borderId="98" xfId="0" applyNumberFormat="1" applyFont="1" applyFill="1" applyBorder="1" applyAlignment="1">
      <alignment vertical="center"/>
    </xf>
    <xf numFmtId="3" fontId="15" fillId="6" borderId="66" xfId="0" applyNumberFormat="1" applyFont="1" applyFill="1" applyBorder="1" applyAlignment="1">
      <alignment vertical="center"/>
    </xf>
    <xf numFmtId="3" fontId="4" fillId="12" borderId="66" xfId="0" applyNumberFormat="1" applyFont="1" applyFill="1" applyBorder="1" applyAlignment="1">
      <alignment vertical="center"/>
    </xf>
    <xf numFmtId="3" fontId="4" fillId="12" borderId="96" xfId="0" applyNumberFormat="1" applyFont="1" applyFill="1" applyBorder="1" applyAlignment="1">
      <alignment vertical="center"/>
    </xf>
    <xf numFmtId="0" fontId="8" fillId="17" borderId="6" xfId="0" applyFont="1" applyFill="1" applyBorder="1" applyAlignment="1">
      <alignment vertical="top" wrapText="1"/>
    </xf>
    <xf numFmtId="0" fontId="8" fillId="17" borderId="31" xfId="0" applyFont="1" applyFill="1" applyBorder="1" applyAlignment="1">
      <alignment vertical="top" wrapText="1"/>
    </xf>
    <xf numFmtId="3" fontId="5" fillId="22" borderId="81" xfId="2" applyNumberFormat="1" applyFont="1" applyFill="1" applyBorder="1" applyAlignment="1">
      <alignment vertical="top" wrapText="1"/>
    </xf>
    <xf numFmtId="3" fontId="5" fillId="22" borderId="6" xfId="2" applyNumberFormat="1" applyFont="1" applyFill="1" applyBorder="1" applyAlignment="1">
      <alignment vertical="top" wrapText="1"/>
    </xf>
    <xf numFmtId="3" fontId="5" fillId="22" borderId="31" xfId="2" applyNumberFormat="1" applyFont="1" applyFill="1" applyBorder="1" applyAlignment="1">
      <alignment vertical="top" wrapText="1"/>
    </xf>
    <xf numFmtId="0" fontId="3" fillId="15" borderId="60" xfId="2" applyFont="1" applyFill="1" applyBorder="1" applyAlignment="1">
      <alignment vertical="center" wrapText="1"/>
    </xf>
    <xf numFmtId="3" fontId="40" fillId="2" borderId="8" xfId="2" applyNumberFormat="1" applyFont="1" applyFill="1" applyBorder="1" applyAlignment="1">
      <alignment vertical="top" wrapText="1"/>
    </xf>
    <xf numFmtId="0" fontId="40" fillId="2" borderId="62" xfId="2" applyFont="1" applyFill="1" applyBorder="1" applyAlignment="1">
      <alignment vertical="center"/>
    </xf>
    <xf numFmtId="0" fontId="34" fillId="2" borderId="12" xfId="0" applyFont="1" applyFill="1" applyBorder="1" applyAlignment="1">
      <alignment horizontal="left" vertical="center" wrapText="1"/>
    </xf>
    <xf numFmtId="0" fontId="22" fillId="0" borderId="5" xfId="2" applyFont="1" applyFill="1" applyBorder="1" applyAlignment="1">
      <alignment horizontal="center" vertical="center" wrapText="1"/>
    </xf>
    <xf numFmtId="0" fontId="22" fillId="0" borderId="28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6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0" fontId="4" fillId="0" borderId="145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5" fillId="0" borderId="5" xfId="2" applyFont="1" applyFill="1" applyBorder="1" applyAlignment="1">
      <alignment horizontal="center" vertical="center" wrapText="1"/>
    </xf>
    <xf numFmtId="0" fontId="35" fillId="0" borderId="28" xfId="2" applyFont="1" applyFill="1" applyBorder="1" applyAlignment="1">
      <alignment horizontal="center" vertical="center" wrapText="1"/>
    </xf>
    <xf numFmtId="0" fontId="12" fillId="2" borderId="52" xfId="2" applyFont="1" applyFill="1" applyBorder="1" applyAlignment="1">
      <alignment horizontal="center" vertical="center" wrapText="1"/>
    </xf>
    <xf numFmtId="0" fontId="12" fillId="2" borderId="53" xfId="2" applyFont="1" applyFill="1" applyBorder="1" applyAlignment="1">
      <alignment horizontal="center" vertical="center" wrapText="1"/>
    </xf>
    <xf numFmtId="0" fontId="12" fillId="2" borderId="54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3" fillId="2" borderId="40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127" xfId="0" applyFont="1" applyBorder="1" applyAlignment="1">
      <alignment horizontal="center"/>
    </xf>
    <xf numFmtId="0" fontId="15" fillId="0" borderId="47" xfId="0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22" fillId="4" borderId="30" xfId="2" applyFont="1" applyFill="1" applyBorder="1" applyAlignment="1">
      <alignment horizontal="left" vertical="center"/>
    </xf>
    <xf numFmtId="0" fontId="22" fillId="4" borderId="89" xfId="2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27" xfId="0" applyFont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56" xfId="2" applyFont="1" applyBorder="1" applyAlignment="1">
      <alignment horizontal="center" vertical="center" wrapText="1"/>
    </xf>
    <xf numFmtId="0" fontId="31" fillId="0" borderId="0" xfId="0" applyFont="1" applyFill="1" applyAlignment="1">
      <alignment horizontal="right"/>
    </xf>
    <xf numFmtId="0" fontId="33" fillId="2" borderId="0" xfId="0" applyFont="1" applyFill="1" applyBorder="1" applyAlignment="1">
      <alignment horizontal="center" wrapText="1"/>
    </xf>
    <xf numFmtId="0" fontId="22" fillId="0" borderId="23" xfId="2" applyFont="1" applyFill="1" applyBorder="1" applyAlignment="1">
      <alignment horizontal="left" vertical="center" wrapText="1"/>
    </xf>
    <xf numFmtId="0" fontId="22" fillId="0" borderId="24" xfId="2" applyFont="1" applyFill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11" fillId="7" borderId="46" xfId="2" applyFont="1" applyFill="1" applyBorder="1" applyAlignment="1">
      <alignment horizontal="left" vertical="center"/>
    </xf>
    <xf numFmtId="0" fontId="1" fillId="7" borderId="92" xfId="0" applyFont="1" applyFill="1" applyBorder="1" applyAlignment="1">
      <alignment vertical="center"/>
    </xf>
    <xf numFmtId="0" fontId="11" fillId="8" borderId="40" xfId="2" applyFont="1" applyFill="1" applyBorder="1" applyAlignment="1">
      <alignment horizontal="left" vertical="center"/>
    </xf>
    <xf numFmtId="0" fontId="1" fillId="8" borderId="18" xfId="0" applyFont="1" applyFill="1" applyBorder="1" applyAlignment="1">
      <alignment vertical="center"/>
    </xf>
    <xf numFmtId="0" fontId="11" fillId="8" borderId="44" xfId="2" applyFont="1" applyFill="1" applyBorder="1" applyAlignment="1">
      <alignment horizontal="left" vertical="center"/>
    </xf>
    <xf numFmtId="0" fontId="1" fillId="8" borderId="97" xfId="0" applyFont="1" applyFill="1" applyBorder="1" applyAlignment="1">
      <alignment vertical="center"/>
    </xf>
    <xf numFmtId="0" fontId="11" fillId="7" borderId="44" xfId="2" applyFont="1" applyFill="1" applyBorder="1" applyAlignment="1">
      <alignment horizontal="left" vertical="center"/>
    </xf>
    <xf numFmtId="0" fontId="1" fillId="7" borderId="97" xfId="0" applyFont="1" applyFill="1" applyBorder="1" applyAlignment="1">
      <alignment vertical="center"/>
    </xf>
    <xf numFmtId="0" fontId="15" fillId="0" borderId="44" xfId="0" applyFont="1" applyBorder="1" applyAlignment="1">
      <alignment horizontal="left" vertical="center"/>
    </xf>
    <xf numFmtId="0" fontId="15" fillId="0" borderId="97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top"/>
    </xf>
    <xf numFmtId="0" fontId="15" fillId="0" borderId="87" xfId="0" applyFont="1" applyBorder="1" applyAlignment="1">
      <alignment horizontal="left" vertical="top"/>
    </xf>
    <xf numFmtId="0" fontId="3" fillId="2" borderId="23" xfId="0" applyFont="1" applyFill="1" applyBorder="1" applyAlignment="1">
      <alignment horizontal="left" vertical="center" wrapText="1"/>
    </xf>
    <xf numFmtId="0" fontId="3" fillId="2" borderId="127" xfId="0" applyFont="1" applyFill="1" applyBorder="1" applyAlignment="1">
      <alignment horizontal="left" vertical="center" wrapText="1"/>
    </xf>
    <xf numFmtId="0" fontId="11" fillId="7" borderId="36" xfId="2" applyFont="1" applyFill="1" applyBorder="1" applyAlignment="1">
      <alignment horizontal="left" vertical="center" wrapText="1"/>
    </xf>
    <xf numFmtId="0" fontId="1" fillId="7" borderId="97" xfId="0" applyFont="1" applyFill="1" applyBorder="1" applyAlignment="1">
      <alignment vertical="center" wrapText="1"/>
    </xf>
    <xf numFmtId="0" fontId="23" fillId="0" borderId="89" xfId="0" applyFont="1" applyBorder="1" applyAlignment="1">
      <alignment horizontal="left" vertical="center"/>
    </xf>
    <xf numFmtId="0" fontId="22" fillId="23" borderId="106" xfId="0" applyFont="1" applyFill="1" applyBorder="1" applyAlignment="1">
      <alignment horizontal="left" vertical="center" wrapText="1"/>
    </xf>
    <xf numFmtId="0" fontId="22" fillId="23" borderId="130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15" fillId="0" borderId="46" xfId="0" applyFont="1" applyBorder="1" applyAlignment="1">
      <alignment horizontal="left" vertical="center"/>
    </xf>
    <xf numFmtId="0" fontId="15" fillId="0" borderId="92" xfId="0" applyFont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 wrapText="1"/>
    </xf>
    <xf numFmtId="0" fontId="11" fillId="8" borderId="47" xfId="2" applyFont="1" applyFill="1" applyBorder="1" applyAlignment="1">
      <alignment horizontal="left" vertical="center"/>
    </xf>
    <xf numFmtId="0" fontId="1" fillId="8" borderId="9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 wrapText="1"/>
    </xf>
    <xf numFmtId="0" fontId="11" fillId="7" borderId="44" xfId="2" applyFont="1" applyFill="1" applyBorder="1" applyAlignment="1">
      <alignment horizontal="left" vertical="center" wrapText="1"/>
    </xf>
    <xf numFmtId="0" fontId="1" fillId="7" borderId="35" xfId="0" applyFont="1" applyFill="1" applyBorder="1" applyAlignment="1">
      <alignment vertical="center" wrapText="1"/>
    </xf>
    <xf numFmtId="0" fontId="1" fillId="7" borderId="35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22" fillId="23" borderId="130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3" fontId="7" fillId="2" borderId="63" xfId="2" applyNumberFormat="1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vertical="center"/>
    </xf>
    <xf numFmtId="0" fontId="1" fillId="0" borderId="67" xfId="0" applyFont="1" applyFill="1" applyBorder="1" applyAlignment="1">
      <alignment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8" fillId="0" borderId="49" xfId="0" applyFont="1" applyBorder="1" applyAlignment="1">
      <alignment wrapText="1"/>
    </xf>
    <xf numFmtId="0" fontId="8" fillId="0" borderId="0" xfId="0" applyFont="1" applyBorder="1"/>
    <xf numFmtId="0" fontId="1" fillId="0" borderId="48" xfId="0" applyFont="1" applyBorder="1"/>
    <xf numFmtId="3" fontId="7" fillId="2" borderId="69" xfId="2" applyNumberFormat="1" applyFont="1" applyFill="1" applyBorder="1" applyAlignment="1">
      <alignment horizontal="center" vertical="center" wrapText="1"/>
    </xf>
    <xf numFmtId="0" fontId="3" fillId="0" borderId="57" xfId="2" applyFont="1" applyFill="1" applyBorder="1" applyAlignment="1">
      <alignment horizontal="center" vertical="center" wrapText="1"/>
    </xf>
    <xf numFmtId="0" fontId="3" fillId="0" borderId="61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vertical="center" wrapText="1"/>
    </xf>
    <xf numFmtId="0" fontId="8" fillId="0" borderId="31" xfId="0" applyFont="1" applyBorder="1" applyAlignment="1">
      <alignment wrapText="1"/>
    </xf>
    <xf numFmtId="0" fontId="3" fillId="0" borderId="57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3" fontId="5" fillId="0" borderId="59" xfId="2" applyNumberFormat="1" applyFont="1" applyFill="1" applyBorder="1" applyAlignment="1">
      <alignment horizontal="center" vertical="center" wrapText="1"/>
    </xf>
    <xf numFmtId="3" fontId="5" fillId="0" borderId="63" xfId="2" applyNumberFormat="1" applyFont="1" applyFill="1" applyBorder="1" applyAlignment="1">
      <alignment horizontal="center" vertical="center" wrapText="1"/>
    </xf>
    <xf numFmtId="3" fontId="5" fillId="0" borderId="69" xfId="2" applyNumberFormat="1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3" fontId="14" fillId="21" borderId="78" xfId="2" applyNumberFormat="1" applyFont="1" applyFill="1" applyBorder="1" applyAlignment="1">
      <alignment vertical="top" wrapText="1"/>
    </xf>
    <xf numFmtId="0" fontId="8" fillId="17" borderId="63" xfId="0" applyFont="1" applyFill="1" applyBorder="1" applyAlignment="1">
      <alignment vertical="top"/>
    </xf>
    <xf numFmtId="3" fontId="27" fillId="17" borderId="78" xfId="2" applyNumberFormat="1" applyFont="1" applyFill="1" applyBorder="1" applyAlignment="1">
      <alignment vertical="top" wrapText="1"/>
    </xf>
    <xf numFmtId="0" fontId="8" fillId="17" borderId="63" xfId="0" applyFont="1" applyFill="1" applyBorder="1" applyAlignment="1"/>
    <xf numFmtId="0" fontId="8" fillId="17" borderId="69" xfId="0" applyFont="1" applyFill="1" applyBorder="1" applyAlignment="1"/>
    <xf numFmtId="3" fontId="5" fillId="18" borderId="49" xfId="2" applyNumberFormat="1" applyFont="1" applyFill="1" applyBorder="1" applyAlignment="1">
      <alignment horizontal="center" vertical="center" wrapText="1"/>
    </xf>
    <xf numFmtId="3" fontId="14" fillId="18" borderId="6" xfId="2" applyNumberFormat="1" applyFont="1" applyFill="1" applyBorder="1" applyAlignment="1">
      <alignment horizontal="center" vertical="top" wrapText="1"/>
    </xf>
    <xf numFmtId="3" fontId="14" fillId="18" borderId="78" xfId="2" applyNumberFormat="1" applyFont="1" applyFill="1" applyBorder="1" applyAlignment="1">
      <alignment horizontal="center" vertical="top" wrapText="1"/>
    </xf>
    <xf numFmtId="3" fontId="27" fillId="18" borderId="6" xfId="2" applyNumberFormat="1" applyFont="1" applyFill="1" applyBorder="1" applyAlignment="1">
      <alignment horizontal="center" vertical="top" wrapText="1"/>
    </xf>
    <xf numFmtId="3" fontId="27" fillId="18" borderId="31" xfId="2" applyNumberFormat="1" applyFont="1" applyFill="1" applyBorder="1" applyAlignment="1">
      <alignment horizontal="center" vertical="top" wrapText="1"/>
    </xf>
    <xf numFmtId="0" fontId="3" fillId="0" borderId="17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5" fillId="0" borderId="8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3" fontId="7" fillId="2" borderId="95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78" xfId="2" applyNumberFormat="1" applyFont="1" applyFill="1" applyBorder="1" applyAlignment="1">
      <alignment horizontal="center" vertical="center" wrapText="1"/>
    </xf>
    <xf numFmtId="0" fontId="28" fillId="0" borderId="9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" fillId="0" borderId="17" xfId="2" quotePrefix="1" applyFont="1" applyFill="1" applyBorder="1" applyAlignment="1">
      <alignment horizontal="center" vertical="center"/>
    </xf>
    <xf numFmtId="0" fontId="3" fillId="0" borderId="7" xfId="2" quotePrefix="1" applyFont="1" applyFill="1" applyBorder="1" applyAlignment="1">
      <alignment horizontal="center" vertical="center"/>
    </xf>
    <xf numFmtId="0" fontId="3" fillId="0" borderId="11" xfId="2" quotePrefix="1" applyFont="1" applyFill="1" applyBorder="1" applyAlignment="1">
      <alignment horizontal="center" vertical="center"/>
    </xf>
    <xf numFmtId="0" fontId="7" fillId="2" borderId="95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3" fillId="18" borderId="17" xfId="2" applyFont="1" applyFill="1" applyBorder="1" applyAlignment="1">
      <alignment horizontal="center" vertical="top"/>
    </xf>
    <xf numFmtId="0" fontId="3" fillId="18" borderId="7" xfId="2" applyFont="1" applyFill="1" applyBorder="1" applyAlignment="1">
      <alignment horizontal="center" vertical="top"/>
    </xf>
    <xf numFmtId="0" fontId="3" fillId="18" borderId="11" xfId="2" applyFont="1" applyFill="1" applyBorder="1" applyAlignment="1">
      <alignment horizontal="center" vertical="top"/>
    </xf>
    <xf numFmtId="3" fontId="5" fillId="18" borderId="81" xfId="2" applyNumberFormat="1" applyFont="1" applyFill="1" applyBorder="1" applyAlignment="1">
      <alignment horizontal="center" vertical="top" wrapText="1"/>
    </xf>
    <xf numFmtId="3" fontId="5" fillId="18" borderId="6" xfId="2" applyNumberFormat="1" applyFont="1" applyFill="1" applyBorder="1" applyAlignment="1">
      <alignment horizontal="center" vertical="top" wrapText="1"/>
    </xf>
    <xf numFmtId="3" fontId="5" fillId="18" borderId="31" xfId="2" applyNumberFormat="1" applyFont="1" applyFill="1" applyBorder="1" applyAlignment="1">
      <alignment horizontal="center" vertical="top" wrapText="1"/>
    </xf>
    <xf numFmtId="3" fontId="14" fillId="18" borderId="95" xfId="2" applyNumberFormat="1" applyFont="1" applyFill="1" applyBorder="1" applyAlignment="1">
      <alignment vertical="top" wrapText="1"/>
    </xf>
    <xf numFmtId="3" fontId="14" fillId="18" borderId="6" xfId="2" applyNumberFormat="1" applyFont="1" applyFill="1" applyBorder="1" applyAlignment="1">
      <alignment vertical="top" wrapText="1"/>
    </xf>
    <xf numFmtId="3" fontId="14" fillId="18" borderId="78" xfId="2" applyNumberFormat="1" applyFont="1" applyFill="1" applyBorder="1" applyAlignment="1">
      <alignment vertical="top" wrapText="1"/>
    </xf>
    <xf numFmtId="0" fontId="27" fillId="18" borderId="95" xfId="2" applyFont="1" applyFill="1" applyBorder="1" applyAlignment="1">
      <alignment vertical="top"/>
    </xf>
    <xf numFmtId="0" fontId="27" fillId="18" borderId="31" xfId="2" applyFont="1" applyFill="1" applyBorder="1" applyAlignment="1">
      <alignment vertical="top"/>
    </xf>
    <xf numFmtId="0" fontId="3" fillId="2" borderId="57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3" fontId="3" fillId="9" borderId="57" xfId="2" applyNumberFormat="1" applyFont="1" applyFill="1" applyBorder="1" applyAlignment="1">
      <alignment horizontal="center" vertical="center" wrapText="1"/>
    </xf>
    <xf numFmtId="3" fontId="3" fillId="9" borderId="58" xfId="2" applyNumberFormat="1" applyFont="1" applyFill="1" applyBorder="1" applyAlignment="1">
      <alignment horizontal="center" vertical="center" wrapText="1"/>
    </xf>
    <xf numFmtId="3" fontId="3" fillId="9" borderId="59" xfId="2" applyNumberFormat="1" applyFont="1" applyFill="1" applyBorder="1" applyAlignment="1">
      <alignment horizontal="center" vertical="center" wrapText="1"/>
    </xf>
    <xf numFmtId="3" fontId="5" fillId="0" borderId="49" xfId="2" applyNumberFormat="1" applyFont="1" applyFill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3" fillId="0" borderId="79" xfId="2" applyFont="1" applyFill="1" applyBorder="1" applyAlignment="1">
      <alignment horizontal="center" vertical="center"/>
    </xf>
    <xf numFmtId="0" fontId="5" fillId="0" borderId="78" xfId="2" applyFont="1" applyFill="1" applyBorder="1" applyAlignment="1">
      <alignment horizontal="center" vertical="center" wrapText="1"/>
    </xf>
    <xf numFmtId="0" fontId="3" fillId="18" borderId="57" xfId="2" applyFont="1" applyFill="1" applyBorder="1" applyAlignment="1">
      <alignment horizontal="center" vertical="top"/>
    </xf>
    <xf numFmtId="0" fontId="3" fillId="18" borderId="61" xfId="2" applyFont="1" applyFill="1" applyBorder="1" applyAlignment="1">
      <alignment horizontal="center" vertical="top"/>
    </xf>
    <xf numFmtId="0" fontId="1" fillId="18" borderId="61" xfId="0" applyFont="1" applyFill="1" applyBorder="1" applyAlignment="1">
      <alignment horizontal="center" vertical="top"/>
    </xf>
    <xf numFmtId="0" fontId="1" fillId="18" borderId="67" xfId="0" applyFont="1" applyFill="1" applyBorder="1" applyAlignment="1">
      <alignment horizontal="center" vertical="top"/>
    </xf>
    <xf numFmtId="0" fontId="5" fillId="18" borderId="59" xfId="2" applyFont="1" applyFill="1" applyBorder="1" applyAlignment="1">
      <alignment horizontal="center" vertical="center" wrapText="1"/>
    </xf>
    <xf numFmtId="0" fontId="5" fillId="18" borderId="63" xfId="2" applyFont="1" applyFill="1" applyBorder="1" applyAlignment="1">
      <alignment horizontal="center" vertical="center" wrapText="1"/>
    </xf>
    <xf numFmtId="0" fontId="8" fillId="18" borderId="63" xfId="0" applyFont="1" applyFill="1" applyBorder="1" applyAlignment="1">
      <alignment horizontal="center" vertical="center" wrapText="1"/>
    </xf>
    <xf numFmtId="0" fontId="8" fillId="18" borderId="69" xfId="0" applyFont="1" applyFill="1" applyBorder="1" applyAlignment="1">
      <alignment horizontal="center" vertical="center" wrapText="1"/>
    </xf>
    <xf numFmtId="0" fontId="14" fillId="18" borderId="78" xfId="2" applyFont="1" applyFill="1" applyBorder="1" applyAlignment="1">
      <alignment horizontal="left" vertical="center"/>
    </xf>
    <xf numFmtId="0" fontId="8" fillId="18" borderId="63" xfId="0" applyFont="1" applyFill="1" applyBorder="1" applyAlignment="1"/>
    <xf numFmtId="0" fontId="27" fillId="18" borderId="78" xfId="2" applyFont="1" applyFill="1" applyBorder="1" applyAlignment="1">
      <alignment vertical="top"/>
    </xf>
    <xf numFmtId="0" fontId="8" fillId="18" borderId="69" xfId="0" applyFont="1" applyFill="1" applyBorder="1" applyAlignment="1">
      <alignment vertical="top"/>
    </xf>
    <xf numFmtId="3" fontId="5" fillId="0" borderId="78" xfId="2" applyNumberFormat="1" applyFont="1" applyFill="1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67" xfId="2" applyFont="1" applyFill="1" applyBorder="1" applyAlignment="1">
      <alignment horizontal="center" vertical="center"/>
    </xf>
    <xf numFmtId="3" fontId="7" fillId="2" borderId="31" xfId="2" applyNumberFormat="1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7" fillId="2" borderId="63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wrapText="1"/>
    </xf>
    <xf numFmtId="0" fontId="8" fillId="0" borderId="69" xfId="0" applyFont="1" applyBorder="1" applyAlignment="1">
      <alignment wrapText="1"/>
    </xf>
    <xf numFmtId="0" fontId="3" fillId="0" borderId="79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7" fillId="2" borderId="64" xfId="2" applyNumberFormat="1" applyFont="1" applyFill="1" applyBorder="1" applyAlignment="1">
      <alignment horizontal="center" vertical="center" wrapText="1"/>
    </xf>
    <xf numFmtId="3" fontId="6" fillId="2" borderId="63" xfId="2" applyNumberFormat="1" applyFont="1" applyFill="1" applyBorder="1" applyAlignment="1">
      <alignment horizontal="center" vertical="center" wrapText="1"/>
    </xf>
    <xf numFmtId="3" fontId="6" fillId="2" borderId="69" xfId="2" applyNumberFormat="1" applyFont="1" applyFill="1" applyBorder="1" applyAlignment="1">
      <alignment horizontal="center" vertical="center" wrapText="1"/>
    </xf>
    <xf numFmtId="3" fontId="7" fillId="2" borderId="65" xfId="2" applyNumberFormat="1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3" fillId="0" borderId="93" xfId="2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7" fillId="2" borderId="85" xfId="2" applyNumberFormat="1" applyFont="1" applyFill="1" applyBorder="1" applyAlignment="1">
      <alignment horizontal="center" vertical="center" wrapText="1"/>
    </xf>
    <xf numFmtId="3" fontId="7" fillId="2" borderId="59" xfId="2" applyNumberFormat="1" applyFont="1" applyFill="1" applyBorder="1" applyAlignment="1">
      <alignment horizontal="center" vertical="center" wrapText="1"/>
    </xf>
    <xf numFmtId="3" fontId="7" fillId="2" borderId="74" xfId="2" applyNumberFormat="1" applyFont="1" applyFill="1" applyBorder="1" applyAlignment="1">
      <alignment horizontal="center" vertical="center" wrapText="1"/>
    </xf>
    <xf numFmtId="0" fontId="3" fillId="6" borderId="57" xfId="2" applyFont="1" applyFill="1" applyBorder="1" applyAlignment="1">
      <alignment vertical="top"/>
    </xf>
    <xf numFmtId="0" fontId="1" fillId="0" borderId="61" xfId="0" applyFont="1" applyBorder="1" applyAlignment="1">
      <alignment vertical="top"/>
    </xf>
    <xf numFmtId="0" fontId="1" fillId="0" borderId="93" xfId="0" applyFont="1" applyBorder="1" applyAlignment="1">
      <alignment vertical="top"/>
    </xf>
    <xf numFmtId="3" fontId="5" fillId="6" borderId="59" xfId="2" applyNumberFormat="1" applyFont="1" applyFill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95" xfId="0" applyFont="1" applyBorder="1" applyAlignment="1">
      <alignment vertical="top" wrapText="1"/>
    </xf>
    <xf numFmtId="0" fontId="14" fillId="6" borderId="63" xfId="2" applyFont="1" applyFill="1" applyBorder="1" applyAlignment="1">
      <alignment vertical="top"/>
    </xf>
    <xf numFmtId="0" fontId="8" fillId="0" borderId="63" xfId="0" applyFont="1" applyBorder="1" applyAlignment="1">
      <alignment vertical="top"/>
    </xf>
    <xf numFmtId="3" fontId="27" fillId="6" borderId="78" xfId="2" applyNumberFormat="1" applyFont="1" applyFill="1" applyBorder="1" applyAlignment="1">
      <alignment vertical="top" wrapText="1"/>
    </xf>
    <xf numFmtId="0" fontId="8" fillId="0" borderId="63" xfId="0" applyFont="1" applyBorder="1" applyAlignment="1"/>
    <xf numFmtId="0" fontId="8" fillId="0" borderId="95" xfId="0" applyFont="1" applyBorder="1" applyAlignment="1"/>
    <xf numFmtId="3" fontId="5" fillId="18" borderId="59" xfId="2" applyNumberFormat="1" applyFont="1" applyFill="1" applyBorder="1" applyAlignment="1">
      <alignment horizontal="center" vertical="top" wrapText="1"/>
    </xf>
    <xf numFmtId="0" fontId="8" fillId="18" borderId="63" xfId="0" applyFont="1" applyFill="1" applyBorder="1" applyAlignment="1">
      <alignment horizontal="center" vertical="top" wrapText="1"/>
    </xf>
    <xf numFmtId="0" fontId="8" fillId="18" borderId="69" xfId="0" applyFont="1" applyFill="1" applyBorder="1" applyAlignment="1">
      <alignment horizontal="center" vertical="top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3" xfId="2" applyFont="1" applyFill="1" applyBorder="1" applyAlignment="1">
      <alignment horizontal="center" vertical="center" wrapText="1"/>
    </xf>
    <xf numFmtId="0" fontId="7" fillId="0" borderId="119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36" fillId="0" borderId="119" xfId="2" applyFont="1" applyFill="1" applyBorder="1" applyAlignment="1">
      <alignment horizontal="center" vertical="center" wrapText="1"/>
    </xf>
    <xf numFmtId="0" fontId="36" fillId="0" borderId="15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25" fillId="0" borderId="31" xfId="2" applyFont="1" applyBorder="1" applyAlignment="1">
      <alignment horizontal="center" vertical="center" wrapText="1"/>
    </xf>
    <xf numFmtId="0" fontId="7" fillId="18" borderId="102" xfId="2" applyFont="1" applyFill="1" applyBorder="1" applyAlignment="1">
      <alignment horizontal="center" vertical="center"/>
    </xf>
    <xf numFmtId="0" fontId="7" fillId="18" borderId="103" xfId="2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top"/>
    </xf>
    <xf numFmtId="0" fontId="25" fillId="2" borderId="37" xfId="0" applyFont="1" applyFill="1" applyBorder="1" applyAlignment="1">
      <alignment horizontal="center" vertical="top"/>
    </xf>
    <xf numFmtId="0" fontId="30" fillId="2" borderId="40" xfId="2" applyFont="1" applyFill="1" applyBorder="1" applyAlignment="1">
      <alignment wrapText="1"/>
    </xf>
    <xf numFmtId="0" fontId="37" fillId="0" borderId="19" xfId="0" applyFont="1" applyBorder="1" applyAlignment="1">
      <alignment wrapText="1"/>
    </xf>
    <xf numFmtId="0" fontId="37" fillId="0" borderId="87" xfId="0" applyFont="1" applyBorder="1" applyAlignment="1">
      <alignment wrapText="1"/>
    </xf>
    <xf numFmtId="0" fontId="3" fillId="0" borderId="1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2" fillId="0" borderId="8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8" fillId="0" borderId="12" xfId="0" applyFont="1" applyBorder="1"/>
    <xf numFmtId="0" fontId="3" fillId="0" borderId="7" xfId="2" quotePrefix="1" applyFont="1" applyFill="1" applyBorder="1" applyAlignment="1">
      <alignment horizontal="center" vertical="center" wrapText="1"/>
    </xf>
    <xf numFmtId="0" fontId="3" fillId="0" borderId="93" xfId="2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3" fontId="7" fillId="0" borderId="63" xfId="2" applyNumberFormat="1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wrapText="1"/>
    </xf>
    <xf numFmtId="0" fontId="8" fillId="0" borderId="69" xfId="0" applyFont="1" applyFill="1" applyBorder="1" applyAlignment="1">
      <alignment wrapText="1"/>
    </xf>
    <xf numFmtId="0" fontId="3" fillId="0" borderId="17" xfId="2" quotePrefix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69" xfId="2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3" fillId="6" borderId="17" xfId="2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3" fontId="5" fillId="6" borderId="81" xfId="2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3" fontId="14" fillId="6" borderId="95" xfId="2" applyNumberFormat="1" applyFont="1" applyFill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8" fillId="0" borderId="78" xfId="0" applyFont="1" applyBorder="1" applyAlignment="1">
      <alignment vertical="top"/>
    </xf>
    <xf numFmtId="0" fontId="7" fillId="2" borderId="69" xfId="2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/>
    </xf>
    <xf numFmtId="0" fontId="28" fillId="0" borderId="78" xfId="0" applyFont="1" applyFill="1" applyBorder="1" applyAlignment="1">
      <alignment horizontal="center" vertical="center" wrapText="1"/>
    </xf>
    <xf numFmtId="0" fontId="7" fillId="2" borderId="70" xfId="2" applyFont="1" applyFill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6" fillId="0" borderId="95" xfId="2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3" fillId="0" borderId="57" xfId="2" quotePrefix="1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95" xfId="0" applyFont="1" applyFill="1" applyBorder="1" applyAlignment="1">
      <alignment horizontal="center" vertical="center" wrapText="1"/>
    </xf>
    <xf numFmtId="3" fontId="27" fillId="6" borderId="95" xfId="2" applyNumberFormat="1" applyFont="1" applyFill="1" applyBorder="1" applyAlignment="1">
      <alignment vertical="top" wrapText="1"/>
    </xf>
    <xf numFmtId="0" fontId="8" fillId="0" borderId="6" xfId="0" applyFont="1" applyBorder="1" applyAlignment="1"/>
    <xf numFmtId="0" fontId="8" fillId="0" borderId="31" xfId="0" applyFont="1" applyBorder="1" applyAlignment="1"/>
    <xf numFmtId="3" fontId="3" fillId="9" borderId="60" xfId="2" applyNumberFormat="1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wrapText="1"/>
    </xf>
    <xf numFmtId="0" fontId="28" fillId="0" borderId="69" xfId="0" applyFont="1" applyFill="1" applyBorder="1" applyAlignment="1">
      <alignment horizontal="center" wrapText="1"/>
    </xf>
    <xf numFmtId="3" fontId="7" fillId="2" borderId="102" xfId="2" applyNumberFormat="1" applyFont="1" applyFill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7" fillId="0" borderId="62" xfId="2" applyFont="1" applyFill="1" applyBorder="1" applyAlignment="1">
      <alignment horizontal="center" vertical="center" wrapText="1"/>
    </xf>
    <xf numFmtId="0" fontId="6" fillId="0" borderId="8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0" fillId="2" borderId="44" xfId="2" applyFont="1" applyFill="1" applyBorder="1" applyAlignment="1">
      <alignment wrapText="1"/>
    </xf>
    <xf numFmtId="0" fontId="42" fillId="0" borderId="35" xfId="0" applyFont="1" applyBorder="1" applyAlignment="1">
      <alignment wrapText="1"/>
    </xf>
    <xf numFmtId="0" fontId="42" fillId="0" borderId="97" xfId="0" applyFont="1" applyBorder="1" applyAlignment="1">
      <alignment wrapText="1"/>
    </xf>
    <xf numFmtId="0" fontId="3" fillId="0" borderId="44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5" fillId="0" borderId="97" xfId="2" applyFont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28" fillId="0" borderId="81" xfId="0" applyFont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3" fillId="2" borderId="48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2" xfId="0" quotePrefix="1" applyFont="1" applyFill="1" applyBorder="1" applyAlignment="1">
      <alignment horizontal="center" vertical="center" wrapText="1"/>
    </xf>
    <xf numFmtId="0" fontId="3" fillId="2" borderId="50" xfId="0" quotePrefix="1" applyFont="1" applyFill="1" applyBorder="1" applyAlignment="1">
      <alignment horizontal="center" vertical="center" wrapText="1"/>
    </xf>
    <xf numFmtId="0" fontId="3" fillId="2" borderId="21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6" fillId="2" borderId="64" xfId="0" applyFont="1" applyFill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0" fontId="6" fillId="2" borderId="9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0" borderId="17" xfId="0" quotePrefix="1" applyFont="1" applyFill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 wrapText="1"/>
    </xf>
    <xf numFmtId="0" fontId="3" fillId="0" borderId="11" xfId="0" quotePrefix="1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vertical="top"/>
    </xf>
    <xf numFmtId="0" fontId="1" fillId="0" borderId="21" xfId="0" applyFont="1" applyBorder="1" applyAlignment="1"/>
    <xf numFmtId="0" fontId="1" fillId="0" borderId="32" xfId="0" applyFont="1" applyBorder="1" applyAlignment="1"/>
    <xf numFmtId="3" fontId="5" fillId="6" borderId="16" xfId="0" applyNumberFormat="1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wrapText="1"/>
    </xf>
    <xf numFmtId="0" fontId="1" fillId="0" borderId="105" xfId="0" applyFont="1" applyBorder="1" applyAlignment="1">
      <alignment horizontal="center" wrapText="1"/>
    </xf>
    <xf numFmtId="0" fontId="7" fillId="6" borderId="74" xfId="0" applyFont="1" applyFill="1" applyBorder="1" applyAlignment="1">
      <alignment vertical="center" wrapText="1"/>
    </xf>
    <xf numFmtId="0" fontId="7" fillId="6" borderId="56" xfId="0" applyFont="1" applyFill="1" applyBorder="1" applyAlignment="1">
      <alignment vertical="center" wrapText="1"/>
    </xf>
    <xf numFmtId="0" fontId="8" fillId="0" borderId="55" xfId="0" applyFont="1" applyBorder="1" applyAlignment="1"/>
    <xf numFmtId="0" fontId="8" fillId="0" borderId="83" xfId="0" applyFont="1" applyBorder="1" applyAlignment="1"/>
    <xf numFmtId="0" fontId="7" fillId="17" borderId="74" xfId="0" applyFont="1" applyFill="1" applyBorder="1" applyAlignment="1">
      <alignment vertical="center" wrapText="1"/>
    </xf>
    <xf numFmtId="0" fontId="8" fillId="17" borderId="55" xfId="0" applyFont="1" applyFill="1" applyBorder="1" applyAlignment="1"/>
    <xf numFmtId="0" fontId="8" fillId="17" borderId="105" xfId="0" applyFont="1" applyFill="1" applyBorder="1" applyAlignment="1"/>
    <xf numFmtId="0" fontId="3" fillId="0" borderId="48" xfId="0" quotePrefix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wrapText="1"/>
    </xf>
    <xf numFmtId="0" fontId="18" fillId="0" borderId="81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6" fillId="0" borderId="64" xfId="0" applyFont="1" applyFill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27" fillId="2" borderId="8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vertical="top"/>
    </xf>
    <xf numFmtId="0" fontId="30" fillId="2" borderId="35" xfId="0" applyFont="1" applyFill="1" applyBorder="1" applyAlignment="1">
      <alignment vertical="top"/>
    </xf>
    <xf numFmtId="0" fontId="42" fillId="0" borderId="35" xfId="0" applyFont="1" applyBorder="1" applyAlignment="1">
      <alignment vertical="top"/>
    </xf>
    <xf numFmtId="0" fontId="42" fillId="0" borderId="97" xfId="0" applyFont="1" applyBorder="1" applyAlignment="1">
      <alignment vertical="top"/>
    </xf>
    <xf numFmtId="0" fontId="6" fillId="0" borderId="5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0" fontId="5" fillId="0" borderId="105" xfId="2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left" vertical="top" wrapText="1"/>
    </xf>
    <xf numFmtId="0" fontId="42" fillId="0" borderId="49" xfId="0" applyFont="1" applyBorder="1" applyAlignment="1">
      <alignment vertical="top" wrapText="1"/>
    </xf>
    <xf numFmtId="0" fontId="22" fillId="0" borderId="5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42" fillId="0" borderId="88" xfId="0" applyFont="1" applyBorder="1" applyAlignment="1">
      <alignment vertical="center"/>
    </xf>
    <xf numFmtId="0" fontId="3" fillId="12" borderId="20" xfId="0" applyFont="1" applyFill="1" applyBorder="1" applyAlignment="1">
      <alignment vertical="top"/>
    </xf>
    <xf numFmtId="0" fontId="1" fillId="0" borderId="8" xfId="0" applyFont="1" applyBorder="1" applyAlignment="1"/>
    <xf numFmtId="0" fontId="1" fillId="0" borderId="13" xfId="0" applyFont="1" applyBorder="1" applyAlignment="1"/>
    <xf numFmtId="3" fontId="22" fillId="12" borderId="125" xfId="0" applyNumberFormat="1" applyFont="1" applyFill="1" applyBorder="1" applyAlignment="1">
      <alignment horizontal="center" vertical="center" wrapText="1"/>
    </xf>
    <xf numFmtId="3" fontId="22" fillId="12" borderId="65" xfId="0" applyNumberFormat="1" applyFont="1" applyFill="1" applyBorder="1" applyAlignment="1">
      <alignment horizontal="center" vertical="center" wrapText="1"/>
    </xf>
    <xf numFmtId="3" fontId="22" fillId="12" borderId="85" xfId="0" applyNumberFormat="1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7" fillId="2" borderId="74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6" fillId="0" borderId="8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 wrapText="1"/>
    </xf>
    <xf numFmtId="3" fontId="2" fillId="2" borderId="62" xfId="0" applyNumberFormat="1" applyFont="1" applyFill="1" applyBorder="1" applyAlignment="1">
      <alignment horizontal="center" vertical="center"/>
    </xf>
    <xf numFmtId="3" fontId="2" fillId="2" borderId="68" xfId="0" applyNumberFormat="1" applyFont="1" applyFill="1" applyBorder="1" applyAlignment="1">
      <alignment horizontal="center" vertical="center"/>
    </xf>
    <xf numFmtId="3" fontId="22" fillId="17" borderId="62" xfId="0" applyNumberFormat="1" applyFont="1" applyFill="1" applyBorder="1" applyAlignment="1">
      <alignment horizontal="center" vertical="top"/>
    </xf>
    <xf numFmtId="3" fontId="22" fillId="17" borderId="68" xfId="0" applyNumberFormat="1" applyFont="1" applyFill="1" applyBorder="1" applyAlignment="1">
      <alignment horizontal="center" vertical="top"/>
    </xf>
    <xf numFmtId="3" fontId="22" fillId="6" borderId="125" xfId="0" applyNumberFormat="1" applyFont="1" applyFill="1" applyBorder="1" applyAlignment="1">
      <alignment horizontal="center" vertical="center" wrapText="1"/>
    </xf>
    <xf numFmtId="3" fontId="22" fillId="6" borderId="65" xfId="0" applyNumberFormat="1" applyFont="1" applyFill="1" applyBorder="1" applyAlignment="1">
      <alignment horizontal="center" vertical="center" wrapText="1"/>
    </xf>
    <xf numFmtId="3" fontId="22" fillId="6" borderId="8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7" fillId="17" borderId="64" xfId="2" applyNumberFormat="1" applyFont="1" applyFill="1" applyBorder="1" applyAlignment="1">
      <alignment horizontal="center" vertical="center" wrapText="1"/>
    </xf>
    <xf numFmtId="0" fontId="8" fillId="17" borderId="64" xfId="0" applyFont="1" applyFill="1" applyBorder="1" applyAlignment="1">
      <alignment horizontal="center" vertical="center"/>
    </xf>
    <xf numFmtId="0" fontId="8" fillId="17" borderId="70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top"/>
    </xf>
    <xf numFmtId="0" fontId="3" fillId="6" borderId="62" xfId="0" applyFont="1" applyFill="1" applyBorder="1" applyAlignment="1">
      <alignment horizontal="center" vertical="top"/>
    </xf>
    <xf numFmtId="0" fontId="3" fillId="6" borderId="68" xfId="0" applyFont="1" applyFill="1" applyBorder="1" applyAlignment="1">
      <alignment horizontal="center" vertical="top"/>
    </xf>
    <xf numFmtId="0" fontId="28" fillId="2" borderId="78" xfId="0" applyFont="1" applyFill="1" applyBorder="1" applyAlignment="1">
      <alignment horizontal="center" vertical="center"/>
    </xf>
    <xf numFmtId="0" fontId="28" fillId="2" borderId="6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44" fillId="0" borderId="63" xfId="0" applyFont="1" applyFill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 wrapText="1"/>
    </xf>
    <xf numFmtId="0" fontId="28" fillId="2" borderId="95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5" fillId="12" borderId="49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 wrapText="1"/>
    </xf>
    <xf numFmtId="0" fontId="8" fillId="0" borderId="78" xfId="0" applyFont="1" applyBorder="1" applyAlignment="1">
      <alignment vertical="center"/>
    </xf>
    <xf numFmtId="0" fontId="7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5" fillId="16" borderId="81" xfId="2" applyFont="1" applyFill="1" applyBorder="1" applyAlignment="1">
      <alignment horizontal="center" vertical="center" wrapText="1"/>
    </xf>
    <xf numFmtId="0" fontId="5" fillId="16" borderId="6" xfId="2" applyFont="1" applyFill="1" applyBorder="1" applyAlignment="1">
      <alignment horizontal="center" vertical="center" wrapText="1"/>
    </xf>
    <xf numFmtId="0" fontId="5" fillId="16" borderId="31" xfId="2" applyFont="1" applyFill="1" applyBorder="1" applyAlignment="1">
      <alignment horizontal="center" vertical="center" wrapText="1"/>
    </xf>
    <xf numFmtId="0" fontId="2" fillId="16" borderId="3" xfId="2" applyFont="1" applyFill="1" applyBorder="1" applyAlignment="1">
      <alignment horizontal="center" vertical="center" wrapText="1"/>
    </xf>
    <xf numFmtId="0" fontId="2" fillId="16" borderId="7" xfId="2" applyFont="1" applyFill="1" applyBorder="1" applyAlignment="1">
      <alignment horizontal="center" vertical="center" wrapText="1"/>
    </xf>
    <xf numFmtId="0" fontId="2" fillId="16" borderId="11" xfId="2" applyFont="1" applyFill="1" applyBorder="1" applyAlignment="1">
      <alignment horizontal="center" vertical="center" wrapText="1"/>
    </xf>
    <xf numFmtId="0" fontId="3" fillId="16" borderId="5" xfId="2" applyFont="1" applyFill="1" applyBorder="1" applyAlignment="1">
      <alignment horizontal="center" vertical="center" wrapText="1"/>
    </xf>
    <xf numFmtId="0" fontId="3" fillId="16" borderId="8" xfId="2" applyFont="1" applyFill="1" applyBorder="1" applyAlignment="1">
      <alignment horizontal="center" vertical="center" wrapText="1"/>
    </xf>
    <xf numFmtId="0" fontId="3" fillId="16" borderId="13" xfId="2" applyFont="1" applyFill="1" applyBorder="1" applyAlignment="1">
      <alignment horizontal="center" vertical="center" wrapText="1"/>
    </xf>
    <xf numFmtId="0" fontId="22" fillId="16" borderId="5" xfId="2" applyFont="1" applyFill="1" applyBorder="1" applyAlignment="1">
      <alignment horizontal="center" vertical="center" wrapText="1"/>
    </xf>
    <xf numFmtId="0" fontId="22" fillId="16" borderId="8" xfId="2" applyFont="1" applyFill="1" applyBorder="1" applyAlignment="1">
      <alignment horizontal="center" vertical="center" wrapText="1"/>
    </xf>
    <xf numFmtId="0" fontId="22" fillId="16" borderId="13" xfId="2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left" vertical="center"/>
    </xf>
    <xf numFmtId="0" fontId="1" fillId="16" borderId="127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7" xfId="0" quotePrefix="1" applyFont="1" applyFill="1" applyBorder="1" applyAlignment="1">
      <alignment horizontal="center" vertical="center"/>
    </xf>
    <xf numFmtId="0" fontId="48" fillId="0" borderId="4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8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2" xfId="0" applyFont="1" applyBorder="1" applyAlignment="1">
      <alignment horizontal="left" vertical="center"/>
    </xf>
    <xf numFmtId="0" fontId="6" fillId="16" borderId="78" xfId="0" applyFont="1" applyFill="1" applyBorder="1" applyAlignment="1">
      <alignment horizontal="center" vertical="center" wrapText="1"/>
    </xf>
    <xf numFmtId="0" fontId="28" fillId="16" borderId="69" xfId="0" applyFont="1" applyFill="1" applyBorder="1" applyAlignment="1">
      <alignment horizontal="center" vertical="center" wrapText="1"/>
    </xf>
    <xf numFmtId="0" fontId="28" fillId="16" borderId="59" xfId="0" applyFont="1" applyFill="1" applyBorder="1" applyAlignment="1">
      <alignment horizontal="center" vertical="center" wrapText="1"/>
    </xf>
    <xf numFmtId="0" fontId="28" fillId="16" borderId="6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 wrapText="1"/>
    </xf>
    <xf numFmtId="3" fontId="7" fillId="12" borderId="59" xfId="0" applyNumberFormat="1" applyFont="1" applyFill="1" applyBorder="1" applyAlignment="1">
      <alignment horizontal="center" vertical="center" wrapText="1"/>
    </xf>
    <xf numFmtId="3" fontId="7" fillId="12" borderId="63" xfId="0" applyNumberFormat="1" applyFont="1" applyFill="1" applyBorder="1" applyAlignment="1">
      <alignment horizontal="center" vertical="center" wrapText="1"/>
    </xf>
    <xf numFmtId="3" fontId="7" fillId="12" borderId="69" xfId="0" applyNumberFormat="1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5" fillId="16" borderId="2" xfId="2" applyFont="1" applyFill="1" applyBorder="1" applyAlignment="1">
      <alignment horizontal="center" vertical="center" wrapText="1"/>
    </xf>
    <xf numFmtId="0" fontId="25" fillId="16" borderId="31" xfId="2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6" borderId="69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8" fillId="2" borderId="9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2" fillId="0" borderId="57" xfId="0" quotePrefix="1" applyFont="1" applyFill="1" applyBorder="1" applyAlignment="1">
      <alignment horizontal="center" vertical="center"/>
    </xf>
    <xf numFmtId="0" fontId="22" fillId="0" borderId="61" xfId="0" quotePrefix="1" applyFont="1" applyFill="1" applyBorder="1" applyAlignment="1">
      <alignment horizontal="center" vertical="center"/>
    </xf>
    <xf numFmtId="0" fontId="22" fillId="0" borderId="67" xfId="0" quotePrefix="1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95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7" xfId="0" quotePrefix="1" applyFont="1" applyFill="1" applyBorder="1" applyAlignment="1">
      <alignment horizontal="center" vertical="center"/>
    </xf>
    <xf numFmtId="0" fontId="22" fillId="0" borderId="7" xfId="0" quotePrefix="1" applyFont="1" applyFill="1" applyBorder="1" applyAlignment="1">
      <alignment horizontal="center" vertical="center"/>
    </xf>
    <xf numFmtId="0" fontId="22" fillId="0" borderId="11" xfId="0" quotePrefix="1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 wrapText="1"/>
    </xf>
    <xf numFmtId="3" fontId="7" fillId="2" borderId="80" xfId="2" applyNumberFormat="1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3" fontId="7" fillId="6" borderId="88" xfId="0" applyNumberFormat="1" applyFont="1" applyFill="1" applyBorder="1" applyAlignment="1">
      <alignment horizontal="center" vertical="center" wrapText="1"/>
    </xf>
    <xf numFmtId="3" fontId="7" fillId="6" borderId="92" xfId="0" applyNumberFormat="1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 wrapText="1"/>
    </xf>
    <xf numFmtId="0" fontId="16" fillId="0" borderId="88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3" fontId="7" fillId="2" borderId="23" xfId="2" applyNumberFormat="1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22" fillId="6" borderId="7" xfId="0" applyFont="1" applyFill="1" applyBorder="1" applyAlignment="1">
      <alignment vertical="top"/>
    </xf>
    <xf numFmtId="0" fontId="27" fillId="6" borderId="64" xfId="2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27" fillId="6" borderId="70" xfId="2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6" fillId="16" borderId="5" xfId="2" applyFont="1" applyFill="1" applyBorder="1" applyAlignment="1">
      <alignment horizontal="center" vertical="center" wrapText="1"/>
    </xf>
    <xf numFmtId="0" fontId="6" fillId="16" borderId="8" xfId="2" applyFont="1" applyFill="1" applyBorder="1" applyAlignment="1">
      <alignment horizontal="center" vertical="center" wrapText="1"/>
    </xf>
    <xf numFmtId="0" fontId="6" fillId="16" borderId="13" xfId="2" applyFont="1" applyFill="1" applyBorder="1" applyAlignment="1">
      <alignment horizontal="center" vertical="center" wrapText="1"/>
    </xf>
    <xf numFmtId="0" fontId="22" fillId="16" borderId="23" xfId="2" applyFont="1" applyFill="1" applyBorder="1" applyAlignment="1">
      <alignment horizontal="left" vertical="center" wrapText="1"/>
    </xf>
    <xf numFmtId="0" fontId="22" fillId="16" borderId="24" xfId="2" applyFont="1" applyFill="1" applyBorder="1" applyAlignment="1">
      <alignment horizontal="left" vertical="center" wrapText="1"/>
    </xf>
    <xf numFmtId="0" fontId="22" fillId="16" borderId="22" xfId="2" applyFont="1" applyFill="1" applyBorder="1" applyAlignment="1">
      <alignment horizontal="left" vertical="center" wrapText="1"/>
    </xf>
    <xf numFmtId="0" fontId="3" fillId="16" borderId="3" xfId="2" applyFont="1" applyFill="1" applyBorder="1" applyAlignment="1">
      <alignment horizontal="center" vertical="center" wrapText="1"/>
    </xf>
    <xf numFmtId="0" fontId="3" fillId="16" borderId="7" xfId="2" applyFont="1" applyFill="1" applyBorder="1" applyAlignment="1">
      <alignment horizontal="center" vertical="center" wrapText="1"/>
    </xf>
    <xf numFmtId="0" fontId="3" fillId="16" borderId="11" xfId="2" applyFont="1" applyFill="1" applyBorder="1" applyAlignment="1">
      <alignment horizontal="center" vertical="center" wrapText="1"/>
    </xf>
    <xf numFmtId="0" fontId="7" fillId="16" borderId="119" xfId="2" applyFont="1" applyFill="1" applyBorder="1" applyAlignment="1">
      <alignment horizontal="center" vertical="center" wrapText="1"/>
    </xf>
    <xf numFmtId="0" fontId="7" fillId="16" borderId="15" xfId="2" applyFont="1" applyFill="1" applyBorder="1" applyAlignment="1">
      <alignment horizontal="center" vertical="center" wrapText="1"/>
    </xf>
    <xf numFmtId="0" fontId="36" fillId="16" borderId="5" xfId="2" applyFont="1" applyFill="1" applyBorder="1" applyAlignment="1">
      <alignment horizontal="center" vertical="center" wrapText="1"/>
    </xf>
    <xf numFmtId="0" fontId="36" fillId="16" borderId="13" xfId="2" applyFont="1" applyFill="1" applyBorder="1" applyAlignment="1">
      <alignment horizontal="center" vertical="center" wrapText="1"/>
    </xf>
    <xf numFmtId="0" fontId="12" fillId="2" borderId="107" xfId="2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92" xfId="0" applyFont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1" fillId="0" borderId="7" xfId="0" applyFont="1" applyBorder="1" applyAlignment="1"/>
    <xf numFmtId="0" fontId="1" fillId="0" borderId="11" xfId="0" applyFont="1" applyBorder="1" applyAlignment="1"/>
    <xf numFmtId="0" fontId="27" fillId="6" borderId="63" xfId="2" applyFont="1" applyFill="1" applyBorder="1" applyAlignment="1">
      <alignment horizontal="left" vertical="center"/>
    </xf>
    <xf numFmtId="0" fontId="8" fillId="0" borderId="69" xfId="0" applyFont="1" applyBorder="1" applyAlignment="1"/>
    <xf numFmtId="0" fontId="28" fillId="0" borderId="17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127" xfId="2" applyFont="1" applyFill="1" applyBorder="1" applyAlignment="1">
      <alignment horizontal="center" vertical="center" wrapText="1"/>
    </xf>
    <xf numFmtId="0" fontId="5" fillId="0" borderId="90" xfId="2" applyFont="1" applyFill="1" applyBorder="1" applyAlignment="1">
      <alignment horizontal="center" vertical="center" wrapText="1"/>
    </xf>
    <xf numFmtId="0" fontId="6" fillId="0" borderId="17" xfId="2" quotePrefix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5" fillId="0" borderId="87" xfId="2" applyFont="1" applyFill="1" applyBorder="1" applyAlignment="1">
      <alignment horizontal="center" vertical="center" wrapText="1"/>
    </xf>
    <xf numFmtId="0" fontId="5" fillId="0" borderId="88" xfId="2" applyFont="1" applyFill="1" applyBorder="1" applyAlignment="1">
      <alignment horizontal="center" vertical="center" wrapText="1"/>
    </xf>
    <xf numFmtId="0" fontId="5" fillId="0" borderId="92" xfId="2" applyFont="1" applyFill="1" applyBorder="1" applyAlignment="1">
      <alignment horizontal="center" vertical="center" wrapText="1"/>
    </xf>
    <xf numFmtId="0" fontId="7" fillId="2" borderId="62" xfId="2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6" fillId="0" borderId="54" xfId="2" applyFont="1" applyFill="1" applyBorder="1" applyAlignment="1">
      <alignment horizontal="center" vertical="center" wrapText="1"/>
    </xf>
    <xf numFmtId="0" fontId="16" fillId="0" borderId="127" xfId="2" applyFont="1" applyFill="1" applyBorder="1" applyAlignment="1">
      <alignment horizontal="center" vertical="center" wrapText="1"/>
    </xf>
    <xf numFmtId="0" fontId="16" fillId="0" borderId="130" xfId="2" applyFont="1" applyFill="1" applyBorder="1" applyAlignment="1">
      <alignment horizontal="center" vertical="center" wrapText="1"/>
    </xf>
    <xf numFmtId="0" fontId="8" fillId="0" borderId="64" xfId="0" applyFont="1" applyBorder="1"/>
    <xf numFmtId="0" fontId="8" fillId="0" borderId="69" xfId="0" applyFont="1" applyBorder="1" applyAlignment="1">
      <alignment horizontal="center" wrapText="1"/>
    </xf>
    <xf numFmtId="0" fontId="16" fillId="2" borderId="87" xfId="0" quotePrefix="1" applyFont="1" applyFill="1" applyBorder="1" applyAlignment="1">
      <alignment horizontal="center" vertical="top"/>
    </xf>
    <xf numFmtId="0" fontId="16" fillId="2" borderId="88" xfId="0" quotePrefix="1" applyFont="1" applyFill="1" applyBorder="1" applyAlignment="1">
      <alignment horizontal="center" vertical="top"/>
    </xf>
    <xf numFmtId="0" fontId="16" fillId="2" borderId="92" xfId="0" quotePrefix="1" applyFont="1" applyFill="1" applyBorder="1" applyAlignment="1">
      <alignment horizontal="center" vertical="top"/>
    </xf>
    <xf numFmtId="0" fontId="6" fillId="0" borderId="5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1" fillId="0" borderId="11" xfId="0" applyFont="1" applyBorder="1"/>
    <xf numFmtId="0" fontId="16" fillId="0" borderId="87" xfId="2" applyFont="1" applyFill="1" applyBorder="1" applyAlignment="1">
      <alignment horizontal="center" vertical="center" wrapText="1"/>
    </xf>
    <xf numFmtId="0" fontId="16" fillId="0" borderId="88" xfId="2" applyFont="1" applyFill="1" applyBorder="1" applyAlignment="1">
      <alignment horizontal="center" vertical="center" wrapText="1"/>
    </xf>
    <xf numFmtId="0" fontId="16" fillId="0" borderId="92" xfId="2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wrapText="1"/>
    </xf>
    <xf numFmtId="0" fontId="28" fillId="0" borderId="7" xfId="0" applyFont="1" applyBorder="1" applyAlignment="1">
      <alignment horizontal="center" vertical="center"/>
    </xf>
    <xf numFmtId="0" fontId="5" fillId="0" borderId="130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wrapText="1" shrinkToFit="1"/>
    </xf>
    <xf numFmtId="0" fontId="8" fillId="0" borderId="55" xfId="0" applyFont="1" applyBorder="1" applyAlignment="1">
      <alignment horizontal="center" wrapText="1" shrinkToFit="1"/>
    </xf>
    <xf numFmtId="0" fontId="8" fillId="0" borderId="105" xfId="0" applyFont="1" applyBorder="1" applyAlignment="1">
      <alignment horizontal="center" wrapText="1" shrinkToFit="1"/>
    </xf>
    <xf numFmtId="0" fontId="6" fillId="0" borderId="3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5" fillId="0" borderId="89" xfId="2" applyFont="1" applyFill="1" applyBorder="1" applyAlignment="1">
      <alignment horizontal="center" vertical="center" wrapText="1"/>
    </xf>
    <xf numFmtId="0" fontId="6" fillId="0" borderId="79" xfId="2" applyFont="1" applyFill="1" applyBorder="1" applyAlignment="1">
      <alignment horizontal="center" vertical="center"/>
    </xf>
    <xf numFmtId="0" fontId="6" fillId="0" borderId="67" xfId="2" applyFont="1" applyFill="1" applyBorder="1" applyAlignment="1">
      <alignment horizontal="center" vertical="center"/>
    </xf>
    <xf numFmtId="0" fontId="5" fillId="0" borderId="84" xfId="2" applyFont="1" applyFill="1" applyBorder="1" applyAlignment="1">
      <alignment horizontal="center" vertical="center" wrapText="1"/>
    </xf>
    <xf numFmtId="0" fontId="5" fillId="0" borderId="85" xfId="2" applyFont="1" applyFill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7" fillId="2" borderId="56" xfId="2" applyFont="1" applyFill="1" applyBorder="1" applyAlignment="1">
      <alignment horizontal="center" vertical="center" wrapText="1"/>
    </xf>
    <xf numFmtId="0" fontId="7" fillId="2" borderId="10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/>
    </xf>
    <xf numFmtId="0" fontId="6" fillId="0" borderId="57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1" fillId="0" borderId="67" xfId="0" applyFont="1" applyBorder="1"/>
    <xf numFmtId="0" fontId="5" fillId="0" borderId="97" xfId="2" applyFont="1" applyFill="1" applyBorder="1" applyAlignment="1">
      <alignment horizontal="center" vertical="center" wrapText="1"/>
    </xf>
    <xf numFmtId="0" fontId="5" fillId="0" borderId="125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70" xfId="2" applyFont="1" applyFill="1" applyBorder="1" applyAlignment="1">
      <alignment horizontal="center" vertical="center" wrapText="1"/>
    </xf>
    <xf numFmtId="0" fontId="7" fillId="2" borderId="63" xfId="2" applyFont="1" applyFill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wrapText="1" shrinkToFit="1"/>
    </xf>
    <xf numFmtId="0" fontId="8" fillId="0" borderId="70" xfId="0" applyFont="1" applyBorder="1" applyAlignment="1">
      <alignment horizontal="center" wrapText="1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127" xfId="0" applyFont="1" applyBorder="1" applyAlignment="1">
      <alignment horizontal="center" vertical="center" wrapText="1"/>
    </xf>
    <xf numFmtId="0" fontId="16" fillId="0" borderId="130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8" fillId="0" borderId="97" xfId="0" applyFont="1" applyBorder="1"/>
    <xf numFmtId="0" fontId="7" fillId="2" borderId="64" xfId="2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6" fillId="0" borderId="101" xfId="2" applyFont="1" applyFill="1" applyBorder="1" applyAlignment="1">
      <alignment horizontal="center" vertical="center"/>
    </xf>
    <xf numFmtId="0" fontId="6" fillId="0" borderId="71" xfId="2" applyFont="1" applyFill="1" applyBorder="1" applyAlignment="1">
      <alignment horizontal="center" vertical="center"/>
    </xf>
    <xf numFmtId="0" fontId="1" fillId="0" borderId="72" xfId="0" applyFont="1" applyBorder="1"/>
    <xf numFmtId="0" fontId="8" fillId="0" borderId="63" xfId="0" applyFont="1" applyBorder="1"/>
    <xf numFmtId="0" fontId="8" fillId="0" borderId="69" xfId="0" applyFont="1" applyBorder="1"/>
    <xf numFmtId="3" fontId="5" fillId="0" borderId="87" xfId="2" applyNumberFormat="1" applyFont="1" applyFill="1" applyBorder="1" applyAlignment="1">
      <alignment horizontal="center" vertical="center" wrapText="1"/>
    </xf>
    <xf numFmtId="0" fontId="27" fillId="6" borderId="6" xfId="2" applyFont="1" applyFill="1" applyBorder="1" applyAlignment="1">
      <alignment horizontal="left" vertical="center"/>
    </xf>
    <xf numFmtId="0" fontId="8" fillId="0" borderId="78" xfId="0" applyFont="1" applyBorder="1" applyAlignment="1"/>
    <xf numFmtId="0" fontId="16" fillId="0" borderId="44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7" fillId="0" borderId="88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42" fillId="0" borderId="35" xfId="0" applyFont="1" applyBorder="1" applyAlignment="1">
      <alignment vertical="center" wrapText="1"/>
    </xf>
    <xf numFmtId="0" fontId="42" fillId="0" borderId="97" xfId="0" applyFont="1" applyBorder="1" applyAlignment="1">
      <alignment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6" fillId="16" borderId="17" xfId="2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3" fontId="5" fillId="6" borderId="81" xfId="2" applyNumberFormat="1" applyFont="1" applyFill="1" applyBorder="1" applyAlignment="1">
      <alignment horizontal="center" vertical="center"/>
    </xf>
    <xf numFmtId="3" fontId="5" fillId="6" borderId="6" xfId="2" applyNumberFormat="1" applyFont="1" applyFill="1" applyBorder="1" applyAlignment="1">
      <alignment horizontal="center" vertical="center"/>
    </xf>
    <xf numFmtId="3" fontId="5" fillId="6" borderId="31" xfId="2" applyNumberFormat="1" applyFont="1" applyFill="1" applyBorder="1" applyAlignment="1">
      <alignment horizontal="center" vertical="center"/>
    </xf>
    <xf numFmtId="3" fontId="14" fillId="6" borderId="74" xfId="2" applyNumberFormat="1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2" fillId="2" borderId="52" xfId="2" applyFont="1" applyFill="1" applyBorder="1" applyAlignment="1">
      <alignment horizontal="center" vertical="center"/>
    </xf>
    <xf numFmtId="0" fontId="12" fillId="2" borderId="53" xfId="2" applyFont="1" applyFill="1" applyBorder="1" applyAlignment="1">
      <alignment horizontal="center" vertical="center"/>
    </xf>
    <xf numFmtId="0" fontId="12" fillId="2" borderId="107" xfId="2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3" fontId="7" fillId="2" borderId="134" xfId="2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7" fillId="2" borderId="134" xfId="2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6" fillId="6" borderId="17" xfId="2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27" fillId="6" borderId="74" xfId="2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42" fillId="0" borderId="13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6" fillId="0" borderId="3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63" xfId="0" applyFont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left" vertical="top" wrapText="1"/>
    </xf>
    <xf numFmtId="0" fontId="37" fillId="2" borderId="12" xfId="0" applyFont="1" applyFill="1" applyBorder="1" applyAlignment="1">
      <alignment horizontal="left" vertical="top" wrapText="1"/>
    </xf>
    <xf numFmtId="0" fontId="42" fillId="0" borderId="12" xfId="0" applyFont="1" applyBorder="1" applyAlignment="1">
      <alignment vertical="top"/>
    </xf>
    <xf numFmtId="0" fontId="42" fillId="0" borderId="92" xfId="0" applyFont="1" applyBorder="1" applyAlignment="1">
      <alignment vertical="top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top"/>
    </xf>
    <xf numFmtId="0" fontId="5" fillId="0" borderId="8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 2" xfId="4"/>
    <cellStyle name="Normalny_Kopia WPI_zest_u_marszal_05_09_06_nowe" xfId="2"/>
    <cellStyle name="Normalny_WPI Drogi i Transport 2007-2010_DIN" xfId="3"/>
  </cellStyles>
  <dxfs count="0"/>
  <tableStyles count="0" defaultTableStyle="TableStyleMedium2" defaultPivotStyle="PivotStyleLight16"/>
  <colors>
    <mruColors>
      <color rgb="FFFFFF99"/>
      <color rgb="FFFF00FF"/>
      <color rgb="FF0000FF"/>
      <color rgb="FFBCF4FA"/>
      <color rgb="FF0033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544925" y="157353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 rot="4832260">
          <a:off x="14963775" y="7858125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490"/>
  <sheetViews>
    <sheetView showGridLines="0" tabSelected="1" view="pageBreakPreview" zoomScaleNormal="100" zoomScaleSheetLayoutView="100" workbookViewId="0">
      <selection activeCell="Q117" sqref="Q117"/>
    </sheetView>
  </sheetViews>
  <sheetFormatPr defaultRowHeight="12.75" x14ac:dyDescent="0.2"/>
  <cols>
    <col min="1" max="1" width="4.42578125" style="1" customWidth="1"/>
    <col min="2" max="2" width="50.5703125" style="2" customWidth="1"/>
    <col min="3" max="3" width="14.28515625" style="2" customWidth="1"/>
    <col min="4" max="4" width="12.28515625" style="2" hidden="1" customWidth="1"/>
    <col min="5" max="5" width="13.140625" style="17" hidden="1" customWidth="1"/>
    <col min="6" max="6" width="12.7109375" style="3" customWidth="1"/>
    <col min="7" max="7" width="15" style="3" customWidth="1"/>
    <col min="8" max="8" width="14.5703125" style="3" customWidth="1"/>
    <col min="9" max="9" width="9.85546875" style="3" customWidth="1"/>
    <col min="10" max="10" width="12.7109375" style="3" customWidth="1"/>
    <col min="11" max="11" width="11.85546875" style="3" customWidth="1"/>
    <col min="12" max="12" width="13.28515625" style="249" customWidth="1"/>
    <col min="13" max="13" width="12" style="2" hidden="1" customWidth="1"/>
    <col min="14" max="14" width="15.140625" style="2" hidden="1" customWidth="1"/>
    <col min="15" max="16384" width="9.140625" style="2"/>
  </cols>
  <sheetData>
    <row r="1" spans="1:14" ht="18.75" x14ac:dyDescent="0.3">
      <c r="E1" s="3"/>
      <c r="H1" s="43"/>
      <c r="I1" s="43"/>
      <c r="J1" s="3038" t="s">
        <v>370</v>
      </c>
      <c r="K1" s="3038"/>
      <c r="L1" s="3038"/>
    </row>
    <row r="2" spans="1:14" ht="28.5" customHeight="1" x14ac:dyDescent="0.2">
      <c r="E2" s="3"/>
      <c r="H2" s="44"/>
      <c r="I2" s="44"/>
      <c r="J2" s="44"/>
      <c r="K2" s="44"/>
      <c r="L2" s="44"/>
    </row>
    <row r="3" spans="1:14" ht="94.5" customHeight="1" thickBot="1" x14ac:dyDescent="0.4">
      <c r="A3" s="3039" t="s">
        <v>367</v>
      </c>
      <c r="B3" s="3039"/>
      <c r="C3" s="3039"/>
      <c r="D3" s="3039"/>
      <c r="E3" s="3039"/>
      <c r="F3" s="3039"/>
      <c r="G3" s="3039"/>
      <c r="H3" s="3039"/>
      <c r="I3" s="3039"/>
      <c r="J3" s="3039"/>
      <c r="K3" s="3039"/>
      <c r="L3" s="3039"/>
    </row>
    <row r="4" spans="1:14" ht="39.7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16"/>
      <c r="N4" s="46"/>
    </row>
    <row r="5" spans="1:14" ht="38.25" customHeight="1" thickBot="1" x14ac:dyDescent="0.25">
      <c r="A5" s="2997" t="s">
        <v>262</v>
      </c>
      <c r="B5" s="2997"/>
      <c r="C5" s="2997"/>
      <c r="D5" s="2997"/>
      <c r="E5" s="2997"/>
      <c r="F5" s="2997"/>
      <c r="G5" s="2997"/>
      <c r="H5" s="2997"/>
      <c r="I5" s="2997"/>
      <c r="J5" s="2997"/>
      <c r="K5" s="2997"/>
      <c r="L5" s="2997"/>
      <c r="M5" s="3"/>
      <c r="N5" s="47"/>
    </row>
    <row r="6" spans="1:14" s="3" customFormat="1" ht="41.25" customHeight="1" x14ac:dyDescent="0.2">
      <c r="A6" s="3020" t="s">
        <v>1</v>
      </c>
      <c r="B6" s="3021"/>
      <c r="C6" s="3010" t="s">
        <v>381</v>
      </c>
      <c r="D6" s="3011"/>
      <c r="E6" s="3011"/>
      <c r="F6" s="3011"/>
      <c r="G6" s="3012"/>
      <c r="H6" s="3010" t="s">
        <v>314</v>
      </c>
      <c r="I6" s="3011"/>
      <c r="J6" s="3011"/>
      <c r="K6" s="3012"/>
      <c r="L6" s="3002" t="s">
        <v>389</v>
      </c>
      <c r="N6" s="47"/>
    </row>
    <row r="7" spans="1:14" ht="32.25" customHeight="1" x14ac:dyDescent="0.2">
      <c r="A7" s="3022"/>
      <c r="B7" s="3023"/>
      <c r="C7" s="3013" t="s">
        <v>0</v>
      </c>
      <c r="D7" s="3042" t="s">
        <v>163</v>
      </c>
      <c r="E7" s="3045" t="s">
        <v>286</v>
      </c>
      <c r="F7" s="3032" t="s">
        <v>260</v>
      </c>
      <c r="G7" s="3033"/>
      <c r="H7" s="3005" t="s">
        <v>311</v>
      </c>
      <c r="I7" s="3040" t="s">
        <v>339</v>
      </c>
      <c r="J7" s="3041"/>
      <c r="K7" s="3041"/>
      <c r="L7" s="3003"/>
      <c r="M7" s="3"/>
      <c r="N7" s="47"/>
    </row>
    <row r="8" spans="1:14" ht="33" customHeight="1" x14ac:dyDescent="0.2">
      <c r="A8" s="3022"/>
      <c r="B8" s="3023"/>
      <c r="C8" s="3014"/>
      <c r="D8" s="3043"/>
      <c r="E8" s="3046"/>
      <c r="F8" s="3034" t="s">
        <v>318</v>
      </c>
      <c r="G8" s="3036" t="s">
        <v>344</v>
      </c>
      <c r="H8" s="3006"/>
      <c r="I8" s="3008" t="s">
        <v>391</v>
      </c>
      <c r="J8" s="2998" t="s">
        <v>312</v>
      </c>
      <c r="K8" s="3000" t="s">
        <v>390</v>
      </c>
      <c r="L8" s="3003"/>
      <c r="M8" s="3"/>
      <c r="N8" s="47"/>
    </row>
    <row r="9" spans="1:14" ht="54" customHeight="1" x14ac:dyDescent="0.2">
      <c r="A9" s="3024"/>
      <c r="B9" s="3025"/>
      <c r="C9" s="3015"/>
      <c r="D9" s="3044"/>
      <c r="E9" s="3047"/>
      <c r="F9" s="3035"/>
      <c r="G9" s="3037"/>
      <c r="H9" s="3007"/>
      <c r="I9" s="3009"/>
      <c r="J9" s="2999"/>
      <c r="K9" s="3001"/>
      <c r="L9" s="3004"/>
      <c r="M9" s="15"/>
      <c r="N9" s="47"/>
    </row>
    <row r="10" spans="1:14" ht="13.5" customHeight="1" x14ac:dyDescent="0.2">
      <c r="A10" s="3026">
        <v>1</v>
      </c>
      <c r="B10" s="3027"/>
      <c r="C10" s="2966">
        <v>2</v>
      </c>
      <c r="D10" s="2967">
        <v>4</v>
      </c>
      <c r="E10" s="2968">
        <v>5</v>
      </c>
      <c r="F10" s="2969">
        <v>3</v>
      </c>
      <c r="G10" s="2970">
        <v>4</v>
      </c>
      <c r="H10" s="2971">
        <v>5</v>
      </c>
      <c r="I10" s="2972">
        <v>6</v>
      </c>
      <c r="J10" s="2972">
        <v>7</v>
      </c>
      <c r="K10" s="2973">
        <v>8</v>
      </c>
      <c r="L10" s="2974">
        <v>9</v>
      </c>
      <c r="M10" s="48"/>
      <c r="N10" s="49"/>
    </row>
    <row r="11" spans="1:14" ht="16.5" customHeight="1" thickBot="1" x14ac:dyDescent="0.25">
      <c r="A11" s="3028" t="s">
        <v>164</v>
      </c>
      <c r="B11" s="3029"/>
      <c r="C11" s="2958">
        <f t="shared" ref="C11" si="0">C12+C13</f>
        <v>1335044897.4400001</v>
      </c>
      <c r="D11" s="2959">
        <f t="shared" ref="D11:G11" si="1">D12+D13</f>
        <v>405439238.39999998</v>
      </c>
      <c r="E11" s="2959">
        <f t="shared" si="1"/>
        <v>242033154.03999999</v>
      </c>
      <c r="F11" s="2959">
        <f t="shared" si="1"/>
        <v>244682773</v>
      </c>
      <c r="G11" s="2960">
        <f t="shared" si="1"/>
        <v>442889732</v>
      </c>
      <c r="H11" s="2961">
        <f>H12+H13</f>
        <v>886872265.61000013</v>
      </c>
      <c r="I11" s="2962">
        <f>H11/C11*100</f>
        <v>66.430145331487495</v>
      </c>
      <c r="J11" s="2963">
        <f>J12+J13</f>
        <v>239399872.17000002</v>
      </c>
      <c r="K11" s="2964">
        <f>J11/F11*100</f>
        <v>97.840918359217724</v>
      </c>
      <c r="L11" s="2965">
        <f>L12+L13</f>
        <v>-5282900.830000015</v>
      </c>
      <c r="M11" s="56">
        <f>+J11-F11</f>
        <v>-5282900.8299999833</v>
      </c>
      <c r="N11" s="57">
        <f>+L11-M11</f>
        <v>-3.166496753692627E-8</v>
      </c>
    </row>
    <row r="12" spans="1:14" ht="15.75" customHeight="1" thickTop="1" x14ac:dyDescent="0.2">
      <c r="A12" s="14"/>
      <c r="B12" s="58" t="s">
        <v>165</v>
      </c>
      <c r="C12" s="59">
        <f>'Nr 8A-Drogi'!D12+'Nr 8B-Pol społ i rozwój prz'!D10+'Nr 8D-Oświata'!D11+'Nr 8E-Administracja'!D11+'Nr 8G-Rol i och środ'!D10+'Nr 8H-Kultura fiz i tur'!D12+'Nr 8I-Planow przestrzenne'!D12</f>
        <v>320914362.10000002</v>
      </c>
      <c r="D12" s="60">
        <f>'Nr 8A-Drogi'!E12+'Nr 8B-Pol społ i rozwój prz'!E10+'Nr 8D-Oświata'!E11+'Nr 8E-Administracja'!E11+'Nr 8G-Rol i och środ'!E10+'Nr 8H-Kultura fiz i tur'!E12+'Nr 8I-Planow przestrzenne'!E12</f>
        <v>110836411.7</v>
      </c>
      <c r="E12" s="60">
        <f>'Nr 8A-Drogi'!F12+'Nr 8B-Pol społ i rozwój prz'!F10+'Nr 8D-Oświata'!F11+'Nr 8E-Administracja'!F11+'Nr 8G-Rol i och środ'!F10+'Nr 8H-Kultura fiz i tur'!F12+'Nr 8I-Planow przestrzenne'!F12</f>
        <v>42906079.399999999</v>
      </c>
      <c r="F12" s="60">
        <f>'Nr 8A-Drogi'!G12+'Nr 8B-Pol społ i rozwój prz'!G10+'Nr 8D-Oświata'!G11+'Nr 8E-Administracja'!G11+'Nr 8G-Rol i och środ'!G10+'Nr 8H-Kultura fiz i tur'!G12+'Nr 8I-Planow przestrzenne'!G12</f>
        <v>54623397</v>
      </c>
      <c r="G12" s="61">
        <f>'Nr 8A-Drogi'!H12+'Nr 8B-Pol społ i rozwój prz'!H10+'Nr 8D-Oświata'!H11+'Nr 8E-Administracja'!H11+'Nr 8G-Rol i och środ'!H10+'Nr 8H-Kultura fiz i tur'!H12+'Nr 8I-Planow przestrzenne'!H12</f>
        <v>112548474</v>
      </c>
      <c r="H12" s="62">
        <f>'Nr 8A-Drogi'!I12+'Nr 8B-Pol społ i rozwój prz'!I10+'Nr 8D-Oświata'!I11+'Nr 8E-Administracja'!I11+'Nr 8G-Rol i och środ'!I10+'Nr 8H-Kultura fiz i tur'!I12+'Nr 8I-Planow przestrzenne'!I12</f>
        <v>204649852.95999998</v>
      </c>
      <c r="I12" s="63">
        <f t="shared" ref="I12:I41" si="2">H12/C12*100</f>
        <v>63.770861366506594</v>
      </c>
      <c r="J12" s="60">
        <f>'Nr 8A-Drogi'!K12+'Nr 8B-Pol społ i rozwój prz'!K10+'Nr 8D-Oświata'!K11+'Nr 8E-Administracja'!K11+'Nr 8G-Rol i och środ'!K10+'Nr 8H-Kultura fiz i tur'!K12+'Nr 8I-Planow przestrzenne'!K12</f>
        <v>50907360.859999999</v>
      </c>
      <c r="K12" s="64">
        <f t="shared" ref="K12:K18" si="3">J12/F12*100</f>
        <v>93.196988206354135</v>
      </c>
      <c r="L12" s="65">
        <f>'Nr 8A-Drogi'!M12+'Nr 8B-Pol społ i rozwój prz'!M10+'Nr 8D-Oświata'!M11+'Nr 8E-Administracja'!M11+'Nr 8G-Rol i och środ'!M10+'Nr 8H-Kultura fiz i tur'!M12+'Nr 8I-Planow przestrzenne'!M12</f>
        <v>-3716036.1400000011</v>
      </c>
      <c r="M12" s="56">
        <f t="shared" ref="M12:M13" si="4">+J12-F12</f>
        <v>-3716036.1400000006</v>
      </c>
      <c r="N12" s="49"/>
    </row>
    <row r="13" spans="1:14" ht="13.5" customHeight="1" x14ac:dyDescent="0.2">
      <c r="A13" s="14"/>
      <c r="B13" s="2922" t="s">
        <v>166</v>
      </c>
      <c r="C13" s="2836">
        <f>'Nr 8A-Drogi'!D13+'Nr 8B-Pol społ i rozwój prz'!D11+'Nr 8D-Oświata'!D12+'Nr 8E-Administracja'!D12+'Nr 8G-Rol i och środ'!D11+'Nr 8H-Kultura fiz i tur'!D13+'Nr 8I-Planow przestrzenne'!D13</f>
        <v>1014130535.34</v>
      </c>
      <c r="D13" s="2837">
        <f>'Nr 8A-Drogi'!E13+'Nr 8B-Pol społ i rozwój prz'!E11+'Nr 8D-Oświata'!E12+'Nr 8E-Administracja'!E12+'Nr 8G-Rol i och środ'!E11+'Nr 8H-Kultura fiz i tur'!E13+'Nr 8I-Planow przestrzenne'!E13</f>
        <v>294602826.69999999</v>
      </c>
      <c r="E13" s="2837">
        <f>'Nr 8A-Drogi'!F13+'Nr 8B-Pol społ i rozwój prz'!F11+'Nr 8D-Oświata'!F12+'Nr 8E-Administracja'!F12+'Nr 8G-Rol i och środ'!F11+'Nr 8H-Kultura fiz i tur'!F13+'Nr 8I-Planow przestrzenne'!F13</f>
        <v>199127074.63999999</v>
      </c>
      <c r="F13" s="2837">
        <f>'Nr 8A-Drogi'!G13+'Nr 8B-Pol społ i rozwój prz'!G11+'Nr 8D-Oświata'!G12+'Nr 8E-Administracja'!G12+'Nr 8G-Rol i och środ'!G11+'Nr 8H-Kultura fiz i tur'!G13+'Nr 8I-Planow przestrzenne'!G13</f>
        <v>190059376</v>
      </c>
      <c r="G13" s="2838">
        <f>'Nr 8A-Drogi'!H13+'Nr 8B-Pol społ i rozwój prz'!H11+'Nr 8D-Oświata'!H12+'Nr 8E-Administracja'!H12+'Nr 8G-Rol i och środ'!H11+'Nr 8H-Kultura fiz i tur'!H13+'Nr 8I-Planow przestrzenne'!H13</f>
        <v>330341258</v>
      </c>
      <c r="H13" s="2839">
        <f>'Nr 8A-Drogi'!I13+'Nr 8B-Pol społ i rozwój prz'!I11+'Nr 8D-Oświata'!I12+'Nr 8E-Administracja'!I12+'Nr 8G-Rol i och środ'!I11+'Nr 8H-Kultura fiz i tur'!I13+'Nr 8I-Planow przestrzenne'!I13</f>
        <v>682222412.6500001</v>
      </c>
      <c r="I13" s="2840">
        <f t="shared" si="2"/>
        <v>67.271656742026451</v>
      </c>
      <c r="J13" s="2837">
        <f>'Nr 8A-Drogi'!K13+'Nr 8B-Pol społ i rozwój prz'!K11+'Nr 8D-Oświata'!K12+'Nr 8E-Administracja'!K12+'Nr 8G-Rol i och środ'!K11+'Nr 8H-Kultura fiz i tur'!K13+'Nr 8I-Planow przestrzenne'!K13</f>
        <v>188492511.31</v>
      </c>
      <c r="K13" s="2841">
        <f t="shared" si="3"/>
        <v>99.17559200552148</v>
      </c>
      <c r="L13" s="2923">
        <f>'Nr 8A-Drogi'!M13+'Nr 8B-Pol społ i rozwój prz'!M11+'Nr 8D-Oświata'!M12+'Nr 8E-Administracja'!M12+'Nr 8G-Rol i och środ'!M11+'Nr 8H-Kultura fiz i tur'!M13+'Nr 8I-Planow przestrzenne'!M13</f>
        <v>-1566864.6900000134</v>
      </c>
      <c r="M13" s="56">
        <f t="shared" si="4"/>
        <v>-1566864.6899999976</v>
      </c>
      <c r="N13" s="49"/>
    </row>
    <row r="14" spans="1:14" s="4" customFormat="1" ht="15.75" customHeight="1" x14ac:dyDescent="0.2">
      <c r="A14" s="3030" t="s">
        <v>2</v>
      </c>
      <c r="B14" s="3031"/>
      <c r="C14" s="68">
        <f>+C15+C22</f>
        <v>1335044897.4399998</v>
      </c>
      <c r="D14" s="69">
        <f t="shared" ref="D14:G14" si="5">+D15+D22</f>
        <v>405439238.39999998</v>
      </c>
      <c r="E14" s="69">
        <f t="shared" si="5"/>
        <v>242033154.03999996</v>
      </c>
      <c r="F14" s="69">
        <f t="shared" si="5"/>
        <v>244682773</v>
      </c>
      <c r="G14" s="70">
        <f t="shared" si="5"/>
        <v>442889732</v>
      </c>
      <c r="H14" s="71">
        <f>+H15+H22</f>
        <v>886872265.6099999</v>
      </c>
      <c r="I14" s="72">
        <f t="shared" si="2"/>
        <v>66.430145331487481</v>
      </c>
      <c r="J14" s="69">
        <f>+J15+J22</f>
        <v>239399873.16999999</v>
      </c>
      <c r="K14" s="73">
        <f t="shared" si="3"/>
        <v>97.840918767910139</v>
      </c>
      <c r="L14" s="74">
        <f>+L15+L22</f>
        <v>-5282899.8300000168</v>
      </c>
      <c r="M14" s="56"/>
      <c r="N14" s="57"/>
    </row>
    <row r="15" spans="1:14" s="6" customFormat="1" ht="15" customHeight="1" x14ac:dyDescent="0.2">
      <c r="A15" s="2890"/>
      <c r="B15" s="75" t="s">
        <v>3</v>
      </c>
      <c r="C15" s="76">
        <f>SUM(C16:C21)</f>
        <v>398379464.21999997</v>
      </c>
      <c r="D15" s="5">
        <f t="shared" ref="D15:G15" si="6">SUM(D16:D21)</f>
        <v>149422528.40000001</v>
      </c>
      <c r="E15" s="5">
        <f t="shared" si="6"/>
        <v>65945086.82</v>
      </c>
      <c r="F15" s="5">
        <f t="shared" si="6"/>
        <v>64705286</v>
      </c>
      <c r="G15" s="77">
        <f t="shared" si="6"/>
        <v>118306563</v>
      </c>
      <c r="H15" s="18">
        <f>SUM(H16:H21)</f>
        <v>279012426.38</v>
      </c>
      <c r="I15" s="78">
        <f t="shared" si="2"/>
        <v>70.036849646928317</v>
      </c>
      <c r="J15" s="5">
        <f t="shared" ref="J15" si="7">SUM(J16:J21)</f>
        <v>63644811.159999996</v>
      </c>
      <c r="K15" s="79">
        <f t="shared" si="3"/>
        <v>98.361069233199899</v>
      </c>
      <c r="L15" s="19">
        <f>SUM(L16:L21)</f>
        <v>-1060474.8400000061</v>
      </c>
      <c r="M15" s="56"/>
      <c r="N15" s="57"/>
    </row>
    <row r="16" spans="1:14" s="9" customFormat="1" ht="15.75" customHeight="1" x14ac:dyDescent="0.2">
      <c r="A16" s="2890"/>
      <c r="B16" s="80" t="s">
        <v>4</v>
      </c>
      <c r="C16" s="81">
        <f>'Nr 8A-Drogi'!D16+'Nr 8B-Pol społ i rozwój prz'!D14+'Nr 8D-Oświata'!D15+'Nr 8E-Administracja'!D15+'Nr 8G-Rol i och środ'!D14+'Nr 8H-Kultura fiz i tur'!D16+'Nr 8I-Planow przestrzenne'!D16</f>
        <v>132662449.97</v>
      </c>
      <c r="D16" s="82">
        <f>'Nr 8A-Drogi'!E16+'Nr 8B-Pol społ i rozwój prz'!E14+'Nr 8D-Oświata'!E15+'Nr 8E-Administracja'!E15+'Nr 8G-Rol i och środ'!E14+'Nr 8H-Kultura fiz i tur'!E16+'Nr 8I-Planow przestrzenne'!E16</f>
        <v>30957250</v>
      </c>
      <c r="E16" s="82">
        <f>'Nr 8A-Drogi'!F16+'Nr 8B-Pol społ i rozwój prz'!F14+'Nr 8D-Oświata'!F15+'Nr 8E-Administracja'!F15+'Nr 8G-Rol i och środ'!F14+'Nr 8H-Kultura fiz i tur'!F16+'Nr 8I-Planow przestrzenne'!F16</f>
        <v>19832478.969999999</v>
      </c>
      <c r="F16" s="82">
        <f>'Nr 8A-Drogi'!G16+'Nr 8B-Pol społ i rozwój prz'!G14+'Nr 8D-Oświata'!G15+'Nr 8E-Administracja'!G15+'Nr 8G-Rol i och środ'!G14+'Nr 8H-Kultura fiz i tur'!G16+'Nr 8I-Planow przestrzenne'!G16</f>
        <v>29446771</v>
      </c>
      <c r="G16" s="83">
        <f>'Nr 8A-Drogi'!H16+'Nr 8B-Pol społ i rozwój prz'!H14+'Nr 8D-Oświata'!H15+'Nr 8E-Administracja'!H15+'Nr 8G-Rol i och środ'!H14+'Nr 8H-Kultura fiz i tur'!H16+'Nr 8I-Planow przestrzenne'!H16</f>
        <v>52425950</v>
      </c>
      <c r="H16" s="84">
        <f>'Nr 8A-Drogi'!I16+'Nr 8B-Pol społ i rozwój prz'!I14+'Nr 8D-Oświata'!I15+'Nr 8E-Administracja'!I15+'Nr 8G-Rol i och środ'!I14+'Nr 8H-Kultura fiz i tur'!I16+'Nr 8I-Planow przestrzenne'!I16</f>
        <v>79452131.849999994</v>
      </c>
      <c r="I16" s="85">
        <f t="shared" si="2"/>
        <v>59.890445162114169</v>
      </c>
      <c r="J16" s="86">
        <f>'Nr 8A-Drogi'!K16+'Nr 8B-Pol społ i rozwój prz'!K14+'Nr 8D-Oświata'!K15+'Nr 8E-Administracja'!K15+'Nr 8G-Rol i och środ'!K14+'Nr 8H-Kultura fiz i tur'!K16+'Nr 8I-Planow przestrzenne'!K16</f>
        <v>28662402.879999995</v>
      </c>
      <c r="K16" s="87">
        <f t="shared" si="3"/>
        <v>97.336318742723932</v>
      </c>
      <c r="L16" s="83">
        <f>+J16-F16</f>
        <v>-784368.12000000477</v>
      </c>
      <c r="M16" s="56"/>
      <c r="N16" s="57"/>
    </row>
    <row r="17" spans="1:14" s="9" customFormat="1" ht="15.75" customHeight="1" x14ac:dyDescent="0.2">
      <c r="A17" s="2890"/>
      <c r="B17" s="88" t="s">
        <v>7</v>
      </c>
      <c r="C17" s="81">
        <f>'Nr 8A-Drogi'!D17+'Nr 8B-Pol społ i rozwój prz'!D15+'Nr 8E-Administracja'!D16+'Nr 8G-Rol i och środ'!D15</f>
        <v>50786842.460000001</v>
      </c>
      <c r="D17" s="82">
        <f>'Nr 8A-Drogi'!E17+'Nr 8B-Pol społ i rozwój prz'!E15+'Nr 8E-Administracja'!E16+'Nr 8G-Rol i och środ'!E15</f>
        <v>20063864</v>
      </c>
      <c r="E17" s="82">
        <f>'Nr 8A-Drogi'!F17+'Nr 8B-Pol społ i rozwój prz'!F15+'Nr 8E-Administracja'!F16+'Nr 8G-Rol i och środ'!F15</f>
        <v>8745340.4600000009</v>
      </c>
      <c r="F17" s="82">
        <f>'Nr 8A-Drogi'!G17+'Nr 8B-Pol społ i rozwój prz'!G15+'Nr 8E-Administracja'!G16+'Nr 8G-Rol i och środ'!G15</f>
        <v>5238988</v>
      </c>
      <c r="G17" s="83">
        <f>'Nr 8A-Drogi'!H17+'Nr 8B-Pol społ i rozwój prz'!H15+'Nr 8E-Administracja'!H16+'Nr 8G-Rol i och środ'!H15</f>
        <v>16738650</v>
      </c>
      <c r="H17" s="84">
        <f>'Nr 8A-Drogi'!I17+'Nr 8B-Pol społ i rozwój prz'!I15+'Nr 8E-Administracja'!I16+'Nr 8G-Rol i och środ'!I15</f>
        <v>33840666.809999995</v>
      </c>
      <c r="I17" s="85">
        <f t="shared" si="2"/>
        <v>66.63274417316471</v>
      </c>
      <c r="J17" s="86">
        <f>'Nr 8A-Drogi'!K17+'Nr 8B-Pol społ i rozwój prz'!K15+'Nr 8E-Administracja'!K16+'Nr 8G-Rol i och środ'!K15</f>
        <v>5031462.3499999996</v>
      </c>
      <c r="K17" s="87">
        <f t="shared" si="3"/>
        <v>96.038821810624484</v>
      </c>
      <c r="L17" s="83">
        <f t="shared" ref="L17:L21" si="8">+J17-F17</f>
        <v>-207525.65000000037</v>
      </c>
      <c r="M17" s="7">
        <f>C17-C30</f>
        <v>0.75999999791383743</v>
      </c>
      <c r="N17" s="89"/>
    </row>
    <row r="18" spans="1:14" s="9" customFormat="1" ht="16.5" customHeight="1" x14ac:dyDescent="0.2">
      <c r="A18" s="2890"/>
      <c r="B18" s="88" t="s">
        <v>8</v>
      </c>
      <c r="C18" s="81">
        <f>+'Nr 8G-Rol i och środ'!D16</f>
        <v>65855448.400000006</v>
      </c>
      <c r="D18" s="82">
        <f>+'Nr 8G-Rol i och środ'!E16</f>
        <v>29017478.399999999</v>
      </c>
      <c r="E18" s="82">
        <f>+'Nr 8G-Rol i och środ'!F16</f>
        <v>12744811</v>
      </c>
      <c r="F18" s="82">
        <f>+'Nr 8G-Rol i och środ'!G16</f>
        <v>9726690</v>
      </c>
      <c r="G18" s="83">
        <f>+'Nr 8G-Rol i och środ'!H16</f>
        <v>14366469</v>
      </c>
      <c r="H18" s="84">
        <f>+'Nr 8G-Rol i och środ'!I16</f>
        <v>51422230.020000003</v>
      </c>
      <c r="I18" s="85">
        <f t="shared" si="2"/>
        <v>78.083486286003335</v>
      </c>
      <c r="J18" s="86">
        <f>'Nr 8G-Rol i och środ'!K16</f>
        <v>9659940.6199999992</v>
      </c>
      <c r="K18" s="87">
        <f t="shared" si="3"/>
        <v>99.313750309714806</v>
      </c>
      <c r="L18" s="83">
        <f t="shared" si="8"/>
        <v>-66749.38000000082</v>
      </c>
      <c r="M18" s="56">
        <f>C18-C31</f>
        <v>0</v>
      </c>
      <c r="N18" s="57"/>
    </row>
    <row r="19" spans="1:14" s="9" customFormat="1" ht="15.75" customHeight="1" x14ac:dyDescent="0.2">
      <c r="A19" s="2890"/>
      <c r="B19" s="88" t="s">
        <v>9</v>
      </c>
      <c r="C19" s="90">
        <f>'Nr 8A-Drogi'!D18</f>
        <v>18002944.07</v>
      </c>
      <c r="D19" s="91">
        <f>'Nr 8A-Drogi'!E18</f>
        <v>12350072</v>
      </c>
      <c r="E19" s="91">
        <f>'Nr 8A-Drogi'!F18</f>
        <v>5652872.0700000003</v>
      </c>
      <c r="F19" s="91">
        <f>'Nr 8A-Drogi'!G18</f>
        <v>0</v>
      </c>
      <c r="G19" s="92">
        <f>'Nr 8A-Drogi'!H18</f>
        <v>0</v>
      </c>
      <c r="H19" s="90">
        <f>'Nr 8A-Drogi'!I18</f>
        <v>18002944.07</v>
      </c>
      <c r="I19" s="85">
        <f t="shared" si="2"/>
        <v>100</v>
      </c>
      <c r="J19" s="93">
        <f>'Nr 8A-Drogi'!K18</f>
        <v>0</v>
      </c>
      <c r="K19" s="94">
        <v>0</v>
      </c>
      <c r="L19" s="83">
        <f t="shared" si="8"/>
        <v>0</v>
      </c>
      <c r="M19" s="56">
        <f>C19-C32</f>
        <v>7.0000000298023224E-2</v>
      </c>
      <c r="N19" s="57"/>
    </row>
    <row r="20" spans="1:14" s="9" customFormat="1" ht="15.75" customHeight="1" x14ac:dyDescent="0.2">
      <c r="A20" s="2890"/>
      <c r="B20" s="88" t="s">
        <v>10</v>
      </c>
      <c r="C20" s="90">
        <f>'Nr 8A-Drogi'!D19+'Nr 8G-Rol i och środ'!D17</f>
        <v>56040780</v>
      </c>
      <c r="D20" s="91">
        <f>'Nr 8A-Drogi'!E19+'Nr 8G-Rol i och środ'!E17</f>
        <v>0</v>
      </c>
      <c r="E20" s="91">
        <f>'Nr 8A-Drogi'!F19+'Nr 8G-Rol i och środ'!F17</f>
        <v>3801777</v>
      </c>
      <c r="F20" s="91">
        <f>'Nr 8A-Drogi'!G19+'Nr 8G-Rol i och środ'!G17</f>
        <v>18921341</v>
      </c>
      <c r="G20" s="92">
        <f>'Nr 8A-Drogi'!H19+'Nr 8G-Rol i och środ'!H17</f>
        <v>33317662</v>
      </c>
      <c r="H20" s="95">
        <f>'Nr 8A-Drogi'!I19+'Nr 8G-Rol i och środ'!I17</f>
        <v>22723116.59</v>
      </c>
      <c r="I20" s="85">
        <f t="shared" si="2"/>
        <v>40.547466666238407</v>
      </c>
      <c r="J20" s="91">
        <f>'Nr 8A-Drogi'!K19+'Nr 8G-Rol i och środ'!K17</f>
        <v>18921339.59</v>
      </c>
      <c r="K20" s="87">
        <f>J20/F20*100</f>
        <v>99.999992548096884</v>
      </c>
      <c r="L20" s="83">
        <f t="shared" si="8"/>
        <v>-1.4100000001490116</v>
      </c>
      <c r="M20" s="56">
        <f>C20-C33</f>
        <v>0</v>
      </c>
      <c r="N20" s="57"/>
    </row>
    <row r="21" spans="1:14" s="9" customFormat="1" ht="15.75" customHeight="1" x14ac:dyDescent="0.2">
      <c r="A21" s="2890"/>
      <c r="B21" s="88" t="s">
        <v>11</v>
      </c>
      <c r="C21" s="90">
        <f>'Nr 8A-Drogi'!D42</f>
        <v>75030999.319999993</v>
      </c>
      <c r="D21" s="91">
        <f>'Nr 8A-Drogi'!E42</f>
        <v>57033864</v>
      </c>
      <c r="E21" s="91">
        <f>'Nr 8A-Drogi'!F42</f>
        <v>15167807.32</v>
      </c>
      <c r="F21" s="91">
        <f>'Nr 8A-Drogi'!G42</f>
        <v>1371496</v>
      </c>
      <c r="G21" s="92">
        <f>'Nr 8A-Drogi'!H42</f>
        <v>1457832</v>
      </c>
      <c r="H21" s="95">
        <f>'Nr 8A-Drogi'!I42</f>
        <v>73571337.039999992</v>
      </c>
      <c r="I21" s="85">
        <f t="shared" si="2"/>
        <v>98.054587712773639</v>
      </c>
      <c r="J21" s="91">
        <f>'Nr 8A-Drogi'!K42</f>
        <v>1369665.72</v>
      </c>
      <c r="K21" s="87">
        <f>J21/F21*100</f>
        <v>99.866548644691633</v>
      </c>
      <c r="L21" s="83">
        <f t="shared" si="8"/>
        <v>-1830.2800000000279</v>
      </c>
      <c r="M21" s="56">
        <f>C21-C35</f>
        <v>-0.63000001013278961</v>
      </c>
      <c r="N21" s="57"/>
    </row>
    <row r="22" spans="1:14" s="9" customFormat="1" ht="13.5" customHeight="1" x14ac:dyDescent="0.2">
      <c r="A22" s="2890"/>
      <c r="B22" s="96" t="s">
        <v>12</v>
      </c>
      <c r="C22" s="97">
        <f>SUM(C23:C27)</f>
        <v>936665433.21999991</v>
      </c>
      <c r="D22" s="98">
        <f t="shared" ref="D22:G22" si="9">SUM(D23:D27)</f>
        <v>256016710</v>
      </c>
      <c r="E22" s="98">
        <f t="shared" si="9"/>
        <v>176088067.21999997</v>
      </c>
      <c r="F22" s="98">
        <f t="shared" si="9"/>
        <v>179977487</v>
      </c>
      <c r="G22" s="99">
        <f t="shared" si="9"/>
        <v>324583169</v>
      </c>
      <c r="H22" s="100">
        <f>SUM(H23:H27)</f>
        <v>607859839.2299999</v>
      </c>
      <c r="I22" s="101">
        <f t="shared" si="2"/>
        <v>64.896153703499422</v>
      </c>
      <c r="J22" s="98">
        <f>SUM(J23:J27)</f>
        <v>175755062.00999999</v>
      </c>
      <c r="K22" s="102">
        <f>J22/F22*100</f>
        <v>97.653914908813007</v>
      </c>
      <c r="L22" s="103">
        <f>SUM(L23:L27)</f>
        <v>-4222424.9900000105</v>
      </c>
      <c r="M22" s="56"/>
      <c r="N22" s="57"/>
    </row>
    <row r="23" spans="1:14" s="9" customFormat="1" ht="13.5" customHeight="1" x14ac:dyDescent="0.2">
      <c r="A23" s="2890"/>
      <c r="B23" s="88" t="s">
        <v>4</v>
      </c>
      <c r="C23" s="90">
        <f>'Nr 8G-Rol i och środ'!D19</f>
        <v>5118817</v>
      </c>
      <c r="D23" s="91">
        <f>'Nr 8G-Rol i och środ'!E19</f>
        <v>5093947</v>
      </c>
      <c r="E23" s="91">
        <f>'Nr 8G-Rol i och środ'!F19</f>
        <v>24870</v>
      </c>
      <c r="F23" s="91">
        <f>'Nr 8G-Rol i och środ'!G19</f>
        <v>0</v>
      </c>
      <c r="G23" s="92">
        <f>'Nr 8G-Rol i och środ'!H19</f>
        <v>0</v>
      </c>
      <c r="H23" s="95">
        <f>'Nr 8G-Rol i och środ'!I19</f>
        <v>5118817</v>
      </c>
      <c r="I23" s="85">
        <f t="shared" si="2"/>
        <v>100</v>
      </c>
      <c r="J23" s="104">
        <f>'Nr 8G-Rol i och środ'!K19</f>
        <v>0</v>
      </c>
      <c r="K23" s="94">
        <v>0</v>
      </c>
      <c r="L23" s="83">
        <f>+J23-F23</f>
        <v>0</v>
      </c>
      <c r="M23" s="56"/>
      <c r="N23" s="57"/>
    </row>
    <row r="24" spans="1:14" s="9" customFormat="1" ht="13.5" customHeight="1" x14ac:dyDescent="0.2">
      <c r="A24" s="2890"/>
      <c r="B24" s="105" t="s">
        <v>358</v>
      </c>
      <c r="C24" s="106">
        <f>+'Nr 8A-Drogi'!D23</f>
        <v>0</v>
      </c>
      <c r="D24" s="106">
        <f>+'Nr 8A-Drogi'!E23</f>
        <v>0</v>
      </c>
      <c r="E24" s="106">
        <f>+'Nr 8A-Drogi'!F23</f>
        <v>0</v>
      </c>
      <c r="F24" s="107">
        <f>+'Nr 8A-Drogi'!G23</f>
        <v>0</v>
      </c>
      <c r="G24" s="108">
        <f>+'Nr 8A-Drogi'!H23</f>
        <v>0</v>
      </c>
      <c r="H24" s="109">
        <f>+'Nr 8A-Drogi'!I23</f>
        <v>1023120</v>
      </c>
      <c r="I24" s="110">
        <v>0</v>
      </c>
      <c r="J24" s="107">
        <f>+'Nr 8A-Drogi'!K23</f>
        <v>1023120</v>
      </c>
      <c r="K24" s="111">
        <v>0</v>
      </c>
      <c r="L24" s="112">
        <f t="shared" ref="L24:L27" si="10">+J24-F24</f>
        <v>1023120</v>
      </c>
      <c r="M24" s="56"/>
      <c r="N24" s="57"/>
    </row>
    <row r="25" spans="1:14" s="9" customFormat="1" ht="16.5" customHeight="1" x14ac:dyDescent="0.2">
      <c r="A25" s="2890"/>
      <c r="B25" s="88" t="s">
        <v>13</v>
      </c>
      <c r="C25" s="90">
        <f>'Nr 8A-Drogi'!D24+'Nr 8D-Oświata'!D17+'Nr 8G-Rol i och środ'!D22</f>
        <v>33615558</v>
      </c>
      <c r="D25" s="91">
        <f>'Nr 8A-Drogi'!E24+'Nr 8D-Oświata'!E17+'Nr 8G-Rol i och środ'!E22</f>
        <v>6418340</v>
      </c>
      <c r="E25" s="91">
        <f>'Nr 8A-Drogi'!F24+'Nr 8D-Oświata'!F17+'Nr 8G-Rol i och środ'!F22</f>
        <v>11113723</v>
      </c>
      <c r="F25" s="91">
        <f>'Nr 8A-Drogi'!G24+'Nr 8D-Oświata'!G17+'Nr 8G-Rol i och środ'!G22</f>
        <v>1214259</v>
      </c>
      <c r="G25" s="92">
        <f>'Nr 8A-Drogi'!H24+'Nr 8D-Oświata'!H17+'Nr 8G-Rol i och środ'!H22</f>
        <v>14869236</v>
      </c>
      <c r="H25" s="95">
        <f>'Nr 8A-Drogi'!I24+'Nr 8D-Oświata'!I17+'Nr 8G-Rol i och środ'!I22</f>
        <v>18708292.84</v>
      </c>
      <c r="I25" s="85">
        <f t="shared" si="2"/>
        <v>55.65367333780388</v>
      </c>
      <c r="J25" s="91">
        <f>'Nr 8A-Drogi'!K24+'Nr 8D-Oświata'!K17+'Nr 8G-Rol i och środ'!K22</f>
        <v>1176229.8399999999</v>
      </c>
      <c r="K25" s="87">
        <f t="shared" ref="K25:K33" si="11">J25/F25*100</f>
        <v>96.868117922123687</v>
      </c>
      <c r="L25" s="83">
        <f t="shared" si="10"/>
        <v>-38029.160000000149</v>
      </c>
      <c r="M25" s="56">
        <f>C25-C40</f>
        <v>-5118817</v>
      </c>
      <c r="N25" s="57"/>
    </row>
    <row r="26" spans="1:14" s="9" customFormat="1" ht="16.5" customHeight="1" x14ac:dyDescent="0.2">
      <c r="A26" s="2890"/>
      <c r="B26" s="88" t="s">
        <v>8</v>
      </c>
      <c r="C26" s="90">
        <f>+'Nr 8G-Rol i och środ'!D21</f>
        <v>46846207.599999994</v>
      </c>
      <c r="D26" s="91">
        <f>+'Nr 8G-Rol i och środ'!E21</f>
        <v>31284995.600000001</v>
      </c>
      <c r="E26" s="91">
        <f>+'Nr 8G-Rol i och środ'!F21</f>
        <v>3753212</v>
      </c>
      <c r="F26" s="91">
        <f>+'Nr 8G-Rol i och środ'!G21</f>
        <v>5011660</v>
      </c>
      <c r="G26" s="92">
        <f>+'Nr 8G-Rol i och środ'!H21</f>
        <v>6796340</v>
      </c>
      <c r="H26" s="95">
        <f>+'Nr 8G-Rol i och środ'!I21</f>
        <v>39750071.789999992</v>
      </c>
      <c r="I26" s="85">
        <f t="shared" si="2"/>
        <v>84.852272630922627</v>
      </c>
      <c r="J26" s="91">
        <f>+'Nr 8G-Rol i och środ'!K21</f>
        <v>4711864.1900000004</v>
      </c>
      <c r="K26" s="87">
        <f t="shared" si="11"/>
        <v>94.018033745305956</v>
      </c>
      <c r="L26" s="83">
        <f t="shared" si="10"/>
        <v>-299795.80999999959</v>
      </c>
      <c r="M26" s="56">
        <f>C26-C39</f>
        <v>0</v>
      </c>
      <c r="N26" s="57"/>
    </row>
    <row r="27" spans="1:14" s="9" customFormat="1" ht="16.5" customHeight="1" x14ac:dyDescent="0.2">
      <c r="A27" s="2890"/>
      <c r="B27" s="88" t="s">
        <v>14</v>
      </c>
      <c r="C27" s="90">
        <f>'Nr 8A-Drogi'!D25+'Nr 8B-Pol społ i rozwój prz'!D17+'Nr 8E-Administracja'!D18+'Nr 8G-Rol i och środ'!D20+'Nr 8H-Kultura fiz i tur'!D18+'Nr 8I-Planow przestrzenne'!D18</f>
        <v>851084850.61999989</v>
      </c>
      <c r="D27" s="91">
        <f>'Nr 8A-Drogi'!E25+'Nr 8B-Pol społ i rozwój prz'!E17+'Nr 8E-Administracja'!E18+'Nr 8G-Rol i och środ'!E20+'Nr 8H-Kultura fiz i tur'!E18+'Nr 8I-Planow przestrzenne'!E18</f>
        <v>213219427.40000001</v>
      </c>
      <c r="E27" s="91">
        <f>'Nr 8A-Drogi'!F25+'Nr 8B-Pol społ i rozwój prz'!F17+'Nr 8E-Administracja'!F18+'Nr 8G-Rol i och środ'!F20+'Nr 8H-Kultura fiz i tur'!F18+'Nr 8I-Planow przestrzenne'!F18</f>
        <v>161196262.21999997</v>
      </c>
      <c r="F27" s="91">
        <f>'Nr 8A-Drogi'!G25+'Nr 8B-Pol społ i rozwój prz'!G17+'Nr 8E-Administracja'!G18+'Nr 8G-Rol i och środ'!G20+'Nr 8H-Kultura fiz i tur'!G18+'Nr 8I-Planow przestrzenne'!G18</f>
        <v>173751568</v>
      </c>
      <c r="G27" s="92">
        <f>'Nr 8A-Drogi'!H25+'Nr 8B-Pol społ i rozwój prz'!H17+'Nr 8E-Administracja'!H18+'Nr 8G-Rol i och środ'!H20+'Nr 8H-Kultura fiz i tur'!H18+'Nr 8I-Planow przestrzenne'!H18</f>
        <v>302917593</v>
      </c>
      <c r="H27" s="95">
        <f>'Nr 8A-Drogi'!I25+'Nr 8B-Pol społ i rozwój prz'!I17+'Nr 8E-Administracja'!I18+'Nr 8G-Rol i och środ'!I20+'Nr 8H-Kultura fiz i tur'!I18+'Nr 8I-Planow przestrzenne'!I18</f>
        <v>543259537.5999999</v>
      </c>
      <c r="I27" s="85">
        <f t="shared" si="2"/>
        <v>63.831419065237171</v>
      </c>
      <c r="J27" s="91">
        <f>'Nr 8A-Drogi'!K25+'Nr 8B-Pol społ i rozwój prz'!K17+'Nr 8E-Administracja'!K18+'Nr 8G-Rol i och środ'!K20+'Nr 8H-Kultura fiz i tur'!K18+'Nr 8I-Planow przestrzenne'!K18</f>
        <v>168843847.97999999</v>
      </c>
      <c r="K27" s="87">
        <f t="shared" si="11"/>
        <v>97.175438428273637</v>
      </c>
      <c r="L27" s="83">
        <f t="shared" si="10"/>
        <v>-4907720.0200000107</v>
      </c>
      <c r="M27" s="56">
        <f>C27-C41</f>
        <v>-0.42000007629394531</v>
      </c>
      <c r="N27" s="57"/>
    </row>
    <row r="28" spans="1:14" s="10" customFormat="1" ht="15.75" customHeight="1" x14ac:dyDescent="0.2">
      <c r="A28" s="3030" t="s">
        <v>16</v>
      </c>
      <c r="B28" s="3031"/>
      <c r="C28" s="113">
        <f>+C29+C37</f>
        <v>1204848261.6900001</v>
      </c>
      <c r="D28" s="114">
        <f t="shared" ref="D28:H28" si="12">+D29+D37</f>
        <v>342520569.39999998</v>
      </c>
      <c r="E28" s="114">
        <f t="shared" si="12"/>
        <v>239354661.28999999</v>
      </c>
      <c r="F28" s="114">
        <f t="shared" si="12"/>
        <v>224721241</v>
      </c>
      <c r="G28" s="115">
        <f t="shared" si="12"/>
        <v>398251790</v>
      </c>
      <c r="H28" s="116">
        <f t="shared" si="12"/>
        <v>809897259.54999995</v>
      </c>
      <c r="I28" s="117">
        <f t="shared" si="2"/>
        <v>67.219855420962674</v>
      </c>
      <c r="J28" s="114">
        <f>+J29+J37</f>
        <v>228022028.85999998</v>
      </c>
      <c r="K28" s="118">
        <f t="shared" si="11"/>
        <v>101.46883661077682</v>
      </c>
      <c r="L28" s="119">
        <f>+L29+L37</f>
        <v>3300787.8599999775</v>
      </c>
      <c r="M28" s="56"/>
      <c r="N28" s="57"/>
    </row>
    <row r="29" spans="1:14" s="9" customFormat="1" ht="15" customHeight="1" x14ac:dyDescent="0.2">
      <c r="A29" s="2890"/>
      <c r="B29" s="96" t="s">
        <v>17</v>
      </c>
      <c r="C29" s="97">
        <f>SUM(C30:C36)</f>
        <v>268182828.05000001</v>
      </c>
      <c r="D29" s="98">
        <f t="shared" ref="D29:E29" si="13">SUM(D30:D35)</f>
        <v>121572206.40000001</v>
      </c>
      <c r="E29" s="98">
        <f t="shared" si="13"/>
        <v>57665967.650000006</v>
      </c>
      <c r="F29" s="98">
        <f t="shared" ref="F29:J29" si="14">SUM(F30:F36)</f>
        <v>32964677</v>
      </c>
      <c r="G29" s="99">
        <f t="shared" si="14"/>
        <v>55979977</v>
      </c>
      <c r="H29" s="100">
        <f t="shared" si="14"/>
        <v>211927910.42000002</v>
      </c>
      <c r="I29" s="78">
        <f t="shared" si="2"/>
        <v>79.023669024956419</v>
      </c>
      <c r="J29" s="98">
        <f t="shared" si="14"/>
        <v>32689736.369999997</v>
      </c>
      <c r="K29" s="79">
        <f t="shared" si="11"/>
        <v>99.165953817778941</v>
      </c>
      <c r="L29" s="103">
        <f t="shared" ref="L29" si="15">SUM(L30:L35)</f>
        <v>-274940.63000000134</v>
      </c>
      <c r="M29" s="56"/>
      <c r="N29" s="57"/>
    </row>
    <row r="30" spans="1:14" s="9" customFormat="1" ht="15" customHeight="1" x14ac:dyDescent="0.2">
      <c r="A30" s="2890"/>
      <c r="B30" s="88" t="s">
        <v>7</v>
      </c>
      <c r="C30" s="81">
        <f>'Nr 8A-Drogi'!D28+'Nr 8B-Pol społ i rozwój prz'!D20+'Nr 8E-Administracja'!D21+'Nr 8G-Rol i och środ'!D25</f>
        <v>50786841.700000003</v>
      </c>
      <c r="D30" s="82">
        <f>'Nr 8A-Drogi'!E28+'Nr 8B-Pol społ i rozwój prz'!E20+'Nr 8E-Administracja'!E21+'Nr 8G-Rol i och środ'!E25</f>
        <v>20035870</v>
      </c>
      <c r="E30" s="82">
        <f>'Nr 8A-Drogi'!F28+'Nr 8B-Pol społ i rozwój prz'!F20+'Nr 8E-Administracja'!F21+'Nr 8G-Rol i och środ'!F25</f>
        <v>8745724.6999999993</v>
      </c>
      <c r="F30" s="82">
        <f>'Nr 8A-Drogi'!G28+'Nr 8B-Pol społ i rozwój prz'!G20+'Nr 8E-Administracja'!G21+'Nr 8G-Rol i och środ'!G25</f>
        <v>5238988</v>
      </c>
      <c r="G30" s="83">
        <f>'Nr 8A-Drogi'!H28+'Nr 8B-Pol społ i rozwój prz'!H20+'Nr 8E-Administracja'!H21+'Nr 8G-Rol i och środ'!H25</f>
        <v>16766259</v>
      </c>
      <c r="H30" s="84">
        <f>'Nr 8A-Drogi'!I28+'Nr 8B-Pol społ i rozwój prz'!I20+'Nr 8E-Administracja'!I21+'Nr 8G-Rol i och środ'!I25</f>
        <v>33814836.049999997</v>
      </c>
      <c r="I30" s="85">
        <f t="shared" si="2"/>
        <v>66.581884043401729</v>
      </c>
      <c r="J30" s="82">
        <f>'Nr 8A-Drogi'!K28+'Nr 8B-Pol społ i rozwój prz'!K20+'Nr 8E-Administracja'!K21+'Nr 8G-Rol i och środ'!K25</f>
        <v>5033241.3499999996</v>
      </c>
      <c r="K30" s="87">
        <f t="shared" si="11"/>
        <v>96.072778750399877</v>
      </c>
      <c r="L30" s="83">
        <f>+J30-F30</f>
        <v>-205746.65000000037</v>
      </c>
      <c r="M30" s="7"/>
      <c r="N30" s="89"/>
    </row>
    <row r="31" spans="1:14" s="9" customFormat="1" ht="17.25" customHeight="1" x14ac:dyDescent="0.2">
      <c r="A31" s="2890"/>
      <c r="B31" s="88" t="s">
        <v>8</v>
      </c>
      <c r="C31" s="81">
        <f>+'Nr 8G-Rol i och środ'!D26</f>
        <v>65855448.400000006</v>
      </c>
      <c r="D31" s="82">
        <f>+'Nr 8G-Rol i och środ'!E26</f>
        <v>29017478.399999999</v>
      </c>
      <c r="E31" s="82">
        <f>+'Nr 8G-Rol i och środ'!F26</f>
        <v>12744811</v>
      </c>
      <c r="F31" s="82">
        <f>+'Nr 8G-Rol i och środ'!G26</f>
        <v>9726690</v>
      </c>
      <c r="G31" s="83">
        <f>+'Nr 8G-Rol i och środ'!H26</f>
        <v>14366469</v>
      </c>
      <c r="H31" s="84">
        <f>+'Nr 8G-Rol i och środ'!I26</f>
        <v>51422230.020000003</v>
      </c>
      <c r="I31" s="85">
        <f t="shared" si="2"/>
        <v>78.083486286003335</v>
      </c>
      <c r="J31" s="82">
        <f>+'Nr 8G-Rol i och środ'!K26</f>
        <v>9659940.6199999992</v>
      </c>
      <c r="K31" s="87">
        <f t="shared" si="11"/>
        <v>99.313750309714806</v>
      </c>
      <c r="L31" s="83">
        <f t="shared" ref="L31:L41" si="16">+J31-F31</f>
        <v>-66749.38000000082</v>
      </c>
      <c r="M31" s="56"/>
      <c r="N31" s="57"/>
    </row>
    <row r="32" spans="1:14" s="9" customFormat="1" ht="16.5" customHeight="1" x14ac:dyDescent="0.2">
      <c r="A32" s="2890"/>
      <c r="B32" s="88" t="s">
        <v>9</v>
      </c>
      <c r="C32" s="81">
        <f>+'Nr 8A-Drogi'!D29</f>
        <v>18002944</v>
      </c>
      <c r="D32" s="82">
        <f>+'Nr 8A-Drogi'!E29</f>
        <v>12350072</v>
      </c>
      <c r="E32" s="82">
        <f>+'Nr 8A-Drogi'!F29</f>
        <v>3663008</v>
      </c>
      <c r="F32" s="82">
        <f>+'Nr 8A-Drogi'!G29</f>
        <v>1989864</v>
      </c>
      <c r="G32" s="83">
        <f>+'Nr 8A-Drogi'!H29</f>
        <v>0</v>
      </c>
      <c r="H32" s="84">
        <f>+'Nr 8A-Drogi'!I29</f>
        <v>18002944</v>
      </c>
      <c r="I32" s="85">
        <f t="shared" si="2"/>
        <v>100</v>
      </c>
      <c r="J32" s="82">
        <f>+'Nr 8A-Drogi'!K29</f>
        <v>1989864</v>
      </c>
      <c r="K32" s="87">
        <f t="shared" si="11"/>
        <v>100</v>
      </c>
      <c r="L32" s="83">
        <f t="shared" si="16"/>
        <v>0</v>
      </c>
      <c r="M32" s="56"/>
      <c r="N32" s="57"/>
    </row>
    <row r="33" spans="1:14" s="9" customFormat="1" ht="15" customHeight="1" x14ac:dyDescent="0.2">
      <c r="A33" s="2890"/>
      <c r="B33" s="88" t="s">
        <v>10</v>
      </c>
      <c r="C33" s="90">
        <f>+'Nr 8A-Drogi'!D30+'Nr 8G-Rol i och środ'!D27</f>
        <v>56040780</v>
      </c>
      <c r="D33" s="91">
        <f>+'Nr 8A-Drogi'!E30+'Nr 8G-Rol i och środ'!E27</f>
        <v>14488536</v>
      </c>
      <c r="E33" s="91">
        <f>+'Nr 8A-Drogi'!F30+'Nr 8G-Rol i och środ'!F27</f>
        <v>10051777</v>
      </c>
      <c r="F33" s="91">
        <f>+'Nr 8A-Drogi'!G30+'Nr 8G-Rol i och środ'!G27</f>
        <v>9511341</v>
      </c>
      <c r="G33" s="92">
        <f>+'Nr 8A-Drogi'!H30+'Nr 8G-Rol i och środ'!H27</f>
        <v>21989126</v>
      </c>
      <c r="H33" s="95">
        <f>+'Nr 8A-Drogi'!I30+'Nr 8G-Rol i och środ'!I27</f>
        <v>34051652.590000004</v>
      </c>
      <c r="I33" s="85">
        <f t="shared" si="2"/>
        <v>60.762274525800684</v>
      </c>
      <c r="J33" s="91">
        <f>+'Nr 8A-Drogi'!K30+'Nr 8G-Rol i och środ'!K27</f>
        <v>9511339.5899999999</v>
      </c>
      <c r="K33" s="87">
        <f t="shared" si="11"/>
        <v>99.999985175591959</v>
      </c>
      <c r="L33" s="83">
        <f t="shared" si="16"/>
        <v>-1.4100000001490116</v>
      </c>
      <c r="M33" s="56"/>
      <c r="N33" s="57"/>
    </row>
    <row r="34" spans="1:14" s="9" customFormat="1" ht="15" customHeight="1" thickBot="1" x14ac:dyDescent="0.25">
      <c r="A34" s="2890"/>
      <c r="B34" s="88" t="s">
        <v>20</v>
      </c>
      <c r="C34" s="90">
        <f>+'Nr 8G-Rol i och środ'!D28</f>
        <v>1624333</v>
      </c>
      <c r="D34" s="91">
        <f>+'Nr 8G-Rol i och środ'!E28</f>
        <v>1023666</v>
      </c>
      <c r="E34" s="91">
        <f>+'Nr 8G-Rol i och środ'!F28</f>
        <v>474487</v>
      </c>
      <c r="F34" s="91">
        <f>+'Nr 8G-Rol i och środ'!G28</f>
        <v>126180</v>
      </c>
      <c r="G34" s="92">
        <f>+'Nr 8G-Rol i och środ'!H28</f>
        <v>0</v>
      </c>
      <c r="H34" s="95">
        <f>+'Nr 8G-Rol i och środ'!I28</f>
        <v>1624701.81</v>
      </c>
      <c r="I34" s="85">
        <f t="shared" si="2"/>
        <v>100.02270531966045</v>
      </c>
      <c r="J34" s="91">
        <f>+'Nr 8G-Rol i och środ'!K28</f>
        <v>126548.81</v>
      </c>
      <c r="K34" s="94">
        <v>0</v>
      </c>
      <c r="L34" s="92">
        <f t="shared" si="16"/>
        <v>368.80999999999767</v>
      </c>
      <c r="M34" s="120"/>
      <c r="N34" s="57"/>
    </row>
    <row r="35" spans="1:14" s="9" customFormat="1" ht="15" customHeight="1" x14ac:dyDescent="0.2">
      <c r="A35" s="2890"/>
      <c r="B35" s="88" t="s">
        <v>11</v>
      </c>
      <c r="C35" s="90">
        <f>'Nr 8A-Drogi'!D49</f>
        <v>75030999.950000003</v>
      </c>
      <c r="D35" s="91">
        <f>'Nr 8A-Drogi'!E49</f>
        <v>44656584</v>
      </c>
      <c r="E35" s="91">
        <f>'Nr 8A-Drogi'!F49</f>
        <v>21986159.949999999</v>
      </c>
      <c r="F35" s="91">
        <f>'Nr 8A-Drogi'!G49</f>
        <v>5530133</v>
      </c>
      <c r="G35" s="92">
        <f>'Nr 8A-Drogi'!H49</f>
        <v>2858123</v>
      </c>
      <c r="H35" s="95">
        <f>'Nr 8A-Drogi'!I49</f>
        <v>72170064.950000003</v>
      </c>
      <c r="I35" s="85">
        <f t="shared" si="2"/>
        <v>96.186996039095177</v>
      </c>
      <c r="J35" s="91">
        <f>'Nr 8A-Drogi'!K49</f>
        <v>5527321</v>
      </c>
      <c r="K35" s="87">
        <f t="shared" ref="K35:K41" si="17">J35/F35*100</f>
        <v>99.94915131335901</v>
      </c>
      <c r="L35" s="92">
        <f t="shared" si="16"/>
        <v>-2812</v>
      </c>
      <c r="M35" s="126"/>
      <c r="N35" s="127"/>
    </row>
    <row r="36" spans="1:14" s="9" customFormat="1" ht="24" customHeight="1" x14ac:dyDescent="0.2">
      <c r="A36" s="2890"/>
      <c r="B36" s="88" t="s">
        <v>308</v>
      </c>
      <c r="C36" s="90">
        <f>+'Nr 8A-Drogi'!D50</f>
        <v>841481</v>
      </c>
      <c r="D36" s="91"/>
      <c r="E36" s="91"/>
      <c r="F36" s="91">
        <f>+'Nr 8A-Drogi'!G50</f>
        <v>841481</v>
      </c>
      <c r="G36" s="92">
        <f>+'Nr 8A-Drogi'!H50</f>
        <v>0</v>
      </c>
      <c r="H36" s="95">
        <f>'Nr 8A-Drogi'!I50</f>
        <v>841481</v>
      </c>
      <c r="I36" s="85">
        <f t="shared" si="2"/>
        <v>100</v>
      </c>
      <c r="J36" s="91">
        <f>'Nr 8A-Drogi'!K50</f>
        <v>841481</v>
      </c>
      <c r="K36" s="87">
        <f t="shared" si="17"/>
        <v>100</v>
      </c>
      <c r="L36" s="92">
        <f t="shared" si="16"/>
        <v>0</v>
      </c>
      <c r="M36" s="128"/>
      <c r="N36" s="57"/>
    </row>
    <row r="37" spans="1:14" s="9" customFormat="1" ht="14.25" customHeight="1" x14ac:dyDescent="0.2">
      <c r="A37" s="2890"/>
      <c r="B37" s="2927" t="s">
        <v>12</v>
      </c>
      <c r="C37" s="2928">
        <f>SUM(C38:C41)</f>
        <v>936665433.63999999</v>
      </c>
      <c r="D37" s="2928">
        <f t="shared" ref="D37:G37" si="18">SUM(D38:D41)</f>
        <v>220948363</v>
      </c>
      <c r="E37" s="2928">
        <f t="shared" si="18"/>
        <v>181688693.63999999</v>
      </c>
      <c r="F37" s="2929">
        <f t="shared" si="18"/>
        <v>191756564</v>
      </c>
      <c r="G37" s="2930">
        <f t="shared" si="18"/>
        <v>342271813</v>
      </c>
      <c r="H37" s="2931">
        <f>SUM(H38:H41)</f>
        <v>597969349.13</v>
      </c>
      <c r="I37" s="2901">
        <f t="shared" si="2"/>
        <v>63.840228074416686</v>
      </c>
      <c r="J37" s="2929">
        <f>SUM(J38:J41)</f>
        <v>195332292.48999998</v>
      </c>
      <c r="K37" s="2902">
        <f t="shared" si="17"/>
        <v>101.86472286288983</v>
      </c>
      <c r="L37" s="2932">
        <f>SUM(L38:L41)</f>
        <v>3575728.4899999788</v>
      </c>
      <c r="M37" s="133"/>
      <c r="N37" s="57"/>
    </row>
    <row r="38" spans="1:14" s="9" customFormat="1" ht="14.25" customHeight="1" x14ac:dyDescent="0.2">
      <c r="A38" s="2890"/>
      <c r="B38" s="2940" t="s">
        <v>358</v>
      </c>
      <c r="C38" s="2941">
        <f>+'Nr 8A-Drogi'!D34</f>
        <v>0</v>
      </c>
      <c r="D38" s="2941">
        <f>+'Nr 8A-Drogi'!E34</f>
        <v>0</v>
      </c>
      <c r="E38" s="2941">
        <f>+'Nr 8A-Drogi'!F34</f>
        <v>0</v>
      </c>
      <c r="F38" s="2942">
        <f>+'Nr 8A-Drogi'!G34</f>
        <v>0</v>
      </c>
      <c r="G38" s="2943">
        <f>+'Nr 8A-Drogi'!H34</f>
        <v>0</v>
      </c>
      <c r="H38" s="2941">
        <f>+'Nr 8A-Drogi'!I34</f>
        <v>1023120</v>
      </c>
      <c r="I38" s="2944">
        <v>0</v>
      </c>
      <c r="J38" s="2942">
        <f>+'Nr 8A-Drogi'!K34</f>
        <v>1023120</v>
      </c>
      <c r="K38" s="2945">
        <v>0</v>
      </c>
      <c r="L38" s="2946">
        <f t="shared" si="16"/>
        <v>1023120</v>
      </c>
      <c r="M38" s="133"/>
      <c r="N38" s="57"/>
    </row>
    <row r="39" spans="1:14" s="9" customFormat="1" ht="15.75" customHeight="1" thickBot="1" x14ac:dyDescent="0.25">
      <c r="A39" s="2890"/>
      <c r="B39" s="88" t="s">
        <v>8</v>
      </c>
      <c r="C39" s="90">
        <f>+'Nr 8G-Rol i och środ'!D31</f>
        <v>46846207.600000001</v>
      </c>
      <c r="D39" s="91">
        <f>+'Nr 8G-Rol i och środ'!E31</f>
        <v>31284995.600000001</v>
      </c>
      <c r="E39" s="91">
        <f>+'Nr 8G-Rol i och środ'!F31</f>
        <v>3753212</v>
      </c>
      <c r="F39" s="91">
        <f>+'Nr 8G-Rol i och środ'!G31</f>
        <v>5011660</v>
      </c>
      <c r="G39" s="92">
        <f>+'Nr 8G-Rol i och środ'!H31</f>
        <v>6796340</v>
      </c>
      <c r="H39" s="95">
        <f>+'Nr 8G-Rol i och środ'!I31</f>
        <v>39750071.790000007</v>
      </c>
      <c r="I39" s="85">
        <f t="shared" si="2"/>
        <v>84.852272630922641</v>
      </c>
      <c r="J39" s="91">
        <f>+'Nr 8G-Rol i och środ'!K31</f>
        <v>4711864.1900000004</v>
      </c>
      <c r="K39" s="87">
        <f t="shared" si="17"/>
        <v>94.018033745305956</v>
      </c>
      <c r="L39" s="92">
        <f t="shared" si="16"/>
        <v>-299795.80999999959</v>
      </c>
      <c r="M39" s="133"/>
      <c r="N39" s="57"/>
    </row>
    <row r="40" spans="1:14" s="9" customFormat="1" ht="15.75" customHeight="1" x14ac:dyDescent="0.2">
      <c r="A40" s="2890"/>
      <c r="B40" s="88" t="s">
        <v>13</v>
      </c>
      <c r="C40" s="90">
        <f>'Nr 8A-Drogi'!D35+'Nr 8D-Oświata'!D20+'Nr 8G-Rol i och środ'!D32</f>
        <v>38734375</v>
      </c>
      <c r="D40" s="91">
        <f>'Nr 8A-Drogi'!E35+'Nr 8D-Oświata'!E20+'Nr 8G-Rol i och środ'!E32</f>
        <v>7703574</v>
      </c>
      <c r="E40" s="91">
        <f>'Nr 8A-Drogi'!F35+'Nr 8D-Oświata'!F20+'Nr 8G-Rol i och środ'!F32</f>
        <v>7736703</v>
      </c>
      <c r="F40" s="91">
        <f>'Nr 8A-Drogi'!G35+'Nr 8D-Oświata'!G20+'Nr 8G-Rol i och środ'!G32</f>
        <v>12580484</v>
      </c>
      <c r="G40" s="92">
        <f>'Nr 8A-Drogi'!H35+'Nr 8D-Oświata'!H20+'Nr 8G-Rol i och środ'!H32</f>
        <v>10713614</v>
      </c>
      <c r="H40" s="95">
        <f>'Nr 8A-Drogi'!I35+'Nr 8D-Oświata'!I20+'Nr 8G-Rol i och środ'!I32</f>
        <v>31076046.09</v>
      </c>
      <c r="I40" s="85">
        <f t="shared" si="2"/>
        <v>80.228598215409448</v>
      </c>
      <c r="J40" s="2947">
        <f>'Nr 8A-Drogi'!K35+'Nr 8D-Oświata'!K20+'Nr 8G-Rol i och środ'!K32</f>
        <v>15635769.09</v>
      </c>
      <c r="K40" s="87">
        <f t="shared" si="17"/>
        <v>124.28591054207455</v>
      </c>
      <c r="L40" s="92">
        <f t="shared" si="16"/>
        <v>3055285.09</v>
      </c>
      <c r="M40" s="133"/>
      <c r="N40" s="127"/>
    </row>
    <row r="41" spans="1:14" s="9" customFormat="1" ht="15.75" customHeight="1" thickBot="1" x14ac:dyDescent="0.25">
      <c r="A41" s="2912"/>
      <c r="B41" s="2933" t="s">
        <v>14</v>
      </c>
      <c r="C41" s="2934">
        <f>'Nr 8A-Drogi'!D36+'Nr 8B-Pol społ i rozwój prz'!D22+'Nr 8E-Administracja'!D23+'Nr 8G-Rol i och środ'!D30+'Nr 8H-Kultura fiz i tur'!D21+'Nr 8I-Planow przestrzenne'!D21</f>
        <v>851084851.03999996</v>
      </c>
      <c r="D41" s="2935">
        <f>'Nr 8A-Drogi'!E36+'Nr 8B-Pol społ i rozwój prz'!E22+'Nr 8E-Administracja'!E23+'Nr 8G-Rol i och środ'!E30+'Nr 8H-Kultura fiz i tur'!E21+'Nr 8I-Planow przestrzenne'!E21</f>
        <v>181959793.40000001</v>
      </c>
      <c r="E41" s="2935">
        <f>'Nr 8A-Drogi'!F36+'Nr 8B-Pol społ i rozwój prz'!F22+'Nr 8E-Administracja'!F23+'Nr 8G-Rol i och środ'!F30+'Nr 8H-Kultura fiz i tur'!F21+'Nr 8I-Planow przestrzenne'!F21</f>
        <v>170198778.63999999</v>
      </c>
      <c r="F41" s="2935">
        <f>'Nr 8A-Drogi'!G36+'Nr 8B-Pol społ i rozwój prz'!G22+'Nr 8E-Administracja'!G23+'Nr 8G-Rol i och środ'!G30+'Nr 8H-Kultura fiz i tur'!G21+'Nr 8I-Planow przestrzenne'!G21</f>
        <v>174164420</v>
      </c>
      <c r="G41" s="2889">
        <f>'Nr 8A-Drogi'!H36+'Nr 8B-Pol społ i rozwój prz'!H22+'Nr 8E-Administracja'!H23+'Nr 8G-Rol i och środ'!H30+'Nr 8H-Kultura fiz i tur'!H21+'Nr 8I-Planow przestrzenne'!H21</f>
        <v>324761859</v>
      </c>
      <c r="H41" s="2936">
        <f>'Nr 8A-Drogi'!I36+'Nr 8B-Pol społ i rozwój prz'!I22+'Nr 8E-Administracja'!I23+'Nr 8G-Rol i och środ'!I30+'Nr 8H-Kultura fiz i tur'!I21+'Nr 8I-Planow przestrzenne'!I21</f>
        <v>526120111.25</v>
      </c>
      <c r="I41" s="2937">
        <f t="shared" si="2"/>
        <v>61.81758617922727</v>
      </c>
      <c r="J41" s="2938">
        <f>'Nr 8A-Drogi'!K36+'Nr 8B-Pol społ i rozwój prz'!K22+'Nr 8E-Administracja'!K23+'Nr 8G-Rol i och środ'!K30+'Nr 8H-Kultura fiz i tur'!K21+'Nr 8I-Planow przestrzenne'!K21</f>
        <v>173961539.20999998</v>
      </c>
      <c r="K41" s="2939">
        <f t="shared" si="17"/>
        <v>99.883511919369056</v>
      </c>
      <c r="L41" s="2889">
        <f t="shared" si="16"/>
        <v>-202880.79000002146</v>
      </c>
      <c r="M41" s="133"/>
      <c r="N41" s="57"/>
    </row>
    <row r="42" spans="1:14" s="9" customFormat="1" ht="6" customHeight="1" thickBot="1" x14ac:dyDescent="0.25">
      <c r="A42" s="140"/>
      <c r="B42" s="11"/>
      <c r="C42" s="141"/>
      <c r="D42" s="12"/>
      <c r="E42" s="142"/>
      <c r="F42" s="12"/>
      <c r="G42" s="12"/>
      <c r="H42" s="12"/>
      <c r="I42" s="12"/>
      <c r="J42" s="12"/>
      <c r="K42" s="12"/>
      <c r="L42" s="143"/>
      <c r="M42" s="133"/>
      <c r="N42" s="57"/>
    </row>
    <row r="43" spans="1:14" s="10" customFormat="1" ht="18" customHeight="1" thickBot="1" x14ac:dyDescent="0.25">
      <c r="A43" s="3054" t="s">
        <v>18</v>
      </c>
      <c r="B43" s="3077"/>
      <c r="C43" s="144">
        <f>C14</f>
        <v>1335044897.4399998</v>
      </c>
      <c r="D43" s="144">
        <f t="shared" ref="D43:G43" si="19">D14</f>
        <v>405439238.39999998</v>
      </c>
      <c r="E43" s="144">
        <f t="shared" si="19"/>
        <v>242033154.03999996</v>
      </c>
      <c r="F43" s="144">
        <f t="shared" si="19"/>
        <v>244682773</v>
      </c>
      <c r="G43" s="145">
        <f t="shared" si="19"/>
        <v>442889732</v>
      </c>
      <c r="H43" s="146">
        <f>H14</f>
        <v>886872265.6099999</v>
      </c>
      <c r="I43" s="147">
        <f>H43/C43*100</f>
        <v>66.430145331487481</v>
      </c>
      <c r="J43" s="144">
        <f t="shared" ref="J43" si="20">J14</f>
        <v>239399873.16999999</v>
      </c>
      <c r="K43" s="147">
        <f>J43/F43*100</f>
        <v>97.840918767910139</v>
      </c>
      <c r="L43" s="148">
        <f t="shared" ref="L43" si="21">L14</f>
        <v>-5282899.8300000168</v>
      </c>
      <c r="M43" s="133">
        <f>+J43-F43/2</f>
        <v>117058486.66999999</v>
      </c>
      <c r="N43" s="57">
        <f>+L43-M43</f>
        <v>-122341386.5</v>
      </c>
    </row>
    <row r="44" spans="1:14" s="10" customFormat="1" ht="18" customHeight="1" thickBot="1" x14ac:dyDescent="0.25">
      <c r="A44" s="3054" t="s">
        <v>19</v>
      </c>
      <c r="B44" s="3077"/>
      <c r="C44" s="144">
        <f>+C28</f>
        <v>1204848261.6900001</v>
      </c>
      <c r="D44" s="144">
        <f t="shared" ref="D44:F44" si="22">+D28</f>
        <v>342520569.39999998</v>
      </c>
      <c r="E44" s="144">
        <f t="shared" si="22"/>
        <v>239354661.28999999</v>
      </c>
      <c r="F44" s="144">
        <f t="shared" si="22"/>
        <v>224721241</v>
      </c>
      <c r="G44" s="145">
        <f>+G28</f>
        <v>398251790</v>
      </c>
      <c r="H44" s="146">
        <f>+H28</f>
        <v>809897259.54999995</v>
      </c>
      <c r="I44" s="147">
        <f>H44/C44*100</f>
        <v>67.219855420962674</v>
      </c>
      <c r="J44" s="144">
        <f t="shared" ref="J44" si="23">+J28</f>
        <v>228022028.85999998</v>
      </c>
      <c r="K44" s="147">
        <f>J44/F44*100</f>
        <v>101.46883661077682</v>
      </c>
      <c r="L44" s="148">
        <f t="shared" ref="L44" si="24">+L28</f>
        <v>3300787.8599999775</v>
      </c>
      <c r="M44" s="133">
        <f>+J44-F44/2</f>
        <v>115661408.35999998</v>
      </c>
      <c r="N44" s="57">
        <f>+L44-M44</f>
        <v>-112360620.5</v>
      </c>
    </row>
    <row r="45" spans="1:14" s="9" customFormat="1" ht="9.75" customHeight="1" x14ac:dyDescent="0.2">
      <c r="A45" s="149"/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2"/>
      <c r="M45" s="153"/>
      <c r="N45" s="57"/>
    </row>
    <row r="46" spans="1:14" s="9" customFormat="1" ht="33.75" customHeight="1" x14ac:dyDescent="0.2">
      <c r="A46" s="3078" t="s">
        <v>395</v>
      </c>
      <c r="B46" s="3078"/>
      <c r="C46" s="3078"/>
      <c r="D46" s="3078"/>
      <c r="E46" s="3078"/>
      <c r="F46" s="3078"/>
      <c r="G46" s="3078"/>
      <c r="H46" s="3078"/>
      <c r="I46" s="3078"/>
      <c r="J46" s="3078"/>
      <c r="K46" s="3078"/>
      <c r="L46" s="3078"/>
      <c r="M46" s="153"/>
      <c r="N46" s="57"/>
    </row>
    <row r="47" spans="1:14" s="9" customFormat="1" ht="6" customHeight="1" x14ac:dyDescent="0.2">
      <c r="A47" s="2865"/>
      <c r="B47" s="2865"/>
      <c r="C47" s="2865"/>
      <c r="D47" s="2865"/>
      <c r="E47" s="2865"/>
      <c r="F47" s="2865"/>
      <c r="G47" s="2865"/>
      <c r="H47" s="2865"/>
      <c r="I47" s="2865"/>
      <c r="J47" s="2865"/>
      <c r="K47" s="2865"/>
      <c r="L47" s="2865"/>
      <c r="M47" s="153"/>
      <c r="N47" s="57"/>
    </row>
    <row r="48" spans="1:14" s="9" customFormat="1" ht="33" customHeight="1" x14ac:dyDescent="0.2">
      <c r="A48" s="3060" t="s">
        <v>382</v>
      </c>
      <c r="B48" s="3074"/>
      <c r="C48" s="2844">
        <v>0</v>
      </c>
      <c r="D48" s="2842"/>
      <c r="E48" s="2842"/>
      <c r="F48" s="2843">
        <v>97286</v>
      </c>
      <c r="G48" s="2880">
        <v>0</v>
      </c>
      <c r="H48" s="2844">
        <v>0</v>
      </c>
      <c r="I48" s="2845">
        <v>0</v>
      </c>
      <c r="J48" s="2845">
        <v>0</v>
      </c>
      <c r="K48" s="2880">
        <v>0</v>
      </c>
      <c r="L48" s="2864">
        <v>0</v>
      </c>
      <c r="M48" s="153"/>
      <c r="N48" s="57"/>
    </row>
    <row r="49" spans="1:14" s="9" customFormat="1" ht="55.5" customHeight="1" x14ac:dyDescent="0.2">
      <c r="A49" s="3060" t="s">
        <v>387</v>
      </c>
      <c r="B49" s="3074"/>
      <c r="C49" s="2844">
        <v>0</v>
      </c>
      <c r="D49" s="2842"/>
      <c r="E49" s="2842"/>
      <c r="F49" s="2842">
        <v>299901</v>
      </c>
      <c r="G49" s="2880">
        <v>0</v>
      </c>
      <c r="H49" s="2844">
        <v>0</v>
      </c>
      <c r="I49" s="2845">
        <v>0</v>
      </c>
      <c r="J49" s="2845">
        <v>0</v>
      </c>
      <c r="K49" s="2880">
        <v>0</v>
      </c>
      <c r="L49" s="2864">
        <v>0</v>
      </c>
      <c r="M49" s="153"/>
      <c r="N49" s="57"/>
    </row>
    <row r="50" spans="1:14" s="9" customFormat="1" ht="32.25" customHeight="1" thickBot="1" x14ac:dyDescent="0.25">
      <c r="A50" s="3065" t="s">
        <v>385</v>
      </c>
      <c r="B50" s="3079"/>
      <c r="C50" s="2873">
        <f t="shared" ref="C50:H50" si="25">C51+C52</f>
        <v>1335044897.4400001</v>
      </c>
      <c r="D50" s="2857">
        <f t="shared" si="25"/>
        <v>405439238.39999998</v>
      </c>
      <c r="E50" s="2857">
        <f t="shared" si="25"/>
        <v>242033154.03999999</v>
      </c>
      <c r="F50" s="2858">
        <f t="shared" si="25"/>
        <v>245079960</v>
      </c>
      <c r="G50" s="2858">
        <f t="shared" si="25"/>
        <v>442889732</v>
      </c>
      <c r="H50" s="2873">
        <f t="shared" si="25"/>
        <v>886872265.61000013</v>
      </c>
      <c r="I50" s="2879">
        <f>H50/C50*100</f>
        <v>66.430145331487495</v>
      </c>
      <c r="J50" s="2876">
        <f t="shared" ref="J50" si="26">J51+J52</f>
        <v>239399872.17000002</v>
      </c>
      <c r="K50" s="2886">
        <f>J50/F50*100</f>
        <v>97.682353208316187</v>
      </c>
      <c r="L50" s="2873">
        <f>L51+L52</f>
        <v>-5680087.8299999982</v>
      </c>
      <c r="M50" s="153"/>
      <c r="N50" s="57"/>
    </row>
    <row r="51" spans="1:14" s="9" customFormat="1" ht="18" customHeight="1" x14ac:dyDescent="0.2">
      <c r="A51" s="3016" t="s">
        <v>165</v>
      </c>
      <c r="B51" s="3017"/>
      <c r="C51" s="2872">
        <f>C12+C48</f>
        <v>320914362.10000002</v>
      </c>
      <c r="D51" s="2872">
        <f t="shared" ref="D51:H51" si="27">D12+D48</f>
        <v>110836411.7</v>
      </c>
      <c r="E51" s="2872">
        <f t="shared" si="27"/>
        <v>42906079.399999999</v>
      </c>
      <c r="F51" s="2875">
        <f t="shared" si="27"/>
        <v>54720683</v>
      </c>
      <c r="G51" s="2875">
        <f t="shared" si="27"/>
        <v>112548474</v>
      </c>
      <c r="H51" s="2881">
        <f t="shared" si="27"/>
        <v>204649852.95999998</v>
      </c>
      <c r="I51" s="2877">
        <f t="shared" ref="I51:I53" si="28">H51/C51*100</f>
        <v>63.770861366506594</v>
      </c>
      <c r="J51" s="2855">
        <f t="shared" ref="J51" si="29">J12+J48</f>
        <v>50907360.859999999</v>
      </c>
      <c r="K51" s="2887">
        <f t="shared" ref="K51:K53" si="30">J51/F51*100</f>
        <v>93.031296520915134</v>
      </c>
      <c r="L51" s="2881">
        <f>J51-F51</f>
        <v>-3813322.1400000006</v>
      </c>
      <c r="M51" s="153"/>
      <c r="N51" s="57"/>
    </row>
    <row r="52" spans="1:14" s="9" customFormat="1" ht="15" customHeight="1" x14ac:dyDescent="0.2">
      <c r="A52" s="3018" t="s">
        <v>166</v>
      </c>
      <c r="B52" s="3019"/>
      <c r="C52" s="2872">
        <f>C13+C49</f>
        <v>1014130535.34</v>
      </c>
      <c r="D52" s="2872">
        <f t="shared" ref="D52:H52" si="31">D13+D49</f>
        <v>294602826.69999999</v>
      </c>
      <c r="E52" s="2872">
        <f t="shared" si="31"/>
        <v>199127074.63999999</v>
      </c>
      <c r="F52" s="2856">
        <f t="shared" si="31"/>
        <v>190359277</v>
      </c>
      <c r="G52" s="2856">
        <f t="shared" si="31"/>
        <v>330341258</v>
      </c>
      <c r="H52" s="2881">
        <f t="shared" si="31"/>
        <v>682222412.6500001</v>
      </c>
      <c r="I52" s="2878">
        <f t="shared" si="28"/>
        <v>67.271656742026451</v>
      </c>
      <c r="J52" s="2855">
        <f t="shared" ref="J52" si="32">J13+J49</f>
        <v>188492511.31</v>
      </c>
      <c r="K52" s="2888">
        <f t="shared" si="30"/>
        <v>99.019346091548783</v>
      </c>
      <c r="L52" s="2881">
        <f>J52-F52</f>
        <v>-1866765.6899999976</v>
      </c>
      <c r="M52" s="153"/>
      <c r="N52" s="57"/>
    </row>
    <row r="53" spans="1:14" s="9" customFormat="1" ht="20.25" customHeight="1" thickBot="1" x14ac:dyDescent="0.25">
      <c r="A53" s="2866" t="s">
        <v>386</v>
      </c>
      <c r="B53" s="2859"/>
      <c r="C53" s="2873">
        <f>C44+C49</f>
        <v>1204848261.6900001</v>
      </c>
      <c r="D53" s="2873">
        <f t="shared" ref="D53:H53" si="33">D44+D49</f>
        <v>342520569.39999998</v>
      </c>
      <c r="E53" s="2874">
        <f t="shared" si="33"/>
        <v>239354661.28999999</v>
      </c>
      <c r="F53" s="2858">
        <f>F44+F49</f>
        <v>225021142</v>
      </c>
      <c r="G53" s="2858">
        <f>G44+G49</f>
        <v>398251790</v>
      </c>
      <c r="H53" s="2873">
        <f t="shared" si="33"/>
        <v>809897259.54999995</v>
      </c>
      <c r="I53" s="2879">
        <f t="shared" si="28"/>
        <v>67.219855420962674</v>
      </c>
      <c r="J53" s="2876">
        <f t="shared" ref="J53" si="34">J44+J49</f>
        <v>228022028.85999998</v>
      </c>
      <c r="K53" s="2886">
        <f t="shared" si="30"/>
        <v>101.33360218214517</v>
      </c>
      <c r="L53" s="2873">
        <f>J53-F53</f>
        <v>3000886.8599999845</v>
      </c>
      <c r="M53" s="153"/>
      <c r="N53" s="57"/>
    </row>
    <row r="54" spans="1:14" s="9" customFormat="1" ht="7.5" customHeight="1" thickBot="1" x14ac:dyDescent="0.25">
      <c r="M54" s="153"/>
      <c r="N54" s="57"/>
    </row>
    <row r="55" spans="1:14" s="9" customFormat="1" ht="33" customHeight="1" thickBot="1" x14ac:dyDescent="0.25">
      <c r="A55" s="3075" t="s">
        <v>383</v>
      </c>
      <c r="B55" s="3076"/>
      <c r="C55" s="146">
        <f>C50</f>
        <v>1335044897.4400001</v>
      </c>
      <c r="D55" s="146">
        <f t="shared" ref="D55:H55" si="35">D50</f>
        <v>405439238.39999998</v>
      </c>
      <c r="E55" s="216">
        <f t="shared" si="35"/>
        <v>242033154.03999999</v>
      </c>
      <c r="F55" s="145">
        <f t="shared" si="35"/>
        <v>245079960</v>
      </c>
      <c r="G55" s="148">
        <f t="shared" si="35"/>
        <v>442889732</v>
      </c>
      <c r="H55" s="146">
        <f t="shared" si="35"/>
        <v>886872265.61000013</v>
      </c>
      <c r="I55" s="2862">
        <f>H55/C55*100</f>
        <v>66.430145331487495</v>
      </c>
      <c r="J55" s="144">
        <f t="shared" ref="J55" si="36">J50</f>
        <v>239399872.17000002</v>
      </c>
      <c r="K55" s="2862">
        <f>J55/F55*100</f>
        <v>97.682353208316187</v>
      </c>
      <c r="L55" s="218">
        <f>J55-F55</f>
        <v>-5680087.8299999833</v>
      </c>
      <c r="M55" s="153"/>
      <c r="N55" s="57"/>
    </row>
    <row r="56" spans="1:14" s="9" customFormat="1" ht="33" customHeight="1" thickBot="1" x14ac:dyDescent="0.25">
      <c r="A56" s="3075" t="s">
        <v>384</v>
      </c>
      <c r="B56" s="3077"/>
      <c r="C56" s="146">
        <f>C53</f>
        <v>1204848261.6900001</v>
      </c>
      <c r="D56" s="146">
        <f t="shared" ref="D56:H56" si="37">D53</f>
        <v>342520569.39999998</v>
      </c>
      <c r="E56" s="216">
        <f t="shared" si="37"/>
        <v>239354661.28999999</v>
      </c>
      <c r="F56" s="145">
        <f t="shared" si="37"/>
        <v>225021142</v>
      </c>
      <c r="G56" s="148">
        <f t="shared" si="37"/>
        <v>398251790</v>
      </c>
      <c r="H56" s="146">
        <f t="shared" si="37"/>
        <v>809897259.54999995</v>
      </c>
      <c r="I56" s="2862">
        <f>H56/C56*100</f>
        <v>67.219855420962674</v>
      </c>
      <c r="J56" s="144">
        <f t="shared" ref="J56" si="38">J53</f>
        <v>228022028.85999998</v>
      </c>
      <c r="K56" s="2862">
        <f>J56/F56*100</f>
        <v>101.33360218214517</v>
      </c>
      <c r="L56" s="218">
        <f>J56-F56</f>
        <v>3000886.8599999845</v>
      </c>
      <c r="M56" s="153"/>
      <c r="N56" s="57"/>
    </row>
    <row r="57" spans="1:14" s="9" customFormat="1" ht="9.75" customHeight="1" x14ac:dyDescent="0.2">
      <c r="A57" s="13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247"/>
      <c r="M57" s="153"/>
      <c r="N57" s="57"/>
    </row>
    <row r="58" spans="1:14" ht="44.25" customHeight="1" thickBot="1" x14ac:dyDescent="0.25">
      <c r="A58" s="2997" t="s">
        <v>263</v>
      </c>
      <c r="B58" s="2997"/>
      <c r="C58" s="2997"/>
      <c r="D58" s="2997"/>
      <c r="E58" s="2997"/>
      <c r="F58" s="2997"/>
      <c r="G58" s="2997"/>
      <c r="H58" s="2997"/>
      <c r="I58" s="2997"/>
      <c r="J58" s="2997"/>
      <c r="K58" s="2997"/>
      <c r="L58" s="2997"/>
      <c r="M58" s="154"/>
      <c r="N58" s="57"/>
    </row>
    <row r="59" spans="1:14" s="3" customFormat="1" ht="43.5" customHeight="1" x14ac:dyDescent="0.2">
      <c r="A59" s="3020" t="s">
        <v>1</v>
      </c>
      <c r="B59" s="3021"/>
      <c r="C59" s="3010" t="s">
        <v>381</v>
      </c>
      <c r="D59" s="3011"/>
      <c r="E59" s="3011"/>
      <c r="F59" s="3011"/>
      <c r="G59" s="3012"/>
      <c r="H59" s="3010" t="s">
        <v>314</v>
      </c>
      <c r="I59" s="3011"/>
      <c r="J59" s="3011"/>
      <c r="K59" s="3012"/>
      <c r="L59" s="3002" t="s">
        <v>389</v>
      </c>
      <c r="M59" s="154"/>
      <c r="N59" s="57"/>
    </row>
    <row r="60" spans="1:14" ht="24" customHeight="1" x14ac:dyDescent="0.2">
      <c r="A60" s="3022"/>
      <c r="B60" s="3023"/>
      <c r="C60" s="3013" t="s">
        <v>0</v>
      </c>
      <c r="D60" s="3042" t="s">
        <v>163</v>
      </c>
      <c r="E60" s="3045" t="s">
        <v>286</v>
      </c>
      <c r="F60" s="3032" t="s">
        <v>260</v>
      </c>
      <c r="G60" s="3033"/>
      <c r="H60" s="3005" t="s">
        <v>311</v>
      </c>
      <c r="I60" s="3040" t="s">
        <v>339</v>
      </c>
      <c r="J60" s="3041"/>
      <c r="K60" s="3041"/>
      <c r="L60" s="3003"/>
      <c r="M60" s="154"/>
      <c r="N60" s="57"/>
    </row>
    <row r="61" spans="1:14" ht="35.25" customHeight="1" x14ac:dyDescent="0.2">
      <c r="A61" s="3022"/>
      <c r="B61" s="3023"/>
      <c r="C61" s="3014"/>
      <c r="D61" s="3043"/>
      <c r="E61" s="3046"/>
      <c r="F61" s="3034" t="s">
        <v>318</v>
      </c>
      <c r="G61" s="3036" t="s">
        <v>344</v>
      </c>
      <c r="H61" s="3006"/>
      <c r="I61" s="3008" t="s">
        <v>391</v>
      </c>
      <c r="J61" s="2998" t="s">
        <v>312</v>
      </c>
      <c r="K61" s="3000" t="s">
        <v>390</v>
      </c>
      <c r="L61" s="3003"/>
      <c r="M61" s="154"/>
      <c r="N61" s="57"/>
    </row>
    <row r="62" spans="1:14" ht="60" customHeight="1" thickBot="1" x14ac:dyDescent="0.25">
      <c r="A62" s="3024"/>
      <c r="B62" s="3025"/>
      <c r="C62" s="3015"/>
      <c r="D62" s="3044"/>
      <c r="E62" s="3047"/>
      <c r="F62" s="3035"/>
      <c r="G62" s="3037"/>
      <c r="H62" s="3007"/>
      <c r="I62" s="3009"/>
      <c r="J62" s="2999"/>
      <c r="K62" s="3001"/>
      <c r="L62" s="3004"/>
      <c r="M62" s="155"/>
      <c r="N62" s="57"/>
    </row>
    <row r="63" spans="1:14" ht="13.5" customHeight="1" x14ac:dyDescent="0.2">
      <c r="A63" s="3067">
        <v>1</v>
      </c>
      <c r="B63" s="3068"/>
      <c r="C63" s="2949">
        <v>2</v>
      </c>
      <c r="D63" s="2950">
        <v>4</v>
      </c>
      <c r="E63" s="2951">
        <v>5</v>
      </c>
      <c r="F63" s="2952">
        <v>3</v>
      </c>
      <c r="G63" s="2953">
        <v>4</v>
      </c>
      <c r="H63" s="2954">
        <v>5</v>
      </c>
      <c r="I63" s="2955">
        <v>6</v>
      </c>
      <c r="J63" s="2955">
        <v>7</v>
      </c>
      <c r="K63" s="2956">
        <v>8</v>
      </c>
      <c r="L63" s="2957">
        <v>9</v>
      </c>
      <c r="M63" s="156"/>
      <c r="N63" s="127"/>
    </row>
    <row r="64" spans="1:14" ht="21" customHeight="1" thickBot="1" x14ac:dyDescent="0.25">
      <c r="A64" s="3069" t="s">
        <v>164</v>
      </c>
      <c r="B64" s="3070"/>
      <c r="C64" s="1809">
        <f t="shared" ref="C64:G64" si="39">C65+C66</f>
        <v>782198493.03250003</v>
      </c>
      <c r="D64" s="2266" t="e">
        <f t="shared" si="39"/>
        <v>#REF!</v>
      </c>
      <c r="E64" s="2846" t="e">
        <f t="shared" si="39"/>
        <v>#REF!</v>
      </c>
      <c r="F64" s="2266">
        <f t="shared" si="39"/>
        <v>157485249</v>
      </c>
      <c r="G64" s="2847">
        <f t="shared" si="39"/>
        <v>442499929</v>
      </c>
      <c r="H64" s="1809">
        <f t="shared" ref="H64" si="40">H65+H66</f>
        <v>334973951.3125</v>
      </c>
      <c r="I64" s="2848">
        <f t="shared" ref="I64:I87" si="41">H64/C64*100</f>
        <v>42.824673570239412</v>
      </c>
      <c r="J64" s="940">
        <f t="shared" ref="J64" si="42">J65+J66</f>
        <v>156642830.28</v>
      </c>
      <c r="K64" s="2849">
        <f t="shared" ref="K64:K87" si="43">J64/F64*100</f>
        <v>99.465080872431429</v>
      </c>
      <c r="L64" s="2850">
        <f t="shared" ref="L64" si="44">L65+L66</f>
        <v>-842418.71999999974</v>
      </c>
      <c r="M64" s="157">
        <f>+J64-F64</f>
        <v>-842418.71999999881</v>
      </c>
      <c r="N64" s="158">
        <f>+L64-M64</f>
        <v>-9.3132257461547852E-10</v>
      </c>
    </row>
    <row r="65" spans="1:14" ht="15.75" customHeight="1" x14ac:dyDescent="0.2">
      <c r="A65" s="159"/>
      <c r="B65" s="160" t="s">
        <v>165</v>
      </c>
      <c r="C65" s="161">
        <f>'Nr 8A-Drogi'!D412+'Nr 8C-Ochrona zdrowia'!D10+'Nr 8D-Oświata'!D49+'Nr 8E-Administracja'!D108+'Nr 8F-Kultura'!D10+'Nr 8G-Rol i och środ'!D231+'Nr 8H-Kultura fiz i tur'!D85</f>
        <v>461137669</v>
      </c>
      <c r="D65" s="162" t="e">
        <f>'Nr 8A-Drogi'!E412+'Nr 8C-Ochrona zdrowia'!E10+'Nr 8D-Oświata'!E49+'Nr 8E-Administracja'!E108+'Nr 8F-Kultura'!E10+'Nr 8G-Rol i och środ'!E231+'Nr 8H-Kultura fiz i tur'!#REF!</f>
        <v>#REF!</v>
      </c>
      <c r="E65" s="163" t="e">
        <f>'Nr 8A-Drogi'!F412+'Nr 8C-Ochrona zdrowia'!F10+'Nr 8D-Oświata'!F49+'Nr 8E-Administracja'!F108+'Nr 8F-Kultura'!F10+'Nr 8G-Rol i och środ'!F231+'Nr 8H-Kultura fiz i tur'!#REF!</f>
        <v>#REF!</v>
      </c>
      <c r="F65" s="164">
        <f>'Nr 8A-Drogi'!G412+'Nr 8C-Ochrona zdrowia'!G10+'Nr 8D-Oświata'!G49+'Nr 8E-Administracja'!G108+'Nr 8F-Kultura'!G10+'Nr 8G-Rol i och środ'!G231+'Nr 8H-Kultura fiz i tur'!G85</f>
        <v>106193491</v>
      </c>
      <c r="G65" s="165">
        <f>'Nr 8A-Drogi'!H412+'Nr 8C-Ochrona zdrowia'!H10+'Nr 8D-Oświata'!H49+'Nr 8E-Administracja'!H108+'Nr 8F-Kultura'!H10+'Nr 8G-Rol i och środ'!H231+'Nr 8H-Kultura fiz i tur'!H85</f>
        <v>322147397</v>
      </c>
      <c r="H65" s="161">
        <f>'Nr 8A-Drogi'!I412+'Nr 8C-Ochrona zdrowia'!I10+'Nr 8D-Oświata'!I49+'Nr 8E-Administracja'!I108+'Nr 8F-Kultura'!I10+'Nr 8G-Rol i och środ'!I231+'Nr 8H-Kultura fiz i tur'!I85</f>
        <v>135724133</v>
      </c>
      <c r="I65" s="166">
        <f t="shared" si="41"/>
        <v>29.432454150693122</v>
      </c>
      <c r="J65" s="167">
        <f>'Nr 8A-Drogi'!K412+'Nr 8C-Ochrona zdrowia'!K10+'Nr 8D-Oświata'!K49+'Nr 8E-Administracja'!K108+'Nr 8F-Kultura'!K10+'Nr 8G-Rol i och środ'!K231+'Nr 8H-Kultura fiz i tur'!K85</f>
        <v>102927352</v>
      </c>
      <c r="K65" s="168">
        <f t="shared" si="43"/>
        <v>96.924351041440005</v>
      </c>
      <c r="L65" s="169">
        <f>'Nr 8A-Drogi'!M412+'Nr 8C-Ochrona zdrowia'!M10+'Nr 8D-Oświata'!M49+'Nr 8E-Administracja'!M108+'Nr 8F-Kultura'!M10+'Nr 8G-Rol i och środ'!M231+'Nr 8H-Kultura fiz i tur'!M85</f>
        <v>-3266139</v>
      </c>
      <c r="M65" s="156"/>
      <c r="N65" s="170"/>
    </row>
    <row r="66" spans="1:14" ht="13.5" customHeight="1" x14ac:dyDescent="0.2">
      <c r="A66" s="14"/>
      <c r="B66" s="171" t="s">
        <v>166</v>
      </c>
      <c r="C66" s="172">
        <f>'Nr 8A-Drogi'!D413+'Nr 8C-Ochrona zdrowia'!D11+'Nr 8D-Oświata'!D50+'Nr 8E-Administracja'!D109+'Nr 8F-Kultura'!D11+'Nr 8G-Rol i och środ'!D232+'Nr 8H-Kultura fiz i tur'!D86</f>
        <v>321060824.03250003</v>
      </c>
      <c r="D66" s="173" t="e">
        <f>'Nr 8A-Drogi'!E413+'Nr 8C-Ochrona zdrowia'!E11+'Nr 8D-Oświata'!E50+'Nr 8E-Administracja'!E109+'Nr 8F-Kultura'!E11+'Nr 8G-Rol i och środ'!E232+'Nr 8H-Kultura fiz i tur'!#REF!</f>
        <v>#REF!</v>
      </c>
      <c r="E66" s="174" t="e">
        <f>'Nr 8A-Drogi'!F413+'Nr 8C-Ochrona zdrowia'!F11+'Nr 8D-Oświata'!F50+'Nr 8E-Administracja'!F109+'Nr 8F-Kultura'!F11+'Nr 8G-Rol i och środ'!F232+'Nr 8H-Kultura fiz i tur'!#REF!</f>
        <v>#REF!</v>
      </c>
      <c r="F66" s="173">
        <f>'Nr 8A-Drogi'!G413+'Nr 8C-Ochrona zdrowia'!G11+'Nr 8D-Oświata'!G50+'Nr 8E-Administracja'!G109+'Nr 8F-Kultura'!G11+'Nr 8G-Rol i och środ'!G232+'Nr 8H-Kultura fiz i tur'!G86</f>
        <v>51291758</v>
      </c>
      <c r="G66" s="175">
        <f>'Nr 8A-Drogi'!H413+'Nr 8C-Ochrona zdrowia'!H11+'Nr 8D-Oświata'!H50+'Nr 8E-Administracja'!H109+'Nr 8F-Kultura'!H11+'Nr 8G-Rol i och środ'!H232+'Nr 8H-Kultura fiz i tur'!H86</f>
        <v>120352532</v>
      </c>
      <c r="H66" s="172">
        <f>'Nr 8A-Drogi'!I413+'Nr 8C-Ochrona zdrowia'!I11+'Nr 8D-Oświata'!I50+'Nr 8E-Administracja'!I109+'Nr 8F-Kultura'!I11+'Nr 8G-Rol i och środ'!I232+'Nr 8H-Kultura fiz i tur'!I86</f>
        <v>199249818.3125</v>
      </c>
      <c r="I66" s="176">
        <f t="shared" si="41"/>
        <v>62.059835208150638</v>
      </c>
      <c r="J66" s="173">
        <f>'Nr 8A-Drogi'!K413+'Nr 8C-Ochrona zdrowia'!K11+'Nr 8D-Oświata'!K50+'Nr 8E-Administracja'!K109+'Nr 8F-Kultura'!K11+'Nr 8G-Rol i och środ'!K232+'Nr 8H-Kultura fiz i tur'!K86</f>
        <v>53715478.280000001</v>
      </c>
      <c r="K66" s="177">
        <f t="shared" si="43"/>
        <v>104.72536012511016</v>
      </c>
      <c r="L66" s="178">
        <f>'Nr 8A-Drogi'!M413+'Nr 8C-Ochrona zdrowia'!M11+'Nr 8D-Oświata'!M50+'Nr 8E-Administracja'!M109+'Nr 8F-Kultura'!M11+'Nr 8G-Rol i och środ'!M232+'Nr 8H-Kultura fiz i tur'!M86</f>
        <v>2423720.2800000003</v>
      </c>
      <c r="M66" s="154"/>
      <c r="N66" s="49"/>
    </row>
    <row r="67" spans="1:14" s="4" customFormat="1" ht="18" customHeight="1" x14ac:dyDescent="0.2">
      <c r="A67" s="2904" t="s">
        <v>2</v>
      </c>
      <c r="B67" s="2895"/>
      <c r="C67" s="2905">
        <f t="shared" ref="C67:H67" si="45">+C68+C77</f>
        <v>999002754.03250003</v>
      </c>
      <c r="D67" s="2906" t="e">
        <f t="shared" si="45"/>
        <v>#REF!</v>
      </c>
      <c r="E67" s="2907" t="e">
        <f t="shared" si="45"/>
        <v>#REF!</v>
      </c>
      <c r="F67" s="2906">
        <f t="shared" si="45"/>
        <v>176036254</v>
      </c>
      <c r="G67" s="2908">
        <f t="shared" si="45"/>
        <v>529154473</v>
      </c>
      <c r="H67" s="2905">
        <f t="shared" si="45"/>
        <v>438642583.3125</v>
      </c>
      <c r="I67" s="2909">
        <f t="shared" si="41"/>
        <v>43.90804545251833</v>
      </c>
      <c r="J67" s="2906">
        <f>+J68+J77</f>
        <v>201121935.28</v>
      </c>
      <c r="K67" s="2910">
        <f t="shared" si="43"/>
        <v>114.2502926016592</v>
      </c>
      <c r="L67" s="2911">
        <f>+L68+L77</f>
        <v>25085681.279999997</v>
      </c>
      <c r="M67" s="133"/>
      <c r="N67" s="57"/>
    </row>
    <row r="68" spans="1:14" s="6" customFormat="1" ht="18" customHeight="1" x14ac:dyDescent="0.2">
      <c r="A68" s="2890"/>
      <c r="B68" s="2896" t="s">
        <v>3</v>
      </c>
      <c r="C68" s="2897">
        <f t="shared" ref="C68:G68" si="46">SUM(C69:C76)</f>
        <v>855130832.03250003</v>
      </c>
      <c r="D68" s="2898" t="e">
        <f t="shared" si="46"/>
        <v>#REF!</v>
      </c>
      <c r="E68" s="2899" t="e">
        <f t="shared" si="46"/>
        <v>#REF!</v>
      </c>
      <c r="F68" s="2898">
        <f t="shared" si="46"/>
        <v>161679094</v>
      </c>
      <c r="G68" s="2900">
        <f t="shared" si="46"/>
        <v>463953728</v>
      </c>
      <c r="H68" s="2897">
        <f>SUM(H69:H76)</f>
        <v>374509364.3125</v>
      </c>
      <c r="I68" s="2901">
        <f t="shared" si="41"/>
        <v>43.795563238242174</v>
      </c>
      <c r="J68" s="2898">
        <f>SUM(J69:J76)</f>
        <v>183202411.28</v>
      </c>
      <c r="K68" s="2902">
        <f t="shared" si="43"/>
        <v>113.31236880879602</v>
      </c>
      <c r="L68" s="2903">
        <f>SUM(L69:L76)</f>
        <v>21523317.279999997</v>
      </c>
      <c r="M68" s="133"/>
      <c r="N68" s="57"/>
    </row>
    <row r="69" spans="1:14" s="9" customFormat="1" ht="15.75" customHeight="1" x14ac:dyDescent="0.2">
      <c r="A69" s="2890"/>
      <c r="B69" s="134" t="s">
        <v>261</v>
      </c>
      <c r="C69" s="135">
        <f>'Nr 8A-Drogi'!D416+'Nr 8C-Ochrona zdrowia'!D14+'Nr 8D-Oświata'!D55+'Nr 8E-Administracja'!D112</f>
        <v>594570870</v>
      </c>
      <c r="D69" s="136" t="e">
        <f>'Nr 8A-Drogi'!E416+'Nr 8C-Ochrona zdrowia'!E14+'Nr 8D-Oświata'!E55+'Nr 8E-Administracja'!E112+'Nr 8H-Kultura fiz i tur'!#REF!</f>
        <v>#REF!</v>
      </c>
      <c r="E69" s="179" t="e">
        <f>'Nr 8A-Drogi'!F416+'Nr 8C-Ochrona zdrowia'!F14+'Nr 8D-Oświata'!F55+'Nr 8E-Administracja'!F112+'Nr 8H-Kultura fiz i tur'!#REF!</f>
        <v>#REF!</v>
      </c>
      <c r="F69" s="136">
        <f>'Nr 8A-Drogi'!G416+'Nr 8C-Ochrona zdrowia'!G14+'Nr 8D-Oświata'!G55+'Nr 8E-Administracja'!G112</f>
        <v>135296398</v>
      </c>
      <c r="G69" s="137">
        <f>'Nr 8A-Drogi'!H416+'Nr 8C-Ochrona zdrowia'!H14+'Nr 8D-Oświata'!H55+'Nr 8E-Administracja'!H112</f>
        <v>350664176</v>
      </c>
      <c r="H69" s="135">
        <f>'Nr 8A-Drogi'!I416+'Nr 8C-Ochrona zdrowia'!I14+'Nr 8D-Oświata'!I55+'Nr 8E-Administracja'!I112</f>
        <v>239162558</v>
      </c>
      <c r="I69" s="138">
        <f t="shared" si="41"/>
        <v>40.224398817251171</v>
      </c>
      <c r="J69" s="180">
        <f>'Nr 8A-Drogi'!K416+'Nr 8C-Ochrona zdrowia'!K14+'Nr 8D-Oświata'!K55+'Nr 8E-Administracja'!K112</f>
        <v>130552262</v>
      </c>
      <c r="K69" s="139">
        <f t="shared" si="43"/>
        <v>96.493523796546313</v>
      </c>
      <c r="L69" s="137">
        <f>+J69-F69</f>
        <v>-4744136</v>
      </c>
      <c r="M69" s="133"/>
      <c r="N69" s="57"/>
    </row>
    <row r="70" spans="1:14" s="9" customFormat="1" ht="15.75" customHeight="1" x14ac:dyDescent="0.2">
      <c r="A70" s="2890"/>
      <c r="B70" s="134" t="s">
        <v>29</v>
      </c>
      <c r="C70" s="135">
        <f>'Nr 8A-Drogi'!D419+'Nr 8G-Rol i och środ'!D237</f>
        <v>5382189</v>
      </c>
      <c r="D70" s="136">
        <f>'Nr 8A-Drogi'!E419+'Nr 8G-Rol i och środ'!E237</f>
        <v>0</v>
      </c>
      <c r="E70" s="179">
        <f>'Nr 8A-Drogi'!F419+'Nr 8G-Rol i och środ'!F237</f>
        <v>2004927</v>
      </c>
      <c r="F70" s="136">
        <f>'Nr 8A-Drogi'!G419+'Nr 8G-Rol i och środ'!G237</f>
        <v>2666251</v>
      </c>
      <c r="G70" s="137">
        <f>'Nr 8A-Drogi'!H419+'Nr 8G-Rol i och środ'!H237</f>
        <v>711011</v>
      </c>
      <c r="H70" s="135">
        <f>'Nr 8A-Drogi'!I419+'Nr 8G-Rol i och środ'!I237</f>
        <v>4670950.4000000004</v>
      </c>
      <c r="I70" s="138">
        <f t="shared" si="41"/>
        <v>86.785328423063561</v>
      </c>
      <c r="J70" s="136">
        <f>'Nr 8A-Drogi'!K419+'Nr 8G-Rol i och środ'!K237</f>
        <v>2666023.4</v>
      </c>
      <c r="K70" s="139">
        <f t="shared" si="43"/>
        <v>99.991463669399465</v>
      </c>
      <c r="L70" s="137">
        <f t="shared" ref="L70:L72" si="47">+J70-F70</f>
        <v>-227.60000000009313</v>
      </c>
      <c r="M70" s="133"/>
      <c r="N70" s="57"/>
    </row>
    <row r="71" spans="1:14" s="9" customFormat="1" ht="15.75" customHeight="1" x14ac:dyDescent="0.2">
      <c r="A71" s="2890"/>
      <c r="B71" s="134" t="s">
        <v>6</v>
      </c>
      <c r="C71" s="135">
        <f>'Nr 8C-Ochrona zdrowia'!D15+'Nr 8F-Kultura'!D14</f>
        <v>69278659</v>
      </c>
      <c r="D71" s="136">
        <f>'Nr 8C-Ochrona zdrowia'!E15+'Nr 8F-Kultura'!E14</f>
        <v>39435337</v>
      </c>
      <c r="E71" s="179">
        <f>'Nr 8C-Ochrona zdrowia'!F15+'Nr 8F-Kultura'!F14</f>
        <v>2922857</v>
      </c>
      <c r="F71" s="136">
        <f>'Nr 8C-Ochrona zdrowia'!G15+'Nr 8F-Kultura'!G14</f>
        <v>2111381</v>
      </c>
      <c r="G71" s="137">
        <f>'Nr 8C-Ochrona zdrowia'!H15+'Nr 8F-Kultura'!H14</f>
        <v>19887583</v>
      </c>
      <c r="H71" s="135">
        <f>'Nr 8C-Ochrona zdrowia'!I15+'Nr 8F-Kultura'!I14</f>
        <v>38090178</v>
      </c>
      <c r="I71" s="138">
        <f t="shared" si="41"/>
        <v>54.98111330359324</v>
      </c>
      <c r="J71" s="136">
        <f>'Nr 8C-Ochrona zdrowia'!K15+'Nr 8F-Kultura'!K14</f>
        <v>25114346</v>
      </c>
      <c r="K71" s="139">
        <f t="shared" si="43"/>
        <v>1189.4748508203872</v>
      </c>
      <c r="L71" s="137">
        <f t="shared" si="47"/>
        <v>23002965</v>
      </c>
      <c r="M71" s="133"/>
      <c r="N71" s="57"/>
    </row>
    <row r="72" spans="1:14" s="9" customFormat="1" ht="15.75" customHeight="1" x14ac:dyDescent="0.2">
      <c r="A72" s="2890"/>
      <c r="B72" s="134" t="s">
        <v>234</v>
      </c>
      <c r="C72" s="135">
        <f>'Nr 8C-Ochrona zdrowia'!D16+'Nr 8D-Oświata'!D54+'Nr 8F-Kultura'!D15+'Nr 8H-Kultura fiz i tur'!D89</f>
        <v>119724468.0325</v>
      </c>
      <c r="D72" s="136">
        <f>'Nr 8C-Ochrona zdrowia'!E16+'Nr 8D-Oświata'!E54+'Nr 8F-Kultura'!E15</f>
        <v>27703028.032499999</v>
      </c>
      <c r="E72" s="179">
        <f>'Nr 8C-Ochrona zdrowia'!F16+'Nr 8D-Oświata'!F54+'Nr 8F-Kultura'!F15</f>
        <v>18583120</v>
      </c>
      <c r="F72" s="136">
        <f>'Nr 8C-Ochrona zdrowia'!G16+'Nr 8D-Oświata'!G54+'Nr 8F-Kultura'!G15+'Nr 8H-Kultura fiz i tur'!G89</f>
        <v>8322479</v>
      </c>
      <c r="G72" s="137">
        <f>'Nr 8C-Ochrona zdrowia'!H16+'Nr 8D-Oświata'!H54+'Nr 8F-Kultura'!H15+'Nr 8H-Kultura fiz i tur'!H89</f>
        <v>65115841</v>
      </c>
      <c r="H72" s="135">
        <f>'Nr 8C-Ochrona zdrowia'!I16+'Nr 8D-Oświata'!I54+'Nr 8F-Kultura'!I15+'Nr 8H-Kultura fiz i tur'!I89</f>
        <v>54608626.032499999</v>
      </c>
      <c r="I72" s="138">
        <f t="shared" si="41"/>
        <v>45.611917872690924</v>
      </c>
      <c r="J72" s="136">
        <f>'Nr 8C-Ochrona zdrowia'!K16+'Nr 8D-Oświata'!K54+'Nr 8F-Kultura'!K15+'Nr 8H-Kultura fiz i tur'!K89</f>
        <v>8322478</v>
      </c>
      <c r="K72" s="139">
        <f t="shared" si="43"/>
        <v>99.999987984349374</v>
      </c>
      <c r="L72" s="137">
        <f t="shared" si="47"/>
        <v>-1</v>
      </c>
      <c r="M72" s="133"/>
      <c r="N72" s="57"/>
    </row>
    <row r="73" spans="1:14" s="9" customFormat="1" ht="15.75" customHeight="1" x14ac:dyDescent="0.2">
      <c r="A73" s="2890"/>
      <c r="B73" s="134" t="s">
        <v>9</v>
      </c>
      <c r="C73" s="135">
        <f>'Nr 8A-Drogi'!D418+'Nr 8C-Ochrona zdrowia'!D18</f>
        <v>14807105</v>
      </c>
      <c r="D73" s="136">
        <f>'Nr 8A-Drogi'!E418+'Nr 8C-Ochrona zdrowia'!E18</f>
        <v>4919280</v>
      </c>
      <c r="E73" s="179">
        <f>'Nr 8A-Drogi'!F418+'Nr 8C-Ochrona zdrowia'!F18</f>
        <v>2717825</v>
      </c>
      <c r="F73" s="136">
        <f>'Nr 8A-Drogi'!G418+'Nr 8C-Ochrona zdrowia'!G18</f>
        <v>3693144</v>
      </c>
      <c r="G73" s="137">
        <f>'Nr 8A-Drogi'!H418+'Nr 8C-Ochrona zdrowia'!H18</f>
        <v>3476856</v>
      </c>
      <c r="H73" s="135">
        <f>'Nr 8A-Drogi'!I418+'Nr 8C-Ochrona zdrowia'!I18</f>
        <v>11350001</v>
      </c>
      <c r="I73" s="138">
        <f t="shared" si="41"/>
        <v>76.652397615874264</v>
      </c>
      <c r="J73" s="136">
        <f>'Nr 8A-Drogi'!K418+'Nr 8C-Ochrona zdrowia'!K18</f>
        <v>3712896</v>
      </c>
      <c r="K73" s="139">
        <f t="shared" si="43"/>
        <v>100.53482886126292</v>
      </c>
      <c r="L73" s="137">
        <f>+J73-F73</f>
        <v>19752</v>
      </c>
      <c r="M73" s="133"/>
      <c r="N73" s="57"/>
    </row>
    <row r="74" spans="1:14" s="9" customFormat="1" ht="15.75" customHeight="1" thickBot="1" x14ac:dyDescent="0.25">
      <c r="A74" s="2890"/>
      <c r="B74" s="134" t="s">
        <v>7</v>
      </c>
      <c r="C74" s="135">
        <f>'Nr 8A-Drogi'!D429+'Nr 8C-Ochrona zdrowia'!D17</f>
        <v>47039500</v>
      </c>
      <c r="D74" s="136">
        <f>'Nr 8A-Drogi'!E429+'Nr 8C-Ochrona zdrowia'!E17</f>
        <v>8065000</v>
      </c>
      <c r="E74" s="179">
        <f>'Nr 8A-Drogi'!F429+'Nr 8C-Ochrona zdrowia'!F17</f>
        <v>9148705</v>
      </c>
      <c r="F74" s="136">
        <f>'Nr 8A-Drogi'!G429+'Nr 8C-Ochrona zdrowia'!G17</f>
        <v>7293750</v>
      </c>
      <c r="G74" s="137">
        <f>'Nr 8A-Drogi'!H429+'Nr 8C-Ochrona zdrowia'!H17</f>
        <v>22532045</v>
      </c>
      <c r="H74" s="135">
        <f>'Nr 8A-Drogi'!I429+'Nr 8C-Ochrona zdrowia'!I17</f>
        <v>24507455</v>
      </c>
      <c r="I74" s="138">
        <f t="shared" si="41"/>
        <v>52.099735328819399</v>
      </c>
      <c r="J74" s="136">
        <f>'Nr 8A-Drogi'!K429+'Nr 8C-Ochrona zdrowia'!K17</f>
        <v>11175944</v>
      </c>
      <c r="K74" s="139">
        <f t="shared" si="43"/>
        <v>153.22631019708655</v>
      </c>
      <c r="L74" s="137">
        <f>+J74-F74</f>
        <v>3882194</v>
      </c>
      <c r="M74" s="157"/>
      <c r="N74" s="158"/>
    </row>
    <row r="75" spans="1:14" s="9" customFormat="1" ht="15.75" customHeight="1" x14ac:dyDescent="0.2">
      <c r="A75" s="2890"/>
      <c r="B75" s="181" t="s">
        <v>235</v>
      </c>
      <c r="C75" s="121">
        <f>'Nr 8D-Oświata'!D53</f>
        <v>3653680</v>
      </c>
      <c r="D75" s="122">
        <f>'Nr 8D-Oświata'!E53</f>
        <v>0</v>
      </c>
      <c r="E75" s="182">
        <f>'Nr 8D-Oświata'!F53</f>
        <v>5000</v>
      </c>
      <c r="F75" s="122">
        <f>'Nr 8D-Oświata'!G53</f>
        <v>2082464</v>
      </c>
      <c r="G75" s="123">
        <f>'Nr 8D-Oświata'!H53</f>
        <v>1566216</v>
      </c>
      <c r="H75" s="182">
        <f>'Nr 8D-Oświata'!I53</f>
        <v>1445235</v>
      </c>
      <c r="I75" s="124">
        <f t="shared" si="41"/>
        <v>39.555598738805806</v>
      </c>
      <c r="J75" s="122">
        <f>'Nr 8D-Oświata'!K53</f>
        <v>1445235</v>
      </c>
      <c r="K75" s="125">
        <f t="shared" si="43"/>
        <v>69.400239331868406</v>
      </c>
      <c r="L75" s="123">
        <f>+J75-F75</f>
        <v>-637229</v>
      </c>
      <c r="M75" s="126"/>
      <c r="N75" s="127"/>
    </row>
    <row r="76" spans="1:14" s="9" customFormat="1" ht="13.5" customHeight="1" x14ac:dyDescent="0.2">
      <c r="A76" s="2890"/>
      <c r="B76" s="134" t="s">
        <v>8</v>
      </c>
      <c r="C76" s="135">
        <f>'Nr 8G-Rol i och środ'!D236</f>
        <v>674361</v>
      </c>
      <c r="D76" s="136">
        <f>'Nr 8G-Rol i och środ'!E236</f>
        <v>0</v>
      </c>
      <c r="E76" s="179">
        <f>'Nr 8G-Rol i och środ'!F236</f>
        <v>461134</v>
      </c>
      <c r="F76" s="136">
        <f>'Nr 8G-Rol i och środ'!G236</f>
        <v>213227</v>
      </c>
      <c r="G76" s="137">
        <f>'Nr 8G-Rol i och środ'!H236</f>
        <v>0</v>
      </c>
      <c r="H76" s="179">
        <f>'Nr 8G-Rol i och środ'!I236</f>
        <v>674360.88</v>
      </c>
      <c r="I76" s="138">
        <f t="shared" si="41"/>
        <v>99.999982205376654</v>
      </c>
      <c r="J76" s="136">
        <f>'Nr 8G-Rol i och środ'!K236</f>
        <v>213226.88</v>
      </c>
      <c r="K76" s="139">
        <f t="shared" si="43"/>
        <v>99.99994372194891</v>
      </c>
      <c r="L76" s="137">
        <f>+J76-F76</f>
        <v>-0.11999999999534339</v>
      </c>
      <c r="M76" s="133"/>
      <c r="N76" s="57"/>
    </row>
    <row r="77" spans="1:14" s="9" customFormat="1" ht="18" customHeight="1" x14ac:dyDescent="0.2">
      <c r="A77" s="2890"/>
      <c r="B77" s="129" t="s">
        <v>12</v>
      </c>
      <c r="C77" s="130">
        <f t="shared" ref="C77:H77" si="48">SUM(C78:C78)</f>
        <v>143871922</v>
      </c>
      <c r="D77" s="131">
        <f t="shared" si="48"/>
        <v>47480581</v>
      </c>
      <c r="E77" s="132">
        <f t="shared" si="48"/>
        <v>16833436</v>
      </c>
      <c r="F77" s="131">
        <f t="shared" si="48"/>
        <v>14357160</v>
      </c>
      <c r="G77" s="183">
        <f t="shared" si="48"/>
        <v>65200745</v>
      </c>
      <c r="H77" s="132">
        <f t="shared" si="48"/>
        <v>64133219</v>
      </c>
      <c r="I77" s="184">
        <f t="shared" si="41"/>
        <v>44.576605433824682</v>
      </c>
      <c r="J77" s="131">
        <f>SUM(J78:J78)</f>
        <v>17919524</v>
      </c>
      <c r="K77" s="185">
        <f t="shared" si="43"/>
        <v>124.81245594532623</v>
      </c>
      <c r="L77" s="183">
        <f>SUM(L78:L78)</f>
        <v>3562364</v>
      </c>
      <c r="M77" s="133"/>
      <c r="N77" s="57"/>
    </row>
    <row r="78" spans="1:14" s="9" customFormat="1" ht="15.75" customHeight="1" thickBot="1" x14ac:dyDescent="0.25">
      <c r="A78" s="2890"/>
      <c r="B78" s="134" t="s">
        <v>15</v>
      </c>
      <c r="C78" s="186">
        <f>'Nr 8C-Ochrona zdrowia'!D20+'Nr 8D-Oświata'!D57+'Nr 8F-Kultura'!D17</f>
        <v>143871922</v>
      </c>
      <c r="D78" s="136">
        <f>'Nr 8C-Ochrona zdrowia'!E20+'Nr 8D-Oświata'!E57+'Nr 8F-Kultura'!E17</f>
        <v>47480581</v>
      </c>
      <c r="E78" s="136">
        <f>'Nr 8C-Ochrona zdrowia'!F20+'Nr 8D-Oświata'!F57+'Nr 8F-Kultura'!F17</f>
        <v>16833436</v>
      </c>
      <c r="F78" s="136">
        <f>'Nr 8C-Ochrona zdrowia'!G20+'Nr 8D-Oświata'!G57+'Nr 8F-Kultura'!G17</f>
        <v>14357160</v>
      </c>
      <c r="G78" s="187">
        <f>'Nr 8C-Ochrona zdrowia'!H20+'Nr 8D-Oświata'!H57+'Nr 8F-Kultura'!H17</f>
        <v>65200745</v>
      </c>
      <c r="H78" s="179">
        <f>'Nr 8C-Ochrona zdrowia'!I20+'Nr 8D-Oświata'!I57+'Nr 8F-Kultura'!I17</f>
        <v>64133219</v>
      </c>
      <c r="I78" s="138">
        <f t="shared" si="41"/>
        <v>44.576605433824682</v>
      </c>
      <c r="J78" s="136">
        <f>'Nr 8C-Ochrona zdrowia'!K20+'Nr 8D-Oświata'!K57+'Nr 8F-Kultura'!K17</f>
        <v>17919524</v>
      </c>
      <c r="K78" s="139">
        <f t="shared" si="43"/>
        <v>124.81245594532623</v>
      </c>
      <c r="L78" s="137">
        <f>+J78-F78</f>
        <v>3562364</v>
      </c>
      <c r="M78" s="188"/>
      <c r="N78" s="158"/>
    </row>
    <row r="79" spans="1:14" s="10" customFormat="1" ht="18" customHeight="1" x14ac:dyDescent="0.2">
      <c r="A79" s="2904" t="s">
        <v>16</v>
      </c>
      <c r="B79" s="2895"/>
      <c r="C79" s="189">
        <f>+C80+C86</f>
        <v>237555350</v>
      </c>
      <c r="D79" s="190">
        <f>+D80+D86</f>
        <v>60735135</v>
      </c>
      <c r="E79" s="190">
        <f>+E80+E86</f>
        <v>35019489</v>
      </c>
      <c r="F79" s="190">
        <f>+F80+F86</f>
        <v>30421629</v>
      </c>
      <c r="G79" s="191">
        <f>+G80+G86</f>
        <v>111379097</v>
      </c>
      <c r="H79" s="192">
        <f t="shared" ref="H79" si="49">+H80+H86</f>
        <v>109504330.28</v>
      </c>
      <c r="I79" s="193">
        <f t="shared" si="41"/>
        <v>46.096343559511496</v>
      </c>
      <c r="J79" s="190">
        <f>+J80+J86</f>
        <v>35717222.280000001</v>
      </c>
      <c r="K79" s="194">
        <f t="shared" si="43"/>
        <v>117.40732976527983</v>
      </c>
      <c r="L79" s="195">
        <f>+L80+L86</f>
        <v>5295593.2799999993</v>
      </c>
      <c r="M79" s="196"/>
      <c r="N79" s="57"/>
    </row>
    <row r="80" spans="1:14" s="9" customFormat="1" ht="15" customHeight="1" x14ac:dyDescent="0.2">
      <c r="A80" s="2890"/>
      <c r="B80" s="96" t="s">
        <v>17</v>
      </c>
      <c r="C80" s="2891">
        <f>SUM(C81:C85)</f>
        <v>93683428</v>
      </c>
      <c r="D80" s="2892">
        <f>SUM(D81:D85)</f>
        <v>14019047</v>
      </c>
      <c r="E80" s="2893">
        <f>SUM(E81:E85)</f>
        <v>15677644</v>
      </c>
      <c r="F80" s="2892">
        <f>SUM(F81:F85)</f>
        <v>17251191</v>
      </c>
      <c r="G80" s="2894">
        <f>SUM(G81:G85)</f>
        <v>46735546</v>
      </c>
      <c r="H80" s="2893">
        <f t="shared" ref="H80" si="50">SUM(H81:H85)</f>
        <v>44907159.280000001</v>
      </c>
      <c r="I80" s="197">
        <f t="shared" si="41"/>
        <v>47.935008612195531</v>
      </c>
      <c r="J80" s="2892">
        <f>SUM(J81:J85)</f>
        <v>19092662.279999997</v>
      </c>
      <c r="K80" s="198">
        <f t="shared" si="43"/>
        <v>110.67445882432116</v>
      </c>
      <c r="L80" s="2894">
        <f>SUM(L81:L85)</f>
        <v>1841471.2799999998</v>
      </c>
      <c r="M80" s="56"/>
      <c r="N80" s="57"/>
    </row>
    <row r="81" spans="1:14" s="9" customFormat="1" ht="15" customHeight="1" x14ac:dyDescent="0.2">
      <c r="A81" s="2890"/>
      <c r="B81" s="88" t="s">
        <v>7</v>
      </c>
      <c r="C81" s="199">
        <f>'Nr 8A-Drogi'!D422+'Nr 8C-Ochrona zdrowia'!D23</f>
        <v>47039500</v>
      </c>
      <c r="D81" s="200">
        <f>'Nr 8A-Drogi'!E422+'Nr 8C-Ochrona zdrowia'!E23</f>
        <v>8065000</v>
      </c>
      <c r="E81" s="201">
        <f>'Nr 8A-Drogi'!F422+'Nr 8C-Ochrona zdrowia'!F23</f>
        <v>9148705</v>
      </c>
      <c r="F81" s="200">
        <f>'Nr 8A-Drogi'!G422+'Nr 8C-Ochrona zdrowia'!G23</f>
        <v>7293750</v>
      </c>
      <c r="G81" s="202">
        <f>'Nr 8A-Drogi'!H422+'Nr 8C-Ochrona zdrowia'!H23</f>
        <v>22532045</v>
      </c>
      <c r="H81" s="201">
        <f>'Nr 8A-Drogi'!I422+'Nr 8C-Ochrona zdrowia'!I23</f>
        <v>24507455</v>
      </c>
      <c r="I81" s="85">
        <f t="shared" si="41"/>
        <v>52.099735328819399</v>
      </c>
      <c r="J81" s="200">
        <f>'Nr 8A-Drogi'!K422+'Nr 8C-Ochrona zdrowia'!K23</f>
        <v>11175944</v>
      </c>
      <c r="K81" s="87">
        <f t="shared" si="43"/>
        <v>153.22631019708655</v>
      </c>
      <c r="L81" s="2926">
        <f>+J81-F81</f>
        <v>3882194</v>
      </c>
      <c r="M81" s="56"/>
      <c r="N81" s="57"/>
    </row>
    <row r="82" spans="1:14" s="9" customFormat="1" ht="15" customHeight="1" x14ac:dyDescent="0.2">
      <c r="A82" s="2890"/>
      <c r="B82" s="88" t="s">
        <v>9</v>
      </c>
      <c r="C82" s="199">
        <f>'Nr 8A-Drogi'!D423+'Nr 8C-Ochrona zdrowia'!D24</f>
        <v>14807105</v>
      </c>
      <c r="D82" s="200">
        <f>'Nr 8A-Drogi'!E423+'Nr 8C-Ochrona zdrowia'!E24</f>
        <v>4919280</v>
      </c>
      <c r="E82" s="201">
        <f>'Nr 8A-Drogi'!F423+'Nr 8C-Ochrona zdrowia'!F24</f>
        <v>2717825</v>
      </c>
      <c r="F82" s="200">
        <f>'Nr 8A-Drogi'!G423+'Nr 8C-Ochrona zdrowia'!G24</f>
        <v>3693144</v>
      </c>
      <c r="G82" s="202">
        <f>'Nr 8A-Drogi'!H423+'Nr 8C-Ochrona zdrowia'!H24</f>
        <v>3476856</v>
      </c>
      <c r="H82" s="201">
        <f>'Nr 8A-Drogi'!I423+'Nr 8C-Ochrona zdrowia'!I24</f>
        <v>11350001</v>
      </c>
      <c r="I82" s="85">
        <f t="shared" si="41"/>
        <v>76.652397615874264</v>
      </c>
      <c r="J82" s="200">
        <f>'Nr 8A-Drogi'!K423+'Nr 8C-Ochrona zdrowia'!K24</f>
        <v>3712896</v>
      </c>
      <c r="K82" s="87">
        <f t="shared" si="43"/>
        <v>100.53482886126292</v>
      </c>
      <c r="L82" s="2926">
        <f t="shared" ref="L82:L84" si="51">+J82-F82</f>
        <v>19752</v>
      </c>
      <c r="M82" s="56"/>
      <c r="N82" s="57"/>
    </row>
    <row r="83" spans="1:14" s="9" customFormat="1" ht="15" customHeight="1" x14ac:dyDescent="0.2">
      <c r="A83" s="2890"/>
      <c r="B83" s="88" t="s">
        <v>29</v>
      </c>
      <c r="C83" s="199">
        <f>'Nr 8A-Drogi'!D424+'Nr 8G-Rol i och środ'!D241</f>
        <v>5382189</v>
      </c>
      <c r="D83" s="200">
        <f>'Nr 8A-Drogi'!E424+'Nr 8G-Rol i och środ'!E241</f>
        <v>712500</v>
      </c>
      <c r="E83" s="201">
        <f>'Nr 8A-Drogi'!F424+'Nr 8G-Rol i och środ'!F241</f>
        <v>2004927</v>
      </c>
      <c r="F83" s="200">
        <f>'Nr 8A-Drogi'!G424+'Nr 8G-Rol i och środ'!G241</f>
        <v>1953751</v>
      </c>
      <c r="G83" s="202">
        <f>'Nr 8A-Drogi'!H424+'Nr 8G-Rol i och środ'!H241</f>
        <v>711011</v>
      </c>
      <c r="H83" s="201">
        <f>'Nr 8A-Drogi'!I424+'Nr 8G-Rol i och środ'!I241</f>
        <v>4670950.4000000004</v>
      </c>
      <c r="I83" s="85">
        <f t="shared" si="41"/>
        <v>86.785328423063561</v>
      </c>
      <c r="J83" s="200">
        <f>'Nr 8A-Drogi'!K424+'Nr 8G-Rol i och środ'!K241</f>
        <v>1953523.4</v>
      </c>
      <c r="K83" s="87">
        <f t="shared" si="43"/>
        <v>99.988350613768077</v>
      </c>
      <c r="L83" s="2926">
        <f t="shared" si="51"/>
        <v>-227.60000000009313</v>
      </c>
      <c r="M83" s="56"/>
      <c r="N83" s="57"/>
    </row>
    <row r="84" spans="1:14" s="9" customFormat="1" ht="15" customHeight="1" x14ac:dyDescent="0.2">
      <c r="A84" s="2890"/>
      <c r="B84" s="203" t="s">
        <v>236</v>
      </c>
      <c r="C84" s="199">
        <f>'Nr 8F-Kultura'!D20+'Nr 8D-Oświata'!D61</f>
        <v>25780273</v>
      </c>
      <c r="D84" s="200">
        <f>'Nr 8F-Kultura'!E20+'Nr 8D-Oświata'!E61</f>
        <v>322267</v>
      </c>
      <c r="E84" s="201">
        <f>'Nr 8F-Kultura'!F20+'Nr 8D-Oświata'!F61</f>
        <v>1345053</v>
      </c>
      <c r="F84" s="200">
        <f>'Nr 8F-Kultura'!G20+'Nr 8D-Oświata'!G61</f>
        <v>4097319</v>
      </c>
      <c r="G84" s="202">
        <f>'Nr 8F-Kultura'!H20+'Nr 8D-Oświata'!H61</f>
        <v>20015634</v>
      </c>
      <c r="H84" s="201">
        <f>'Nr 8F-Kultura'!I20+'Nr 8D-Oświata'!I61</f>
        <v>3704392</v>
      </c>
      <c r="I84" s="85">
        <f t="shared" si="41"/>
        <v>14.369095315631453</v>
      </c>
      <c r="J84" s="200">
        <f>'Nr 8F-Kultura'!K20+'Nr 8D-Oświata'!K61</f>
        <v>2037072</v>
      </c>
      <c r="K84" s="87">
        <f t="shared" si="43"/>
        <v>49.71719312067232</v>
      </c>
      <c r="L84" s="2926">
        <f t="shared" si="51"/>
        <v>-2060247</v>
      </c>
      <c r="M84" s="56"/>
      <c r="N84" s="57"/>
    </row>
    <row r="85" spans="1:14" s="9" customFormat="1" ht="18" customHeight="1" x14ac:dyDescent="0.2">
      <c r="A85" s="2890"/>
      <c r="B85" s="88" t="s">
        <v>8</v>
      </c>
      <c r="C85" s="199">
        <f>'Nr 8G-Rol i och środ'!D240</f>
        <v>674361</v>
      </c>
      <c r="D85" s="200">
        <f>'Nr 8G-Rol i och środ'!E240</f>
        <v>0</v>
      </c>
      <c r="E85" s="201">
        <f>'Nr 8G-Rol i och środ'!F240</f>
        <v>461134</v>
      </c>
      <c r="F85" s="200">
        <f>'Nr 8G-Rol i och środ'!G240</f>
        <v>213227</v>
      </c>
      <c r="G85" s="202">
        <f>'Nr 8G-Rol i och środ'!H240</f>
        <v>0</v>
      </c>
      <c r="H85" s="201">
        <f>'Nr 8G-Rol i och środ'!I240</f>
        <v>674360.88</v>
      </c>
      <c r="I85" s="85">
        <f t="shared" si="41"/>
        <v>99.999982205376654</v>
      </c>
      <c r="J85" s="200">
        <f>'Nr 8G-Rol i och środ'!K240</f>
        <v>213226.88</v>
      </c>
      <c r="K85" s="87">
        <f t="shared" si="43"/>
        <v>99.99994372194891</v>
      </c>
      <c r="L85" s="83">
        <f>+J85-F85</f>
        <v>-0.11999999999534339</v>
      </c>
      <c r="M85" s="56"/>
      <c r="N85" s="57"/>
    </row>
    <row r="86" spans="1:14" s="9" customFormat="1" ht="14.25" customHeight="1" thickBot="1" x14ac:dyDescent="0.25">
      <c r="A86" s="2890"/>
      <c r="B86" s="204" t="s">
        <v>12</v>
      </c>
      <c r="C86" s="205">
        <f t="shared" ref="C86:H86" si="52">SUM(C87:C87)</f>
        <v>143871922</v>
      </c>
      <c r="D86" s="206">
        <f t="shared" si="52"/>
        <v>46716088</v>
      </c>
      <c r="E86" s="207">
        <f t="shared" si="52"/>
        <v>19341845</v>
      </c>
      <c r="F86" s="206">
        <f t="shared" si="52"/>
        <v>13170438</v>
      </c>
      <c r="G86" s="208">
        <f t="shared" si="52"/>
        <v>64643551</v>
      </c>
      <c r="H86" s="207">
        <f t="shared" si="52"/>
        <v>64597171</v>
      </c>
      <c r="I86" s="209">
        <f t="shared" si="41"/>
        <v>44.899081142462251</v>
      </c>
      <c r="J86" s="206">
        <f>SUM(J87:J87)</f>
        <v>16624560</v>
      </c>
      <c r="K86" s="210">
        <f t="shared" si="43"/>
        <v>126.22632595817997</v>
      </c>
      <c r="L86" s="211">
        <f>SUM(L87:L87)</f>
        <v>3454122</v>
      </c>
      <c r="M86" s="212"/>
      <c r="N86" s="158"/>
    </row>
    <row r="87" spans="1:14" s="9" customFormat="1" ht="15.75" customHeight="1" thickBot="1" x14ac:dyDescent="0.25">
      <c r="A87" s="2912"/>
      <c r="B87" s="2913" t="s">
        <v>15</v>
      </c>
      <c r="C87" s="2914">
        <f>'Nr 8C-Ochrona zdrowia'!D26+'Nr 8D-Oświata'!D63+'Nr 8F-Kultura'!D22</f>
        <v>143871922</v>
      </c>
      <c r="D87" s="2915">
        <f>'Nr 8C-Ochrona zdrowia'!E26+'Nr 8D-Oświata'!E63+'Nr 8F-Kultura'!E22</f>
        <v>46716088</v>
      </c>
      <c r="E87" s="2916">
        <f>'Nr 8C-Ochrona zdrowia'!F26+'Nr 8D-Oświata'!F63+'Nr 8F-Kultura'!F22</f>
        <v>19341845</v>
      </c>
      <c r="F87" s="2915">
        <f>'Nr 8C-Ochrona zdrowia'!G26+'Nr 8D-Oświata'!G63+'Nr 8F-Kultura'!G22</f>
        <v>13170438</v>
      </c>
      <c r="G87" s="2917">
        <f>'Nr 8C-Ochrona zdrowia'!H26+'Nr 8D-Oświata'!H63+'Nr 8F-Kultura'!H22</f>
        <v>64643551</v>
      </c>
      <c r="H87" s="2918">
        <f>'Nr 8C-Ochrona zdrowia'!I26+'Nr 8D-Oświata'!I63+'Nr 8F-Kultura'!I22</f>
        <v>64597171</v>
      </c>
      <c r="I87" s="2919">
        <f t="shared" si="41"/>
        <v>44.899081142462251</v>
      </c>
      <c r="J87" s="2918">
        <f>'Nr 8C-Ochrona zdrowia'!K26+'Nr 8D-Oświata'!K63+'Nr 8F-Kultura'!K22</f>
        <v>16624560</v>
      </c>
      <c r="K87" s="2920">
        <f t="shared" si="43"/>
        <v>126.22632595817997</v>
      </c>
      <c r="L87" s="2921">
        <f>+J87-F87</f>
        <v>3454122</v>
      </c>
      <c r="M87" s="213"/>
      <c r="N87" s="127"/>
    </row>
    <row r="88" spans="1:14" s="9" customFormat="1" ht="9.75" customHeight="1" thickBot="1" x14ac:dyDescent="0.25">
      <c r="A88" s="2948"/>
      <c r="B88" s="2948"/>
      <c r="C88" s="2948"/>
      <c r="D88" s="2948"/>
      <c r="E88" s="2948"/>
      <c r="F88" s="2948"/>
      <c r="G88" s="2948"/>
      <c r="H88" s="2948"/>
      <c r="I88" s="2948"/>
      <c r="J88" s="2948"/>
      <c r="K88" s="2948"/>
      <c r="L88" s="2948"/>
      <c r="M88" s="214"/>
      <c r="N88" s="158"/>
    </row>
    <row r="89" spans="1:14" s="10" customFormat="1" ht="20.25" customHeight="1" thickBot="1" x14ac:dyDescent="0.25">
      <c r="A89" s="3054" t="s">
        <v>18</v>
      </c>
      <c r="B89" s="3055"/>
      <c r="C89" s="215">
        <f>C69+C70+C72+C73+C74+C76</f>
        <v>782198493.03250003</v>
      </c>
      <c r="D89" s="144" t="e">
        <f t="shared" ref="D89:G89" si="53">D69+D70+D72+D73+D74+D76</f>
        <v>#REF!</v>
      </c>
      <c r="E89" s="144" t="e">
        <f t="shared" si="53"/>
        <v>#REF!</v>
      </c>
      <c r="F89" s="144">
        <f t="shared" si="53"/>
        <v>157485249</v>
      </c>
      <c r="G89" s="145">
        <f t="shared" si="53"/>
        <v>442499929</v>
      </c>
      <c r="H89" s="216">
        <f t="shared" ref="H89" si="54">H69+H70+H72+H73+H74+H76</f>
        <v>334973951.3125</v>
      </c>
      <c r="I89" s="147">
        <f>H89/C89*100</f>
        <v>42.824673570239412</v>
      </c>
      <c r="J89" s="144">
        <f t="shared" ref="J89:L89" si="55">J69+J70+J72+J73+J74+J76</f>
        <v>156642830.28</v>
      </c>
      <c r="K89" s="217">
        <f>J89/F89*100</f>
        <v>99.465080872431429</v>
      </c>
      <c r="L89" s="218">
        <f t="shared" si="55"/>
        <v>-842418.71999999962</v>
      </c>
      <c r="M89" s="56">
        <f>+J89-F89</f>
        <v>-842418.71999999881</v>
      </c>
      <c r="N89" s="57">
        <f>+L89-M89</f>
        <v>0</v>
      </c>
    </row>
    <row r="90" spans="1:14" s="10" customFormat="1" ht="21" customHeight="1" thickBot="1" x14ac:dyDescent="0.25">
      <c r="A90" s="3048" t="s">
        <v>21</v>
      </c>
      <c r="B90" s="3049"/>
      <c r="C90" s="219">
        <f>C81+C82+C83+C85+C84</f>
        <v>93683428</v>
      </c>
      <c r="D90" s="220">
        <f t="shared" ref="D90:G90" si="56">D81+D82+D83+D85+D84</f>
        <v>14019047</v>
      </c>
      <c r="E90" s="220">
        <f t="shared" si="56"/>
        <v>15677644</v>
      </c>
      <c r="F90" s="220">
        <f t="shared" si="56"/>
        <v>17251191</v>
      </c>
      <c r="G90" s="221">
        <f t="shared" si="56"/>
        <v>46735546</v>
      </c>
      <c r="H90" s="222">
        <f t="shared" ref="H90" si="57">H81+H82+H83+H85+H84</f>
        <v>44907159.280000001</v>
      </c>
      <c r="I90" s="223">
        <f>H90/C90*100</f>
        <v>47.935008612195531</v>
      </c>
      <c r="J90" s="220">
        <f t="shared" ref="J90" si="58">J81+J82+J83+J85+J84</f>
        <v>19092662.279999997</v>
      </c>
      <c r="K90" s="224">
        <f>J90/F90*100</f>
        <v>110.67445882432116</v>
      </c>
      <c r="L90" s="225">
        <f>L81+L82+L83+L85+L84</f>
        <v>1841471.2799999998</v>
      </c>
      <c r="M90" s="56">
        <f>+J90-F90</f>
        <v>1841471.2799999975</v>
      </c>
      <c r="N90" s="57">
        <f>+L90-M90</f>
        <v>2.3283064365386963E-9</v>
      </c>
    </row>
    <row r="91" spans="1:14" s="10" customFormat="1" ht="42.75" customHeight="1" x14ac:dyDescent="0.2">
      <c r="A91" s="3071" t="s">
        <v>388</v>
      </c>
      <c r="B91" s="3071"/>
      <c r="C91" s="3071"/>
      <c r="D91" s="3071"/>
      <c r="E91" s="3071"/>
      <c r="F91" s="3071"/>
      <c r="G91" s="3071"/>
      <c r="H91" s="3071"/>
      <c r="I91" s="3071"/>
      <c r="J91" s="3071"/>
      <c r="K91" s="3071"/>
      <c r="L91" s="3071"/>
      <c r="M91" s="2860"/>
      <c r="N91" s="57"/>
    </row>
    <row r="92" spans="1:14" s="10" customFormat="1" ht="74.25" customHeight="1" x14ac:dyDescent="0.2">
      <c r="A92" s="3060" t="s">
        <v>392</v>
      </c>
      <c r="B92" s="3061"/>
      <c r="C92" s="2844">
        <v>0</v>
      </c>
      <c r="D92" s="2842"/>
      <c r="E92" s="2842"/>
      <c r="F92" s="2842">
        <v>3882194</v>
      </c>
      <c r="G92" s="2880">
        <v>0</v>
      </c>
      <c r="H92" s="2844">
        <v>0</v>
      </c>
      <c r="I92" s="2845">
        <v>0</v>
      </c>
      <c r="J92" s="2845">
        <v>0</v>
      </c>
      <c r="K92" s="2880">
        <v>0</v>
      </c>
      <c r="L92" s="2864">
        <v>0</v>
      </c>
      <c r="M92" s="2860"/>
      <c r="N92" s="57"/>
    </row>
    <row r="93" spans="1:14" s="10" customFormat="1" ht="30" customHeight="1" thickBot="1" x14ac:dyDescent="0.25">
      <c r="A93" s="3065" t="s">
        <v>396</v>
      </c>
      <c r="B93" s="3066"/>
      <c r="C93" s="2858">
        <f>C64+C92</f>
        <v>782198493.03250003</v>
      </c>
      <c r="D93" s="2858" t="e">
        <f t="shared" ref="D93:J93" si="59">D64+D92</f>
        <v>#REF!</v>
      </c>
      <c r="E93" s="2858" t="e">
        <f t="shared" si="59"/>
        <v>#REF!</v>
      </c>
      <c r="F93" s="2858">
        <f t="shared" si="59"/>
        <v>161367443</v>
      </c>
      <c r="G93" s="2858">
        <f t="shared" si="59"/>
        <v>442499929</v>
      </c>
      <c r="H93" s="2873">
        <f t="shared" si="59"/>
        <v>334973951.3125</v>
      </c>
      <c r="I93" s="2883">
        <f>H93/C93*100</f>
        <v>42.824673570239412</v>
      </c>
      <c r="J93" s="2858">
        <f t="shared" si="59"/>
        <v>156642830.28</v>
      </c>
      <c r="K93" s="2886">
        <f>J93/F93*100</f>
        <v>97.07214005987565</v>
      </c>
      <c r="L93" s="2874">
        <f>J93-F93</f>
        <v>-4724612.7199999988</v>
      </c>
      <c r="M93" s="2860"/>
      <c r="N93" s="57"/>
    </row>
    <row r="94" spans="1:14" s="10" customFormat="1" ht="17.25" customHeight="1" x14ac:dyDescent="0.2">
      <c r="A94" s="3016" t="s">
        <v>165</v>
      </c>
      <c r="B94" s="3064"/>
      <c r="C94" s="2856">
        <f>C65</f>
        <v>461137669</v>
      </c>
      <c r="D94" s="2856" t="e">
        <f t="shared" ref="D94:G94" si="60">D65</f>
        <v>#REF!</v>
      </c>
      <c r="E94" s="2856" t="e">
        <f t="shared" si="60"/>
        <v>#REF!</v>
      </c>
      <c r="F94" s="2856">
        <f t="shared" si="60"/>
        <v>106193491</v>
      </c>
      <c r="G94" s="2856">
        <f t="shared" si="60"/>
        <v>322147397</v>
      </c>
      <c r="H94" s="2881">
        <f>H65</f>
        <v>135724133</v>
      </c>
      <c r="I94" s="2882">
        <f t="shared" ref="I94:I96" si="61">H94/C94*100</f>
        <v>29.432454150693122</v>
      </c>
      <c r="J94" s="2856">
        <f>J65</f>
        <v>102927352</v>
      </c>
      <c r="K94" s="2924">
        <f t="shared" ref="K94:K96" si="62">J94/F94*100</f>
        <v>96.924351041440005</v>
      </c>
      <c r="L94" s="2872">
        <f>J94-F94</f>
        <v>-3266139</v>
      </c>
      <c r="M94" s="2860"/>
      <c r="N94" s="57"/>
    </row>
    <row r="95" spans="1:14" s="10" customFormat="1" ht="18" customHeight="1" x14ac:dyDescent="0.2">
      <c r="A95" s="3016" t="s">
        <v>166</v>
      </c>
      <c r="B95" s="3064"/>
      <c r="C95" s="2856">
        <f>C66+C92</f>
        <v>321060824.03250003</v>
      </c>
      <c r="D95" s="2856" t="e">
        <f t="shared" ref="D95:H95" si="63">D66+D92</f>
        <v>#REF!</v>
      </c>
      <c r="E95" s="2856" t="e">
        <f t="shared" si="63"/>
        <v>#REF!</v>
      </c>
      <c r="F95" s="2856">
        <f>F66+F92</f>
        <v>55173952</v>
      </c>
      <c r="G95" s="2856">
        <f t="shared" si="63"/>
        <v>120352532</v>
      </c>
      <c r="H95" s="2881">
        <f t="shared" si="63"/>
        <v>199249818.3125</v>
      </c>
      <c r="I95" s="2882">
        <f t="shared" si="61"/>
        <v>62.059835208150638</v>
      </c>
      <c r="J95" s="2856">
        <f t="shared" ref="J95" si="64">J66+J92</f>
        <v>53715478.280000001</v>
      </c>
      <c r="K95" s="2924">
        <f t="shared" si="62"/>
        <v>97.356590080768541</v>
      </c>
      <c r="L95" s="2872">
        <f>J95-F95</f>
        <v>-1458473.7199999988</v>
      </c>
      <c r="M95" s="2860"/>
      <c r="N95" s="57"/>
    </row>
    <row r="96" spans="1:14" s="10" customFormat="1" ht="18" customHeight="1" thickBot="1" x14ac:dyDescent="0.25">
      <c r="A96" s="2866" t="s">
        <v>386</v>
      </c>
      <c r="B96" s="2859"/>
      <c r="C96" s="2873">
        <f>C90+C92</f>
        <v>93683428</v>
      </c>
      <c r="D96" s="2873">
        <f t="shared" ref="D96:J96" si="65">D90+D92</f>
        <v>14019047</v>
      </c>
      <c r="E96" s="2874">
        <f t="shared" si="65"/>
        <v>15677644</v>
      </c>
      <c r="F96" s="2858">
        <f t="shared" si="65"/>
        <v>21133385</v>
      </c>
      <c r="G96" s="2858">
        <f t="shared" si="65"/>
        <v>46735546</v>
      </c>
      <c r="H96" s="2873">
        <f t="shared" si="65"/>
        <v>44907159.280000001</v>
      </c>
      <c r="I96" s="2886">
        <f t="shared" si="61"/>
        <v>47.935008612195531</v>
      </c>
      <c r="J96" s="2876">
        <f t="shared" si="65"/>
        <v>19092662.279999997</v>
      </c>
      <c r="K96" s="2886">
        <f t="shared" si="62"/>
        <v>90.34360695174955</v>
      </c>
      <c r="L96" s="2873">
        <f>J96-F96</f>
        <v>-2040722.7200000025</v>
      </c>
      <c r="M96" s="2860"/>
      <c r="N96" s="57"/>
    </row>
    <row r="97" spans="1:14" s="10" customFormat="1" ht="12" customHeight="1" thickBot="1" x14ac:dyDescent="0.25">
      <c r="M97" s="2860"/>
      <c r="N97" s="57"/>
    </row>
    <row r="98" spans="1:14" s="10" customFormat="1" ht="31.5" customHeight="1" thickBot="1" x14ac:dyDescent="0.25">
      <c r="A98" s="3062" t="s">
        <v>383</v>
      </c>
      <c r="B98" s="3063"/>
      <c r="C98" s="146">
        <f t="shared" ref="C98:H98" si="66">C89+C92</f>
        <v>782198493.03250003</v>
      </c>
      <c r="D98" s="146" t="e">
        <f t="shared" si="66"/>
        <v>#REF!</v>
      </c>
      <c r="E98" s="216" t="e">
        <f t="shared" si="66"/>
        <v>#REF!</v>
      </c>
      <c r="F98" s="145">
        <f t="shared" si="66"/>
        <v>161367443</v>
      </c>
      <c r="G98" s="148">
        <f t="shared" si="66"/>
        <v>442499929</v>
      </c>
      <c r="H98" s="146">
        <f t="shared" si="66"/>
        <v>334973951.3125</v>
      </c>
      <c r="I98" s="2862">
        <f>H98/C98*100</f>
        <v>42.824673570239412</v>
      </c>
      <c r="J98" s="144">
        <f>J89+J92</f>
        <v>156642830.28</v>
      </c>
      <c r="K98" s="217">
        <f>J98/F98*100</f>
        <v>97.07214005987565</v>
      </c>
      <c r="L98" s="146">
        <f>J98-F98</f>
        <v>-4724612.7199999988</v>
      </c>
      <c r="M98" s="2860"/>
      <c r="N98" s="57"/>
    </row>
    <row r="99" spans="1:14" s="10" customFormat="1" ht="32.25" customHeight="1" thickBot="1" x14ac:dyDescent="0.25">
      <c r="A99" s="3062" t="s">
        <v>384</v>
      </c>
      <c r="B99" s="3055"/>
      <c r="C99" s="2863">
        <f>C96</f>
        <v>93683428</v>
      </c>
      <c r="D99" s="2863">
        <f t="shared" ref="D99:J99" si="67">D96</f>
        <v>14019047</v>
      </c>
      <c r="E99" s="222">
        <f t="shared" si="67"/>
        <v>15677644</v>
      </c>
      <c r="F99" s="145">
        <f t="shared" si="67"/>
        <v>21133385</v>
      </c>
      <c r="G99" s="148">
        <f t="shared" si="67"/>
        <v>46735546</v>
      </c>
      <c r="H99" s="2863">
        <f t="shared" si="67"/>
        <v>44907159.280000001</v>
      </c>
      <c r="I99" s="2884">
        <f>H99/C99*100</f>
        <v>47.935008612195531</v>
      </c>
      <c r="J99" s="145">
        <f t="shared" si="67"/>
        <v>19092662.279999997</v>
      </c>
      <c r="K99" s="224">
        <f>J99/F99*100</f>
        <v>90.34360695174955</v>
      </c>
      <c r="L99" s="146">
        <f>J99-F99</f>
        <v>-2040722.7200000025</v>
      </c>
      <c r="M99" s="2860"/>
      <c r="N99" s="57"/>
    </row>
    <row r="100" spans="1:14" s="10" customFormat="1" ht="18" hidden="1" customHeight="1" thickBot="1" x14ac:dyDescent="0.25">
      <c r="A100" s="2867"/>
      <c r="B100" s="2058"/>
      <c r="C100" s="2854"/>
      <c r="D100" s="2854"/>
      <c r="E100" s="2854"/>
      <c r="F100" s="2854"/>
      <c r="G100" s="2854"/>
      <c r="H100" s="2854"/>
      <c r="I100" s="2861"/>
      <c r="J100" s="2854"/>
      <c r="K100" s="2861"/>
      <c r="L100" s="2854"/>
      <c r="M100" s="2860"/>
      <c r="N100" s="57"/>
    </row>
    <row r="101" spans="1:14" s="10" customFormat="1" ht="18" hidden="1" customHeight="1" thickBot="1" x14ac:dyDescent="0.25">
      <c r="A101" s="3050" t="s">
        <v>285</v>
      </c>
      <c r="B101" s="3051"/>
      <c r="C101" s="226">
        <f t="shared" ref="C101:H101" si="68">+C89+C43</f>
        <v>2117243390.4724998</v>
      </c>
      <c r="D101" s="226" t="e">
        <f t="shared" si="68"/>
        <v>#REF!</v>
      </c>
      <c r="E101" s="226" t="e">
        <f t="shared" si="68"/>
        <v>#REF!</v>
      </c>
      <c r="F101" s="226">
        <f t="shared" si="68"/>
        <v>402168022</v>
      </c>
      <c r="G101" s="226">
        <f t="shared" si="68"/>
        <v>885389661</v>
      </c>
      <c r="H101" s="227">
        <f t="shared" si="68"/>
        <v>1221846216.9224999</v>
      </c>
      <c r="I101" s="228">
        <f>H101/C101*100</f>
        <v>57.709294189829706</v>
      </c>
      <c r="J101" s="226">
        <f>+J89+J43</f>
        <v>396042703.44999999</v>
      </c>
      <c r="K101" s="229">
        <f>J101/F101*100</f>
        <v>98.476925510004861</v>
      </c>
      <c r="L101" s="230">
        <f>+L89+L43</f>
        <v>-6125318.5500000166</v>
      </c>
      <c r="M101" s="56">
        <f>+J101-F101</f>
        <v>-6125318.5500000119</v>
      </c>
      <c r="N101" s="57">
        <f>+L101-M101</f>
        <v>0</v>
      </c>
    </row>
    <row r="102" spans="1:14" s="10" customFormat="1" ht="15" hidden="1" thickBot="1" x14ac:dyDescent="0.25">
      <c r="A102" s="3056" t="s">
        <v>165</v>
      </c>
      <c r="B102" s="3057"/>
      <c r="C102" s="231">
        <f t="shared" ref="C102:H103" si="69">+C12+C65</f>
        <v>782052031.10000002</v>
      </c>
      <c r="D102" s="232" t="e">
        <f t="shared" si="69"/>
        <v>#REF!</v>
      </c>
      <c r="E102" s="232" t="e">
        <f t="shared" si="69"/>
        <v>#REF!</v>
      </c>
      <c r="F102" s="232">
        <f t="shared" si="69"/>
        <v>160816888</v>
      </c>
      <c r="G102" s="233">
        <f t="shared" si="69"/>
        <v>434695871</v>
      </c>
      <c r="H102" s="234">
        <f t="shared" si="69"/>
        <v>340373985.95999998</v>
      </c>
      <c r="I102" s="235">
        <f t="shared" ref="I102:I103" si="70">H102/C102*100</f>
        <v>43.52318930509584</v>
      </c>
      <c r="J102" s="232">
        <f>+J12+J65</f>
        <v>153834712.86000001</v>
      </c>
      <c r="K102" s="236">
        <f>J102/F102*100</f>
        <v>95.65830726683383</v>
      </c>
      <c r="L102" s="237">
        <f>+L12+L65</f>
        <v>-6982175.1400000006</v>
      </c>
      <c r="M102" s="56"/>
      <c r="N102" s="57"/>
    </row>
    <row r="103" spans="1:14" s="10" customFormat="1" ht="15" hidden="1" thickBot="1" x14ac:dyDescent="0.25">
      <c r="A103" s="3058" t="s">
        <v>166</v>
      </c>
      <c r="B103" s="3059"/>
      <c r="C103" s="238">
        <f t="shared" si="69"/>
        <v>1335191359.3724999</v>
      </c>
      <c r="D103" s="239" t="e">
        <f t="shared" si="69"/>
        <v>#REF!</v>
      </c>
      <c r="E103" s="239" t="e">
        <f t="shared" si="69"/>
        <v>#REF!</v>
      </c>
      <c r="F103" s="239">
        <f t="shared" si="69"/>
        <v>241351134</v>
      </c>
      <c r="G103" s="240">
        <f t="shared" si="69"/>
        <v>450693790</v>
      </c>
      <c r="H103" s="241">
        <f t="shared" si="69"/>
        <v>881472230.9625001</v>
      </c>
      <c r="I103" s="242">
        <f t="shared" si="70"/>
        <v>66.018419365503206</v>
      </c>
      <c r="J103" s="239">
        <f>+J13+J66</f>
        <v>242207989.59</v>
      </c>
      <c r="K103" s="243">
        <f>J103/F103*100</f>
        <v>100.35502447235238</v>
      </c>
      <c r="L103" s="244">
        <f>+L13+L66</f>
        <v>856855.58999998681</v>
      </c>
      <c r="M103" s="120"/>
      <c r="N103" s="57"/>
    </row>
    <row r="104" spans="1:14" s="10" customFormat="1" ht="18" hidden="1" customHeight="1" thickBot="1" x14ac:dyDescent="0.25">
      <c r="A104" s="3052" t="s">
        <v>22</v>
      </c>
      <c r="B104" s="3053"/>
      <c r="C104" s="245">
        <f t="shared" ref="C104:H104" si="71">+C44+C90</f>
        <v>1298531689.6900001</v>
      </c>
      <c r="D104" s="226">
        <f t="shared" si="71"/>
        <v>356539616.39999998</v>
      </c>
      <c r="E104" s="226">
        <f t="shared" si="71"/>
        <v>255032305.28999999</v>
      </c>
      <c r="F104" s="226">
        <f t="shared" si="71"/>
        <v>241972432</v>
      </c>
      <c r="G104" s="246">
        <f t="shared" si="71"/>
        <v>444987336</v>
      </c>
      <c r="H104" s="227">
        <f t="shared" si="71"/>
        <v>854804418.82999992</v>
      </c>
      <c r="I104" s="228">
        <f>H104/C104*100</f>
        <v>65.828537387028902</v>
      </c>
      <c r="J104" s="226">
        <f>+J44+J90</f>
        <v>247114691.13999999</v>
      </c>
      <c r="K104" s="229">
        <f>J104/F104*100</f>
        <v>102.12514256169479</v>
      </c>
      <c r="L104" s="230">
        <f>+L44+L90</f>
        <v>5142259.1399999773</v>
      </c>
      <c r="M104" s="213">
        <f>+J104-F104</f>
        <v>5142259.1399999857</v>
      </c>
      <c r="N104" s="127">
        <f>+L104-M104</f>
        <v>-8.3819031715393066E-9</v>
      </c>
    </row>
    <row r="105" spans="1:14" s="9" customFormat="1" ht="7.5" customHeight="1" x14ac:dyDescent="0.2">
      <c r="A105" s="149"/>
      <c r="B105" s="150"/>
      <c r="C105" s="150"/>
      <c r="D105" s="151"/>
      <c r="E105" s="151"/>
      <c r="F105" s="151"/>
      <c r="G105" s="151"/>
      <c r="H105" s="151"/>
      <c r="I105" s="151"/>
      <c r="J105" s="151"/>
      <c r="K105" s="151"/>
      <c r="L105" s="152"/>
      <c r="N105" s="248"/>
    </row>
    <row r="106" spans="1:14" s="9" customFormat="1" ht="12.75" customHeight="1" thickBot="1" x14ac:dyDescent="0.25">
      <c r="A106" s="13"/>
      <c r="B106" s="11"/>
      <c r="C106" s="11"/>
      <c r="D106" s="12"/>
      <c r="E106" s="12"/>
      <c r="F106" s="12"/>
      <c r="G106" s="12"/>
      <c r="H106" s="12"/>
      <c r="I106" s="12"/>
      <c r="J106" s="12"/>
      <c r="K106" s="12"/>
      <c r="L106" s="247"/>
      <c r="N106" s="248"/>
    </row>
    <row r="107" spans="1:14" s="9" customFormat="1" ht="34.5" customHeight="1" x14ac:dyDescent="0.2">
      <c r="A107" s="3020" t="s">
        <v>1</v>
      </c>
      <c r="B107" s="3021"/>
      <c r="C107" s="3010" t="s">
        <v>393</v>
      </c>
      <c r="D107" s="3011"/>
      <c r="E107" s="3011"/>
      <c r="F107" s="3011"/>
      <c r="G107" s="3012"/>
      <c r="H107" s="3010" t="s">
        <v>314</v>
      </c>
      <c r="I107" s="3011"/>
      <c r="J107" s="3011"/>
      <c r="K107" s="3012"/>
      <c r="L107" s="3002" t="s">
        <v>389</v>
      </c>
      <c r="N107" s="248"/>
    </row>
    <row r="108" spans="1:14" s="9" customFormat="1" ht="12.75" customHeight="1" x14ac:dyDescent="0.2">
      <c r="A108" s="3022"/>
      <c r="B108" s="3023"/>
      <c r="C108" s="3013" t="s">
        <v>0</v>
      </c>
      <c r="D108" s="3042" t="s">
        <v>163</v>
      </c>
      <c r="E108" s="3045" t="s">
        <v>286</v>
      </c>
      <c r="F108" s="3032" t="s">
        <v>260</v>
      </c>
      <c r="G108" s="3033"/>
      <c r="H108" s="3005" t="s">
        <v>311</v>
      </c>
      <c r="I108" s="3040" t="s">
        <v>339</v>
      </c>
      <c r="J108" s="3041"/>
      <c r="K108" s="3041"/>
      <c r="L108" s="3003"/>
      <c r="N108" s="248"/>
    </row>
    <row r="109" spans="1:14" s="9" customFormat="1" ht="34.5" customHeight="1" x14ac:dyDescent="0.2">
      <c r="A109" s="3022"/>
      <c r="B109" s="3023"/>
      <c r="C109" s="3014"/>
      <c r="D109" s="3043"/>
      <c r="E109" s="3046"/>
      <c r="F109" s="3034" t="s">
        <v>394</v>
      </c>
      <c r="G109" s="3036" t="s">
        <v>344</v>
      </c>
      <c r="H109" s="3006"/>
      <c r="I109" s="3008" t="s">
        <v>391</v>
      </c>
      <c r="J109" s="2998" t="s">
        <v>312</v>
      </c>
      <c r="K109" s="3000" t="s">
        <v>390</v>
      </c>
      <c r="L109" s="3003"/>
      <c r="N109" s="248"/>
    </row>
    <row r="110" spans="1:14" s="9" customFormat="1" ht="54" customHeight="1" x14ac:dyDescent="0.2">
      <c r="A110" s="3024"/>
      <c r="B110" s="3025"/>
      <c r="C110" s="3015"/>
      <c r="D110" s="3044"/>
      <c r="E110" s="3047"/>
      <c r="F110" s="3035"/>
      <c r="G110" s="3037"/>
      <c r="H110" s="3007"/>
      <c r="I110" s="3009"/>
      <c r="J110" s="2999"/>
      <c r="K110" s="3001"/>
      <c r="L110" s="3004"/>
      <c r="N110" s="248"/>
    </row>
    <row r="111" spans="1:14" s="9" customFormat="1" x14ac:dyDescent="0.2">
      <c r="A111" s="3067">
        <v>1</v>
      </c>
      <c r="B111" s="3068"/>
      <c r="C111" s="2949">
        <v>2</v>
      </c>
      <c r="D111" s="2950">
        <v>4</v>
      </c>
      <c r="E111" s="2951">
        <v>5</v>
      </c>
      <c r="F111" s="2952">
        <v>3</v>
      </c>
      <c r="G111" s="2953">
        <v>4</v>
      </c>
      <c r="H111" s="2954">
        <v>5</v>
      </c>
      <c r="I111" s="2955">
        <v>6</v>
      </c>
      <c r="J111" s="2955">
        <v>7</v>
      </c>
      <c r="K111" s="2956">
        <v>8</v>
      </c>
      <c r="L111" s="2957">
        <v>9</v>
      </c>
      <c r="N111" s="248"/>
    </row>
    <row r="112" spans="1:14" s="9" customFormat="1" ht="21.75" customHeight="1" thickBot="1" x14ac:dyDescent="0.25">
      <c r="A112" s="3072" t="s">
        <v>285</v>
      </c>
      <c r="B112" s="3073"/>
      <c r="C112" s="2851">
        <f>C113+C114</f>
        <v>2117243390.4724998</v>
      </c>
      <c r="D112" s="2851" t="e">
        <f t="shared" ref="D112:J112" si="72">D113+D114</f>
        <v>#REF!</v>
      </c>
      <c r="E112" s="2851" t="e">
        <f t="shared" si="72"/>
        <v>#REF!</v>
      </c>
      <c r="F112" s="2851">
        <f t="shared" si="72"/>
        <v>406447403</v>
      </c>
      <c r="G112" s="2868">
        <f t="shared" si="72"/>
        <v>885389661</v>
      </c>
      <c r="H112" s="2885">
        <f t="shared" si="72"/>
        <v>1221846216.9225001</v>
      </c>
      <c r="I112" s="2852">
        <f>H112/C112*100</f>
        <v>57.70929418982972</v>
      </c>
      <c r="J112" s="2851">
        <f t="shared" si="72"/>
        <v>396042702.45000005</v>
      </c>
      <c r="K112" s="2853">
        <f>J112/F112*100</f>
        <v>97.440086841937585</v>
      </c>
      <c r="L112" s="2851">
        <f>L113+L114</f>
        <v>-10404700.549999982</v>
      </c>
      <c r="M112" s="8"/>
      <c r="N112" s="248"/>
    </row>
    <row r="113" spans="1:14" s="9" customFormat="1" ht="18.75" customHeight="1" thickBot="1" x14ac:dyDescent="0.25">
      <c r="A113" s="3056" t="s">
        <v>165</v>
      </c>
      <c r="B113" s="3057"/>
      <c r="C113" s="231">
        <f>C94+C51</f>
        <v>782052031.10000002</v>
      </c>
      <c r="D113" s="231" t="e">
        <f t="shared" ref="D113:H113" si="73">D94+D51</f>
        <v>#REF!</v>
      </c>
      <c r="E113" s="231" t="e">
        <f t="shared" si="73"/>
        <v>#REF!</v>
      </c>
      <c r="F113" s="231">
        <f t="shared" si="73"/>
        <v>160914174</v>
      </c>
      <c r="G113" s="2869">
        <f t="shared" si="73"/>
        <v>434695871</v>
      </c>
      <c r="H113" s="234">
        <f t="shared" si="73"/>
        <v>340373985.95999998</v>
      </c>
      <c r="I113" s="235">
        <f t="shared" ref="I113:I114" si="74">H113/C113*100</f>
        <v>43.52318930509584</v>
      </c>
      <c r="J113" s="231">
        <f t="shared" ref="J113" si="75">J94+J51</f>
        <v>153834712.86000001</v>
      </c>
      <c r="K113" s="236">
        <f>J113/F113*100</f>
        <v>95.600473865030693</v>
      </c>
      <c r="L113" s="231">
        <f>J113-F113</f>
        <v>-7079461.1399999857</v>
      </c>
      <c r="M113" s="8"/>
      <c r="N113" s="248"/>
    </row>
    <row r="114" spans="1:14" s="9" customFormat="1" ht="18.75" customHeight="1" thickBot="1" x14ac:dyDescent="0.25">
      <c r="A114" s="3058" t="s">
        <v>166</v>
      </c>
      <c r="B114" s="3059"/>
      <c r="C114" s="231">
        <f>C95+C52</f>
        <v>1335191359.3724999</v>
      </c>
      <c r="D114" s="231" t="e">
        <f t="shared" ref="D114:H114" si="76">D95+D52</f>
        <v>#REF!</v>
      </c>
      <c r="E114" s="231" t="e">
        <f t="shared" si="76"/>
        <v>#REF!</v>
      </c>
      <c r="F114" s="231">
        <f t="shared" si="76"/>
        <v>245533229</v>
      </c>
      <c r="G114" s="2869">
        <f t="shared" si="76"/>
        <v>450693790</v>
      </c>
      <c r="H114" s="234">
        <f t="shared" si="76"/>
        <v>881472230.9625001</v>
      </c>
      <c r="I114" s="242">
        <f t="shared" si="74"/>
        <v>66.018419365503206</v>
      </c>
      <c r="J114" s="231">
        <f t="shared" ref="J114" si="77">J95+J52</f>
        <v>242207989.59</v>
      </c>
      <c r="K114" s="243">
        <f>J114/F114*100</f>
        <v>98.645706968648227</v>
      </c>
      <c r="L114" s="231">
        <f>J114-F114</f>
        <v>-3325239.4099999964</v>
      </c>
      <c r="M114" s="8"/>
      <c r="N114" s="248"/>
    </row>
    <row r="115" spans="1:14" s="9" customFormat="1" ht="23.25" customHeight="1" thickBot="1" x14ac:dyDescent="0.25">
      <c r="A115" s="3052" t="s">
        <v>22</v>
      </c>
      <c r="B115" s="3053"/>
      <c r="C115" s="245">
        <f>C99+C56</f>
        <v>1298531689.6900001</v>
      </c>
      <c r="D115" s="245">
        <f t="shared" ref="D115:J115" si="78">D99+D56</f>
        <v>356539616.39999998</v>
      </c>
      <c r="E115" s="245">
        <f t="shared" si="78"/>
        <v>255032305.28999999</v>
      </c>
      <c r="F115" s="245">
        <f t="shared" si="78"/>
        <v>246154527</v>
      </c>
      <c r="G115" s="2870">
        <f t="shared" si="78"/>
        <v>444987336</v>
      </c>
      <c r="H115" s="2871">
        <f t="shared" si="78"/>
        <v>854804418.82999992</v>
      </c>
      <c r="I115" s="228">
        <f>H115/C115*100</f>
        <v>65.828537387028902</v>
      </c>
      <c r="J115" s="245">
        <f t="shared" si="78"/>
        <v>247114691.13999999</v>
      </c>
      <c r="K115" s="229">
        <f>J115/F115*100</f>
        <v>100.39006560297791</v>
      </c>
      <c r="L115" s="2851">
        <f>J115-F115</f>
        <v>960164.13999998569</v>
      </c>
      <c r="M115" s="8"/>
      <c r="N115" s="248"/>
    </row>
    <row r="116" spans="1:14" s="9" customFormat="1" ht="15.75" customHeight="1" x14ac:dyDescent="0.2">
      <c r="A116" s="140"/>
      <c r="B116" s="11"/>
      <c r="C116" s="11"/>
      <c r="D116" s="12"/>
      <c r="E116" s="12"/>
      <c r="F116" s="12"/>
      <c r="G116" s="12"/>
      <c r="H116" s="12"/>
      <c r="I116" s="12"/>
      <c r="J116" s="12"/>
      <c r="K116" s="12"/>
      <c r="L116" s="247"/>
      <c r="M116" s="8"/>
      <c r="N116" s="248"/>
    </row>
    <row r="117" spans="1:14" s="9" customFormat="1" ht="15.75" customHeight="1" x14ac:dyDescent="0.2">
      <c r="A117" s="140"/>
      <c r="B117" s="11"/>
      <c r="C117" s="11"/>
      <c r="D117" s="12"/>
      <c r="E117" s="12"/>
      <c r="F117" s="12"/>
      <c r="G117" s="12"/>
      <c r="H117" s="12"/>
      <c r="I117" s="12"/>
      <c r="J117" s="12"/>
      <c r="K117" s="12"/>
      <c r="L117" s="247"/>
      <c r="M117" s="8"/>
      <c r="N117" s="248"/>
    </row>
    <row r="118" spans="1:14" x14ac:dyDescent="0.2">
      <c r="B118" s="3"/>
      <c r="C118" s="3"/>
      <c r="D118" s="3"/>
      <c r="E118" s="3"/>
    </row>
    <row r="119" spans="1:14" x14ac:dyDescent="0.2">
      <c r="B119" s="3"/>
      <c r="C119" s="3"/>
      <c r="D119" s="3"/>
      <c r="E119" s="3"/>
    </row>
    <row r="120" spans="1:14" x14ac:dyDescent="0.2">
      <c r="B120" s="3"/>
      <c r="C120" s="3"/>
      <c r="D120" s="3"/>
      <c r="E120" s="3"/>
    </row>
    <row r="121" spans="1:14" x14ac:dyDescent="0.2">
      <c r="B121" s="3"/>
      <c r="C121" s="3"/>
      <c r="D121" s="3"/>
      <c r="E121" s="3"/>
    </row>
    <row r="122" spans="1:14" x14ac:dyDescent="0.2">
      <c r="B122" s="3"/>
      <c r="C122" s="3"/>
      <c r="D122" s="3"/>
      <c r="E122" s="3"/>
    </row>
    <row r="123" spans="1:14" x14ac:dyDescent="0.2">
      <c r="B123" s="3"/>
      <c r="C123" s="3"/>
      <c r="D123" s="3"/>
      <c r="E123" s="3"/>
    </row>
    <row r="124" spans="1:14" x14ac:dyDescent="0.2">
      <c r="B124" s="3"/>
      <c r="C124" s="3"/>
      <c r="D124" s="3"/>
      <c r="E124" s="3"/>
    </row>
    <row r="125" spans="1:14" x14ac:dyDescent="0.2">
      <c r="B125" s="3"/>
      <c r="C125" s="3"/>
      <c r="D125" s="3"/>
      <c r="E125" s="3"/>
    </row>
    <row r="126" spans="1:14" x14ac:dyDescent="0.2">
      <c r="B126" s="3"/>
      <c r="C126" s="3"/>
      <c r="D126" s="3"/>
      <c r="E126" s="3"/>
    </row>
    <row r="127" spans="1:14" x14ac:dyDescent="0.2">
      <c r="B127" s="3"/>
      <c r="C127" s="3"/>
      <c r="D127" s="3"/>
      <c r="E127" s="3"/>
    </row>
    <row r="128" spans="1:14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  <row r="220" spans="2:5" x14ac:dyDescent="0.2">
      <c r="B220" s="3"/>
      <c r="C220" s="3"/>
      <c r="D220" s="3"/>
      <c r="E220" s="3"/>
    </row>
    <row r="221" spans="2:5" x14ac:dyDescent="0.2">
      <c r="B221" s="3"/>
      <c r="C221" s="3"/>
      <c r="D221" s="3"/>
      <c r="E221" s="3"/>
    </row>
    <row r="222" spans="2:5" x14ac:dyDescent="0.2">
      <c r="B222" s="3"/>
      <c r="C222" s="3"/>
      <c r="D222" s="3"/>
      <c r="E222" s="3"/>
    </row>
    <row r="223" spans="2:5" x14ac:dyDescent="0.2">
      <c r="B223" s="3"/>
      <c r="C223" s="3"/>
      <c r="D223" s="3"/>
      <c r="E223" s="3"/>
    </row>
    <row r="224" spans="2:5" x14ac:dyDescent="0.2">
      <c r="B224" s="3"/>
      <c r="C224" s="3"/>
      <c r="D224" s="3"/>
      <c r="E224" s="3"/>
    </row>
    <row r="225" spans="2:5" x14ac:dyDescent="0.2">
      <c r="B225" s="3"/>
      <c r="C225" s="3"/>
      <c r="D225" s="3"/>
      <c r="E225" s="3"/>
    </row>
    <row r="226" spans="2:5" x14ac:dyDescent="0.2">
      <c r="B226" s="3"/>
      <c r="C226" s="3"/>
      <c r="D226" s="3"/>
      <c r="E226" s="3"/>
    </row>
    <row r="227" spans="2:5" x14ac:dyDescent="0.2">
      <c r="B227" s="3"/>
      <c r="C227" s="3"/>
      <c r="D227" s="3"/>
      <c r="E227" s="3"/>
    </row>
    <row r="228" spans="2:5" x14ac:dyDescent="0.2">
      <c r="B228" s="3"/>
      <c r="C228" s="3"/>
      <c r="D228" s="3"/>
      <c r="E228" s="3"/>
    </row>
    <row r="229" spans="2:5" x14ac:dyDescent="0.2">
      <c r="B229" s="3"/>
      <c r="C229" s="3"/>
      <c r="D229" s="3"/>
      <c r="E229" s="3"/>
    </row>
    <row r="230" spans="2:5" x14ac:dyDescent="0.2">
      <c r="B230" s="3"/>
      <c r="C230" s="3"/>
      <c r="D230" s="3"/>
      <c r="E230" s="3"/>
    </row>
    <row r="231" spans="2:5" x14ac:dyDescent="0.2">
      <c r="B231" s="3"/>
      <c r="C231" s="3"/>
      <c r="D231" s="3"/>
      <c r="E231" s="3"/>
    </row>
    <row r="232" spans="2:5" x14ac:dyDescent="0.2">
      <c r="B232" s="3"/>
      <c r="C232" s="3"/>
      <c r="D232" s="3"/>
      <c r="E232" s="3"/>
    </row>
    <row r="233" spans="2:5" x14ac:dyDescent="0.2">
      <c r="B233" s="3"/>
      <c r="C233" s="3"/>
      <c r="D233" s="3"/>
      <c r="E233" s="3"/>
    </row>
    <row r="234" spans="2:5" x14ac:dyDescent="0.2">
      <c r="B234" s="3"/>
      <c r="C234" s="3"/>
      <c r="D234" s="3"/>
      <c r="E234" s="3"/>
    </row>
    <row r="235" spans="2:5" x14ac:dyDescent="0.2">
      <c r="B235" s="3"/>
      <c r="C235" s="3"/>
      <c r="D235" s="3"/>
      <c r="E235" s="3"/>
    </row>
    <row r="236" spans="2:5" x14ac:dyDescent="0.2">
      <c r="B236" s="3"/>
      <c r="C236" s="3"/>
      <c r="D236" s="3"/>
      <c r="E236" s="3"/>
    </row>
    <row r="237" spans="2:5" x14ac:dyDescent="0.2">
      <c r="B237" s="3"/>
      <c r="C237" s="3"/>
      <c r="D237" s="3"/>
      <c r="E237" s="3"/>
    </row>
    <row r="238" spans="2:5" x14ac:dyDescent="0.2">
      <c r="B238" s="3"/>
      <c r="C238" s="3"/>
      <c r="D238" s="3"/>
      <c r="E238" s="3"/>
    </row>
    <row r="239" spans="2:5" x14ac:dyDescent="0.2">
      <c r="B239" s="3"/>
      <c r="C239" s="3"/>
      <c r="D239" s="3"/>
      <c r="E239" s="3"/>
    </row>
    <row r="240" spans="2:5" x14ac:dyDescent="0.2">
      <c r="B240" s="3"/>
      <c r="C240" s="3"/>
      <c r="D240" s="3"/>
      <c r="E240" s="3"/>
    </row>
    <row r="241" spans="2:5" x14ac:dyDescent="0.2">
      <c r="B241" s="3"/>
      <c r="C241" s="3"/>
      <c r="D241" s="3"/>
      <c r="E241" s="3"/>
    </row>
    <row r="242" spans="2:5" x14ac:dyDescent="0.2">
      <c r="B242" s="3"/>
      <c r="C242" s="3"/>
      <c r="D242" s="3"/>
      <c r="E242" s="3"/>
    </row>
    <row r="243" spans="2:5" x14ac:dyDescent="0.2">
      <c r="B243" s="3"/>
      <c r="C243" s="3"/>
      <c r="D243" s="3"/>
      <c r="E243" s="3"/>
    </row>
    <row r="244" spans="2:5" x14ac:dyDescent="0.2">
      <c r="B244" s="3"/>
      <c r="C244" s="3"/>
      <c r="D244" s="3"/>
      <c r="E244" s="3"/>
    </row>
    <row r="245" spans="2:5" x14ac:dyDescent="0.2">
      <c r="B245" s="3"/>
      <c r="C245" s="3"/>
      <c r="D245" s="3"/>
      <c r="E245" s="3"/>
    </row>
    <row r="246" spans="2:5" x14ac:dyDescent="0.2">
      <c r="B246" s="3"/>
      <c r="C246" s="3"/>
      <c r="D246" s="3"/>
      <c r="E246" s="3"/>
    </row>
    <row r="247" spans="2:5" x14ac:dyDescent="0.2">
      <c r="B247" s="3"/>
      <c r="C247" s="3"/>
      <c r="D247" s="3"/>
      <c r="E247" s="3"/>
    </row>
    <row r="248" spans="2:5" x14ac:dyDescent="0.2">
      <c r="B248" s="3"/>
      <c r="C248" s="3"/>
      <c r="D248" s="3"/>
      <c r="E248" s="3"/>
    </row>
    <row r="249" spans="2:5" x14ac:dyDescent="0.2">
      <c r="B249" s="3"/>
      <c r="C249" s="3"/>
      <c r="D249" s="3"/>
      <c r="E249" s="3"/>
    </row>
    <row r="250" spans="2:5" x14ac:dyDescent="0.2">
      <c r="B250" s="3"/>
      <c r="C250" s="3"/>
      <c r="D250" s="3"/>
      <c r="E250" s="3"/>
    </row>
    <row r="251" spans="2:5" x14ac:dyDescent="0.2">
      <c r="B251" s="3"/>
      <c r="C251" s="3"/>
      <c r="D251" s="3"/>
      <c r="E251" s="3"/>
    </row>
    <row r="252" spans="2:5" x14ac:dyDescent="0.2">
      <c r="B252" s="3"/>
      <c r="C252" s="3"/>
      <c r="D252" s="3"/>
      <c r="E252" s="3"/>
    </row>
    <row r="253" spans="2:5" x14ac:dyDescent="0.2">
      <c r="B253" s="3"/>
      <c r="C253" s="3"/>
      <c r="D253" s="3"/>
      <c r="E253" s="3"/>
    </row>
    <row r="254" spans="2:5" x14ac:dyDescent="0.2">
      <c r="B254" s="3"/>
      <c r="C254" s="3"/>
      <c r="D254" s="3"/>
      <c r="E254" s="3"/>
    </row>
    <row r="255" spans="2:5" x14ac:dyDescent="0.2">
      <c r="B255" s="3"/>
      <c r="C255" s="3"/>
      <c r="D255" s="3"/>
      <c r="E255" s="3"/>
    </row>
    <row r="256" spans="2:5" x14ac:dyDescent="0.2">
      <c r="B256" s="3"/>
      <c r="C256" s="3"/>
      <c r="D256" s="3"/>
      <c r="E256" s="3"/>
    </row>
    <row r="257" spans="2:5" x14ac:dyDescent="0.2">
      <c r="B257" s="3"/>
      <c r="C257" s="3"/>
      <c r="D257" s="3"/>
      <c r="E257" s="3"/>
    </row>
    <row r="258" spans="2:5" x14ac:dyDescent="0.2">
      <c r="B258" s="3"/>
      <c r="C258" s="3"/>
      <c r="D258" s="3"/>
      <c r="E258" s="3"/>
    </row>
    <row r="259" spans="2:5" x14ac:dyDescent="0.2">
      <c r="B259" s="3"/>
      <c r="C259" s="3"/>
      <c r="D259" s="3"/>
      <c r="E259" s="3"/>
    </row>
    <row r="260" spans="2:5" x14ac:dyDescent="0.2">
      <c r="B260" s="3"/>
      <c r="C260" s="3"/>
      <c r="D260" s="3"/>
      <c r="E260" s="3"/>
    </row>
    <row r="261" spans="2:5" x14ac:dyDescent="0.2">
      <c r="B261" s="3"/>
      <c r="C261" s="3"/>
      <c r="D261" s="3"/>
      <c r="E261" s="3"/>
    </row>
    <row r="262" spans="2:5" x14ac:dyDescent="0.2">
      <c r="B262" s="3"/>
      <c r="C262" s="3"/>
      <c r="D262" s="3"/>
      <c r="E262" s="3"/>
    </row>
    <row r="263" spans="2:5" x14ac:dyDescent="0.2">
      <c r="B263" s="3"/>
      <c r="C263" s="3"/>
      <c r="D263" s="3"/>
      <c r="E263" s="3"/>
    </row>
    <row r="264" spans="2:5" x14ac:dyDescent="0.2">
      <c r="B264" s="3"/>
      <c r="C264" s="3"/>
      <c r="D264" s="3"/>
      <c r="E264" s="3"/>
    </row>
    <row r="265" spans="2:5" x14ac:dyDescent="0.2">
      <c r="B265" s="3"/>
      <c r="C265" s="3"/>
      <c r="D265" s="3"/>
      <c r="E265" s="3"/>
    </row>
    <row r="266" spans="2:5" x14ac:dyDescent="0.2">
      <c r="B266" s="3"/>
      <c r="C266" s="3"/>
      <c r="D266" s="3"/>
      <c r="E266" s="3"/>
    </row>
    <row r="267" spans="2:5" x14ac:dyDescent="0.2">
      <c r="B267" s="3"/>
      <c r="C267" s="3"/>
      <c r="D267" s="3"/>
      <c r="E267" s="3"/>
    </row>
    <row r="268" spans="2:5" x14ac:dyDescent="0.2">
      <c r="B268" s="3"/>
      <c r="C268" s="3"/>
      <c r="D268" s="3"/>
      <c r="E268" s="3"/>
    </row>
    <row r="269" spans="2:5" x14ac:dyDescent="0.2">
      <c r="B269" s="3"/>
      <c r="C269" s="3"/>
      <c r="D269" s="3"/>
      <c r="E269" s="3"/>
    </row>
    <row r="270" spans="2:5" x14ac:dyDescent="0.2">
      <c r="B270" s="3"/>
      <c r="C270" s="3"/>
      <c r="D270" s="3"/>
      <c r="E270" s="3"/>
    </row>
    <row r="271" spans="2:5" x14ac:dyDescent="0.2">
      <c r="B271" s="3"/>
      <c r="C271" s="3"/>
      <c r="D271" s="3"/>
      <c r="E271" s="3"/>
    </row>
    <row r="272" spans="2:5" x14ac:dyDescent="0.2">
      <c r="B272" s="3"/>
      <c r="C272" s="3"/>
      <c r="D272" s="3"/>
      <c r="E272" s="3"/>
    </row>
    <row r="273" spans="2:5" x14ac:dyDescent="0.2">
      <c r="B273" s="3"/>
      <c r="C273" s="3"/>
      <c r="D273" s="3"/>
      <c r="E273" s="3"/>
    </row>
    <row r="274" spans="2:5" x14ac:dyDescent="0.2">
      <c r="B274" s="3"/>
      <c r="C274" s="3"/>
      <c r="D274" s="3"/>
      <c r="E274" s="3"/>
    </row>
    <row r="275" spans="2:5" x14ac:dyDescent="0.2">
      <c r="B275" s="3"/>
      <c r="C275" s="3"/>
      <c r="D275" s="3"/>
      <c r="E275" s="3"/>
    </row>
    <row r="276" spans="2:5" x14ac:dyDescent="0.2">
      <c r="B276" s="3"/>
      <c r="C276" s="3"/>
      <c r="D276" s="3"/>
      <c r="E276" s="3"/>
    </row>
    <row r="277" spans="2:5" x14ac:dyDescent="0.2">
      <c r="B277" s="3"/>
      <c r="C277" s="3"/>
      <c r="D277" s="3"/>
      <c r="E277" s="3"/>
    </row>
    <row r="278" spans="2:5" x14ac:dyDescent="0.2">
      <c r="B278" s="3"/>
      <c r="C278" s="3"/>
      <c r="D278" s="3"/>
      <c r="E278" s="3"/>
    </row>
    <row r="279" spans="2:5" x14ac:dyDescent="0.2">
      <c r="B279" s="3"/>
      <c r="C279" s="3"/>
      <c r="D279" s="3"/>
      <c r="E279" s="3"/>
    </row>
    <row r="280" spans="2:5" x14ac:dyDescent="0.2">
      <c r="B280" s="3"/>
      <c r="C280" s="3"/>
      <c r="D280" s="3"/>
      <c r="E280" s="3"/>
    </row>
    <row r="281" spans="2:5" x14ac:dyDescent="0.2">
      <c r="B281" s="3"/>
      <c r="C281" s="3"/>
      <c r="D281" s="3"/>
      <c r="E281" s="3"/>
    </row>
    <row r="282" spans="2:5" x14ac:dyDescent="0.2">
      <c r="B282" s="3"/>
      <c r="C282" s="3"/>
      <c r="D282" s="3"/>
      <c r="E282" s="3"/>
    </row>
    <row r="283" spans="2:5" x14ac:dyDescent="0.2">
      <c r="B283" s="3"/>
      <c r="C283" s="3"/>
      <c r="D283" s="3"/>
      <c r="E283" s="3"/>
    </row>
    <row r="284" spans="2:5" x14ac:dyDescent="0.2">
      <c r="B284" s="3"/>
      <c r="C284" s="3"/>
      <c r="D284" s="3"/>
      <c r="E284" s="3"/>
    </row>
    <row r="285" spans="2:5" x14ac:dyDescent="0.2">
      <c r="B285" s="3"/>
      <c r="C285" s="3"/>
      <c r="D285" s="3"/>
      <c r="E285" s="3"/>
    </row>
    <row r="286" spans="2:5" x14ac:dyDescent="0.2">
      <c r="B286" s="3"/>
      <c r="C286" s="3"/>
      <c r="D286" s="3"/>
      <c r="E286" s="3"/>
    </row>
    <row r="287" spans="2:5" x14ac:dyDescent="0.2">
      <c r="B287" s="3"/>
      <c r="C287" s="3"/>
      <c r="D287" s="3"/>
      <c r="E287" s="3"/>
    </row>
    <row r="288" spans="2:5" x14ac:dyDescent="0.2">
      <c r="B288" s="3"/>
      <c r="C288" s="3"/>
      <c r="D288" s="3"/>
      <c r="E288" s="3"/>
    </row>
    <row r="289" spans="2:5" x14ac:dyDescent="0.2">
      <c r="B289" s="3"/>
      <c r="C289" s="3"/>
      <c r="D289" s="3"/>
      <c r="E289" s="3"/>
    </row>
    <row r="290" spans="2:5" x14ac:dyDescent="0.2">
      <c r="B290" s="3"/>
      <c r="C290" s="3"/>
      <c r="D290" s="3"/>
      <c r="E290" s="3"/>
    </row>
    <row r="291" spans="2:5" x14ac:dyDescent="0.2">
      <c r="B291" s="3"/>
      <c r="C291" s="3"/>
      <c r="D291" s="3"/>
      <c r="E291" s="3"/>
    </row>
    <row r="292" spans="2:5" x14ac:dyDescent="0.2">
      <c r="B292" s="3"/>
      <c r="C292" s="3"/>
      <c r="D292" s="3"/>
      <c r="E292" s="3"/>
    </row>
    <row r="293" spans="2:5" x14ac:dyDescent="0.2">
      <c r="B293" s="3"/>
      <c r="C293" s="3"/>
      <c r="D293" s="3"/>
      <c r="E293" s="3"/>
    </row>
    <row r="294" spans="2:5" x14ac:dyDescent="0.2">
      <c r="B294" s="3"/>
      <c r="C294" s="3"/>
      <c r="D294" s="3"/>
      <c r="E294" s="3"/>
    </row>
    <row r="295" spans="2:5" x14ac:dyDescent="0.2">
      <c r="B295" s="3"/>
      <c r="C295" s="3"/>
      <c r="D295" s="3"/>
      <c r="E295" s="3"/>
    </row>
    <row r="296" spans="2:5" x14ac:dyDescent="0.2">
      <c r="B296" s="3"/>
      <c r="C296" s="3"/>
      <c r="D296" s="3"/>
      <c r="E296" s="3"/>
    </row>
    <row r="297" spans="2:5" x14ac:dyDescent="0.2">
      <c r="B297" s="3"/>
      <c r="C297" s="3"/>
      <c r="D297" s="3"/>
      <c r="E297" s="3"/>
    </row>
    <row r="298" spans="2:5" x14ac:dyDescent="0.2">
      <c r="B298" s="3"/>
      <c r="C298" s="3"/>
      <c r="D298" s="3"/>
      <c r="E298" s="3"/>
    </row>
    <row r="299" spans="2:5" x14ac:dyDescent="0.2">
      <c r="B299" s="3"/>
      <c r="C299" s="3"/>
      <c r="D299" s="3"/>
      <c r="E299" s="3"/>
    </row>
    <row r="300" spans="2:5" x14ac:dyDescent="0.2">
      <c r="B300" s="3"/>
      <c r="C300" s="3"/>
      <c r="D300" s="3"/>
      <c r="E300" s="3"/>
    </row>
    <row r="301" spans="2:5" x14ac:dyDescent="0.2">
      <c r="B301" s="3"/>
      <c r="C301" s="3"/>
      <c r="D301" s="3"/>
      <c r="E301" s="3"/>
    </row>
    <row r="302" spans="2:5" x14ac:dyDescent="0.2">
      <c r="B302" s="3"/>
      <c r="C302" s="3"/>
      <c r="D302" s="3"/>
      <c r="E302" s="3"/>
    </row>
    <row r="303" spans="2:5" x14ac:dyDescent="0.2">
      <c r="B303" s="3"/>
      <c r="C303" s="3"/>
      <c r="D303" s="3"/>
      <c r="E303" s="3"/>
    </row>
    <row r="304" spans="2:5" x14ac:dyDescent="0.2">
      <c r="B304" s="3"/>
      <c r="C304" s="3"/>
      <c r="D304" s="3"/>
      <c r="E304" s="3"/>
    </row>
    <row r="305" spans="2:5" x14ac:dyDescent="0.2">
      <c r="B305" s="3"/>
      <c r="C305" s="3"/>
      <c r="D305" s="3"/>
      <c r="E305" s="3"/>
    </row>
    <row r="306" spans="2:5" x14ac:dyDescent="0.2">
      <c r="B306" s="3"/>
      <c r="C306" s="3"/>
      <c r="D306" s="3"/>
      <c r="E306" s="3"/>
    </row>
    <row r="307" spans="2:5" x14ac:dyDescent="0.2">
      <c r="B307" s="3"/>
      <c r="C307" s="3"/>
      <c r="D307" s="3"/>
      <c r="E307" s="3"/>
    </row>
    <row r="308" spans="2:5" x14ac:dyDescent="0.2">
      <c r="B308" s="3"/>
      <c r="C308" s="3"/>
      <c r="D308" s="3"/>
      <c r="E308" s="3"/>
    </row>
    <row r="309" spans="2:5" x14ac:dyDescent="0.2">
      <c r="B309" s="3"/>
      <c r="C309" s="3"/>
      <c r="D309" s="3"/>
      <c r="E309" s="3"/>
    </row>
    <row r="310" spans="2:5" x14ac:dyDescent="0.2">
      <c r="B310" s="3"/>
      <c r="C310" s="3"/>
      <c r="D310" s="3"/>
      <c r="E310" s="3"/>
    </row>
    <row r="311" spans="2:5" x14ac:dyDescent="0.2">
      <c r="B311" s="3"/>
      <c r="C311" s="3"/>
      <c r="D311" s="3"/>
      <c r="E311" s="3"/>
    </row>
    <row r="312" spans="2:5" x14ac:dyDescent="0.2">
      <c r="B312" s="3"/>
      <c r="C312" s="3"/>
      <c r="D312" s="3"/>
      <c r="E312" s="3"/>
    </row>
    <row r="313" spans="2:5" x14ac:dyDescent="0.2">
      <c r="B313" s="3"/>
      <c r="C313" s="3"/>
      <c r="D313" s="3"/>
      <c r="E313" s="3"/>
    </row>
    <row r="314" spans="2:5" x14ac:dyDescent="0.2">
      <c r="B314" s="3"/>
      <c r="C314" s="3"/>
      <c r="D314" s="3"/>
      <c r="E314" s="3"/>
    </row>
    <row r="315" spans="2:5" x14ac:dyDescent="0.2">
      <c r="B315" s="3"/>
      <c r="C315" s="3"/>
      <c r="D315" s="3"/>
      <c r="E315" s="3"/>
    </row>
    <row r="316" spans="2:5" x14ac:dyDescent="0.2">
      <c r="B316" s="3"/>
      <c r="C316" s="3"/>
      <c r="D316" s="3"/>
      <c r="E316" s="3"/>
    </row>
    <row r="317" spans="2:5" x14ac:dyDescent="0.2">
      <c r="B317" s="3"/>
      <c r="C317" s="3"/>
      <c r="D317" s="3"/>
      <c r="E317" s="3"/>
    </row>
    <row r="318" spans="2:5" x14ac:dyDescent="0.2">
      <c r="B318" s="3"/>
      <c r="C318" s="3"/>
      <c r="D318" s="3"/>
      <c r="E318" s="3"/>
    </row>
    <row r="319" spans="2:5" x14ac:dyDescent="0.2">
      <c r="B319" s="3"/>
      <c r="C319" s="3"/>
      <c r="D319" s="3"/>
      <c r="E319" s="3"/>
    </row>
    <row r="320" spans="2:5" x14ac:dyDescent="0.2">
      <c r="B320" s="3"/>
      <c r="C320" s="3"/>
      <c r="D320" s="3"/>
      <c r="E320" s="3"/>
    </row>
    <row r="321" spans="2:5" x14ac:dyDescent="0.2">
      <c r="B321" s="3"/>
      <c r="C321" s="3"/>
      <c r="D321" s="3"/>
      <c r="E321" s="3"/>
    </row>
    <row r="322" spans="2:5" x14ac:dyDescent="0.2">
      <c r="B322" s="3"/>
      <c r="C322" s="3"/>
      <c r="D322" s="3"/>
      <c r="E322" s="3"/>
    </row>
    <row r="323" spans="2:5" x14ac:dyDescent="0.2">
      <c r="B323" s="3"/>
      <c r="C323" s="3"/>
      <c r="D323" s="3"/>
      <c r="E323" s="3"/>
    </row>
    <row r="324" spans="2:5" x14ac:dyDescent="0.2">
      <c r="B324" s="3"/>
      <c r="C324" s="3"/>
      <c r="D324" s="3"/>
      <c r="E324" s="3"/>
    </row>
    <row r="325" spans="2:5" x14ac:dyDescent="0.2">
      <c r="B325" s="3"/>
      <c r="C325" s="3"/>
      <c r="D325" s="3"/>
      <c r="E325" s="3"/>
    </row>
    <row r="326" spans="2:5" x14ac:dyDescent="0.2">
      <c r="B326" s="3"/>
      <c r="C326" s="3"/>
      <c r="D326" s="3"/>
      <c r="E326" s="3"/>
    </row>
    <row r="327" spans="2:5" x14ac:dyDescent="0.2">
      <c r="B327" s="3"/>
      <c r="C327" s="3"/>
      <c r="D327" s="3"/>
      <c r="E327" s="3"/>
    </row>
    <row r="328" spans="2:5" x14ac:dyDescent="0.2">
      <c r="B328" s="3"/>
      <c r="C328" s="3"/>
      <c r="D328" s="3"/>
      <c r="E328" s="3"/>
    </row>
    <row r="329" spans="2:5" x14ac:dyDescent="0.2">
      <c r="B329" s="3"/>
      <c r="C329" s="3"/>
      <c r="D329" s="3"/>
      <c r="E329" s="3"/>
    </row>
    <row r="330" spans="2:5" x14ac:dyDescent="0.2">
      <c r="B330" s="3"/>
      <c r="C330" s="3"/>
      <c r="D330" s="3"/>
      <c r="E330" s="3"/>
    </row>
    <row r="331" spans="2:5" x14ac:dyDescent="0.2">
      <c r="B331" s="3"/>
      <c r="C331" s="3"/>
      <c r="D331" s="3"/>
      <c r="E331" s="3"/>
    </row>
    <row r="332" spans="2:5" x14ac:dyDescent="0.2">
      <c r="B332" s="3"/>
      <c r="C332" s="3"/>
      <c r="D332" s="3"/>
      <c r="E332" s="3"/>
    </row>
    <row r="333" spans="2:5" x14ac:dyDescent="0.2">
      <c r="B333" s="3"/>
      <c r="C333" s="3"/>
      <c r="D333" s="3"/>
      <c r="E333" s="3"/>
    </row>
    <row r="334" spans="2:5" x14ac:dyDescent="0.2">
      <c r="B334" s="3"/>
      <c r="C334" s="3"/>
      <c r="D334" s="3"/>
      <c r="E334" s="3"/>
    </row>
    <row r="335" spans="2:5" x14ac:dyDescent="0.2">
      <c r="B335" s="3"/>
      <c r="C335" s="3"/>
      <c r="D335" s="3"/>
      <c r="E335" s="3"/>
    </row>
    <row r="336" spans="2:5" x14ac:dyDescent="0.2">
      <c r="B336" s="3"/>
      <c r="C336" s="3"/>
      <c r="D336" s="3"/>
      <c r="E336" s="3"/>
    </row>
    <row r="337" spans="2:5" x14ac:dyDescent="0.2">
      <c r="B337" s="3"/>
      <c r="C337" s="3"/>
      <c r="D337" s="3"/>
      <c r="E337" s="3"/>
    </row>
    <row r="338" spans="2:5" x14ac:dyDescent="0.2">
      <c r="B338" s="3"/>
      <c r="C338" s="3"/>
      <c r="D338" s="3"/>
      <c r="E338" s="3"/>
    </row>
    <row r="339" spans="2:5" x14ac:dyDescent="0.2">
      <c r="B339" s="3"/>
      <c r="C339" s="3"/>
      <c r="D339" s="3"/>
      <c r="E339" s="3"/>
    </row>
    <row r="340" spans="2:5" x14ac:dyDescent="0.2">
      <c r="B340" s="3"/>
      <c r="C340" s="3"/>
      <c r="D340" s="3"/>
      <c r="E340" s="3"/>
    </row>
    <row r="341" spans="2:5" x14ac:dyDescent="0.2">
      <c r="B341" s="3"/>
      <c r="C341" s="3"/>
      <c r="D341" s="3"/>
      <c r="E341" s="3"/>
    </row>
    <row r="342" spans="2:5" x14ac:dyDescent="0.2">
      <c r="B342" s="3"/>
      <c r="C342" s="3"/>
      <c r="D342" s="3"/>
      <c r="E342" s="3"/>
    </row>
    <row r="343" spans="2:5" x14ac:dyDescent="0.2">
      <c r="B343" s="3"/>
      <c r="C343" s="3"/>
      <c r="D343" s="3"/>
      <c r="E343" s="3"/>
    </row>
    <row r="344" spans="2:5" x14ac:dyDescent="0.2">
      <c r="B344" s="3"/>
      <c r="C344" s="3"/>
      <c r="D344" s="3"/>
      <c r="E344" s="3"/>
    </row>
    <row r="345" spans="2:5" x14ac:dyDescent="0.2">
      <c r="B345" s="3"/>
      <c r="C345" s="3"/>
      <c r="D345" s="3"/>
      <c r="E345" s="3"/>
    </row>
    <row r="346" spans="2:5" x14ac:dyDescent="0.2">
      <c r="B346" s="3"/>
      <c r="C346" s="3"/>
      <c r="D346" s="3"/>
      <c r="E346" s="3"/>
    </row>
    <row r="347" spans="2:5" x14ac:dyDescent="0.2">
      <c r="B347" s="3"/>
      <c r="C347" s="3"/>
      <c r="D347" s="3"/>
      <c r="E347" s="3"/>
    </row>
    <row r="348" spans="2:5" x14ac:dyDescent="0.2">
      <c r="B348" s="3"/>
      <c r="C348" s="3"/>
      <c r="D348" s="3"/>
      <c r="E348" s="3"/>
    </row>
    <row r="349" spans="2:5" x14ac:dyDescent="0.2">
      <c r="B349" s="3"/>
      <c r="C349" s="3"/>
      <c r="D349" s="3"/>
      <c r="E349" s="3"/>
    </row>
    <row r="350" spans="2:5" x14ac:dyDescent="0.2">
      <c r="B350" s="3"/>
      <c r="C350" s="3"/>
      <c r="D350" s="3"/>
      <c r="E350" s="3"/>
    </row>
    <row r="351" spans="2:5" x14ac:dyDescent="0.2">
      <c r="B351" s="3"/>
      <c r="C351" s="3"/>
      <c r="D351" s="3"/>
      <c r="E351" s="3"/>
    </row>
    <row r="352" spans="2:5" x14ac:dyDescent="0.2">
      <c r="B352" s="3"/>
      <c r="C352" s="3"/>
      <c r="D352" s="3"/>
      <c r="E352" s="3"/>
    </row>
    <row r="353" spans="2:5" x14ac:dyDescent="0.2">
      <c r="B353" s="3"/>
      <c r="C353" s="3"/>
      <c r="D353" s="3"/>
      <c r="E353" s="3"/>
    </row>
    <row r="354" spans="2:5" x14ac:dyDescent="0.2">
      <c r="B354" s="3"/>
      <c r="C354" s="3"/>
      <c r="D354" s="3"/>
      <c r="E354" s="3"/>
    </row>
    <row r="355" spans="2:5" x14ac:dyDescent="0.2">
      <c r="B355" s="3"/>
      <c r="C355" s="3"/>
      <c r="D355" s="3"/>
      <c r="E355" s="3"/>
    </row>
    <row r="356" spans="2:5" x14ac:dyDescent="0.2">
      <c r="B356" s="3"/>
      <c r="C356" s="3"/>
      <c r="D356" s="3"/>
      <c r="E356" s="3"/>
    </row>
    <row r="357" spans="2:5" x14ac:dyDescent="0.2">
      <c r="B357" s="3"/>
      <c r="C357" s="3"/>
      <c r="D357" s="3"/>
      <c r="E357" s="3"/>
    </row>
    <row r="358" spans="2:5" x14ac:dyDescent="0.2">
      <c r="B358" s="3"/>
      <c r="C358" s="3"/>
      <c r="D358" s="3"/>
      <c r="E358" s="3"/>
    </row>
    <row r="359" spans="2:5" x14ac:dyDescent="0.2">
      <c r="B359" s="3"/>
      <c r="C359" s="3"/>
      <c r="D359" s="3"/>
      <c r="E359" s="3"/>
    </row>
    <row r="360" spans="2:5" x14ac:dyDescent="0.2">
      <c r="B360" s="3"/>
      <c r="C360" s="3"/>
      <c r="D360" s="3"/>
      <c r="E360" s="3"/>
    </row>
    <row r="361" spans="2:5" x14ac:dyDescent="0.2">
      <c r="B361" s="3"/>
      <c r="C361" s="3"/>
      <c r="D361" s="3"/>
      <c r="E361" s="3"/>
    </row>
    <row r="362" spans="2:5" x14ac:dyDescent="0.2">
      <c r="B362" s="3"/>
      <c r="C362" s="3"/>
      <c r="D362" s="3"/>
      <c r="E362" s="3"/>
    </row>
    <row r="363" spans="2:5" x14ac:dyDescent="0.2">
      <c r="B363" s="3"/>
      <c r="C363" s="3"/>
      <c r="D363" s="3"/>
      <c r="E363" s="3"/>
    </row>
    <row r="364" spans="2:5" x14ac:dyDescent="0.2">
      <c r="B364" s="3"/>
      <c r="C364" s="3"/>
      <c r="D364" s="3"/>
      <c r="E364" s="3"/>
    </row>
    <row r="365" spans="2:5" x14ac:dyDescent="0.2">
      <c r="B365" s="3"/>
      <c r="C365" s="3"/>
      <c r="D365" s="3"/>
      <c r="E365" s="3"/>
    </row>
    <row r="366" spans="2:5" x14ac:dyDescent="0.2">
      <c r="B366" s="3"/>
      <c r="C366" s="3"/>
      <c r="D366" s="3"/>
      <c r="E366" s="3"/>
    </row>
    <row r="367" spans="2:5" x14ac:dyDescent="0.2">
      <c r="B367" s="3"/>
      <c r="C367" s="3"/>
      <c r="D367" s="3"/>
      <c r="E367" s="3"/>
    </row>
    <row r="368" spans="2:5" x14ac:dyDescent="0.2">
      <c r="B368" s="3"/>
      <c r="C368" s="3"/>
      <c r="D368" s="3"/>
      <c r="E368" s="3"/>
    </row>
    <row r="369" spans="2:5" x14ac:dyDescent="0.2">
      <c r="B369" s="3"/>
      <c r="C369" s="3"/>
      <c r="D369" s="3"/>
      <c r="E369" s="3"/>
    </row>
    <row r="370" spans="2:5" x14ac:dyDescent="0.2">
      <c r="B370" s="3"/>
      <c r="C370" s="3"/>
      <c r="D370" s="3"/>
      <c r="E370" s="3"/>
    </row>
    <row r="371" spans="2:5" x14ac:dyDescent="0.2">
      <c r="B371" s="3"/>
      <c r="C371" s="3"/>
      <c r="D371" s="3"/>
      <c r="E371" s="3"/>
    </row>
    <row r="372" spans="2:5" x14ac:dyDescent="0.2">
      <c r="B372" s="3"/>
      <c r="C372" s="3"/>
      <c r="D372" s="3"/>
      <c r="E372" s="3"/>
    </row>
    <row r="373" spans="2:5" x14ac:dyDescent="0.2">
      <c r="B373" s="3"/>
      <c r="C373" s="3"/>
      <c r="D373" s="3"/>
      <c r="E373" s="3"/>
    </row>
    <row r="374" spans="2:5" x14ac:dyDescent="0.2">
      <c r="B374" s="3"/>
      <c r="C374" s="3"/>
      <c r="D374" s="3"/>
      <c r="E374" s="3"/>
    </row>
    <row r="375" spans="2:5" x14ac:dyDescent="0.2">
      <c r="B375" s="3"/>
      <c r="C375" s="3"/>
      <c r="D375" s="3"/>
      <c r="E375" s="3"/>
    </row>
    <row r="376" spans="2:5" x14ac:dyDescent="0.2">
      <c r="B376" s="3"/>
      <c r="C376" s="3"/>
      <c r="D376" s="3"/>
      <c r="E376" s="3"/>
    </row>
    <row r="377" spans="2:5" x14ac:dyDescent="0.2">
      <c r="B377" s="3"/>
      <c r="C377" s="3"/>
      <c r="D377" s="3"/>
      <c r="E377" s="3"/>
    </row>
    <row r="378" spans="2:5" x14ac:dyDescent="0.2">
      <c r="B378" s="3"/>
      <c r="C378" s="3"/>
      <c r="D378" s="3"/>
      <c r="E378" s="3"/>
    </row>
    <row r="379" spans="2:5" x14ac:dyDescent="0.2">
      <c r="B379" s="3"/>
      <c r="C379" s="3"/>
      <c r="D379" s="3"/>
      <c r="E379" s="3"/>
    </row>
    <row r="380" spans="2:5" x14ac:dyDescent="0.2">
      <c r="B380" s="3"/>
      <c r="C380" s="3"/>
      <c r="D380" s="3"/>
      <c r="E380" s="3"/>
    </row>
    <row r="381" spans="2:5" x14ac:dyDescent="0.2">
      <c r="B381" s="3"/>
      <c r="C381" s="3"/>
      <c r="D381" s="3"/>
      <c r="E381" s="3"/>
    </row>
    <row r="382" spans="2:5" x14ac:dyDescent="0.2">
      <c r="B382" s="3"/>
      <c r="C382" s="3"/>
      <c r="D382" s="3"/>
      <c r="E382" s="3"/>
    </row>
    <row r="383" spans="2:5" x14ac:dyDescent="0.2">
      <c r="B383" s="3"/>
      <c r="C383" s="3"/>
      <c r="D383" s="3"/>
      <c r="E383" s="3"/>
    </row>
    <row r="384" spans="2:5" x14ac:dyDescent="0.2">
      <c r="B384" s="3"/>
      <c r="C384" s="3"/>
      <c r="D384" s="3"/>
      <c r="E384" s="3"/>
    </row>
    <row r="385" spans="2:5" x14ac:dyDescent="0.2">
      <c r="B385" s="3"/>
      <c r="C385" s="3"/>
      <c r="D385" s="3"/>
      <c r="E385" s="3"/>
    </row>
    <row r="386" spans="2:5" x14ac:dyDescent="0.2">
      <c r="B386" s="3"/>
      <c r="C386" s="3"/>
      <c r="D386" s="3"/>
      <c r="E386" s="3"/>
    </row>
    <row r="387" spans="2:5" x14ac:dyDescent="0.2">
      <c r="B387" s="3"/>
      <c r="C387" s="3"/>
      <c r="D387" s="3"/>
      <c r="E387" s="3"/>
    </row>
    <row r="388" spans="2:5" x14ac:dyDescent="0.2">
      <c r="B388" s="3"/>
      <c r="C388" s="3"/>
      <c r="D388" s="3"/>
      <c r="E388" s="3"/>
    </row>
    <row r="389" spans="2:5" x14ac:dyDescent="0.2">
      <c r="B389" s="3"/>
      <c r="C389" s="3"/>
      <c r="D389" s="3"/>
      <c r="E389" s="3"/>
    </row>
    <row r="390" spans="2:5" x14ac:dyDescent="0.2">
      <c r="B390" s="3"/>
      <c r="C390" s="3"/>
      <c r="D390" s="3"/>
      <c r="E390" s="3"/>
    </row>
    <row r="391" spans="2:5" x14ac:dyDescent="0.2">
      <c r="B391" s="3"/>
      <c r="C391" s="3"/>
      <c r="D391" s="3"/>
      <c r="E391" s="3"/>
    </row>
    <row r="392" spans="2:5" x14ac:dyDescent="0.2">
      <c r="B392" s="3"/>
      <c r="C392" s="3"/>
      <c r="D392" s="3"/>
      <c r="E392" s="3"/>
    </row>
    <row r="393" spans="2:5" x14ac:dyDescent="0.2">
      <c r="B393" s="3"/>
      <c r="C393" s="3"/>
      <c r="D393" s="3"/>
      <c r="E393" s="3"/>
    </row>
    <row r="394" spans="2:5" x14ac:dyDescent="0.2">
      <c r="B394" s="3"/>
      <c r="C394" s="3"/>
      <c r="D394" s="3"/>
      <c r="E394" s="3"/>
    </row>
    <row r="395" spans="2:5" x14ac:dyDescent="0.2">
      <c r="B395" s="3"/>
      <c r="C395" s="3"/>
      <c r="D395" s="3"/>
      <c r="E395" s="3"/>
    </row>
    <row r="396" spans="2:5" x14ac:dyDescent="0.2">
      <c r="B396" s="3"/>
      <c r="C396" s="3"/>
      <c r="D396" s="3"/>
      <c r="E396" s="3"/>
    </row>
    <row r="397" spans="2:5" x14ac:dyDescent="0.2">
      <c r="B397" s="3"/>
      <c r="C397" s="3"/>
      <c r="D397" s="3"/>
      <c r="E397" s="3"/>
    </row>
    <row r="398" spans="2:5" x14ac:dyDescent="0.2">
      <c r="B398" s="3"/>
      <c r="C398" s="3"/>
      <c r="D398" s="3"/>
      <c r="E398" s="3"/>
    </row>
    <row r="399" spans="2:5" x14ac:dyDescent="0.2">
      <c r="B399" s="3"/>
      <c r="C399" s="3"/>
      <c r="D399" s="3"/>
      <c r="E399" s="3"/>
    </row>
    <row r="400" spans="2:5" x14ac:dyDescent="0.2">
      <c r="B400" s="3"/>
      <c r="C400" s="3"/>
      <c r="D400" s="3"/>
      <c r="E400" s="3"/>
    </row>
    <row r="401" spans="2:5" x14ac:dyDescent="0.2">
      <c r="B401" s="3"/>
      <c r="C401" s="3"/>
      <c r="D401" s="3"/>
      <c r="E401" s="3"/>
    </row>
    <row r="402" spans="2:5" x14ac:dyDescent="0.2">
      <c r="B402" s="3"/>
      <c r="C402" s="3"/>
      <c r="D402" s="3"/>
      <c r="E402" s="3"/>
    </row>
    <row r="403" spans="2:5" x14ac:dyDescent="0.2">
      <c r="B403" s="3"/>
      <c r="C403" s="3"/>
      <c r="D403" s="3"/>
      <c r="E403" s="3"/>
    </row>
    <row r="404" spans="2:5" x14ac:dyDescent="0.2">
      <c r="B404" s="3"/>
      <c r="C404" s="3"/>
      <c r="D404" s="3"/>
      <c r="E404" s="3"/>
    </row>
    <row r="405" spans="2:5" x14ac:dyDescent="0.2">
      <c r="B405" s="3"/>
      <c r="C405" s="3"/>
      <c r="D405" s="3"/>
      <c r="E405" s="3"/>
    </row>
    <row r="406" spans="2:5" x14ac:dyDescent="0.2">
      <c r="B406" s="3"/>
      <c r="C406" s="3"/>
      <c r="D406" s="3"/>
      <c r="E406" s="3"/>
    </row>
    <row r="407" spans="2:5" x14ac:dyDescent="0.2">
      <c r="B407" s="3"/>
      <c r="C407" s="3"/>
      <c r="D407" s="3"/>
      <c r="E407" s="3"/>
    </row>
    <row r="408" spans="2:5" x14ac:dyDescent="0.2">
      <c r="B408" s="3"/>
      <c r="C408" s="3"/>
      <c r="D408" s="3"/>
      <c r="E408" s="3"/>
    </row>
    <row r="409" spans="2:5" x14ac:dyDescent="0.2">
      <c r="B409" s="3"/>
      <c r="C409" s="3"/>
      <c r="D409" s="3"/>
      <c r="E409" s="3"/>
    </row>
    <row r="410" spans="2:5" x14ac:dyDescent="0.2">
      <c r="B410" s="3"/>
      <c r="C410" s="3"/>
      <c r="D410" s="3"/>
      <c r="E410" s="3"/>
    </row>
    <row r="411" spans="2:5" x14ac:dyDescent="0.2">
      <c r="B411" s="3"/>
      <c r="C411" s="3"/>
      <c r="D411" s="3"/>
      <c r="E411" s="3"/>
    </row>
    <row r="412" spans="2:5" x14ac:dyDescent="0.2">
      <c r="B412" s="3"/>
      <c r="C412" s="3"/>
      <c r="D412" s="3"/>
      <c r="E412" s="3"/>
    </row>
    <row r="413" spans="2:5" x14ac:dyDescent="0.2">
      <c r="B413" s="3"/>
      <c r="C413" s="3"/>
      <c r="D413" s="3"/>
      <c r="E413" s="3"/>
    </row>
    <row r="414" spans="2:5" x14ac:dyDescent="0.2">
      <c r="B414" s="3"/>
      <c r="C414" s="3"/>
      <c r="D414" s="3"/>
      <c r="E414" s="3"/>
    </row>
    <row r="415" spans="2:5" x14ac:dyDescent="0.2">
      <c r="B415" s="3"/>
      <c r="C415" s="3"/>
      <c r="D415" s="3"/>
      <c r="E415" s="3"/>
    </row>
    <row r="416" spans="2:5" x14ac:dyDescent="0.2">
      <c r="B416" s="3"/>
      <c r="C416" s="3"/>
      <c r="D416" s="3"/>
      <c r="E416" s="3"/>
    </row>
    <row r="417" spans="2:5" x14ac:dyDescent="0.2">
      <c r="B417" s="3"/>
      <c r="C417" s="3"/>
      <c r="D417" s="3"/>
      <c r="E417" s="3"/>
    </row>
    <row r="418" spans="2:5" x14ac:dyDescent="0.2">
      <c r="B418" s="3"/>
      <c r="C418" s="3"/>
      <c r="D418" s="3"/>
      <c r="E418" s="3"/>
    </row>
    <row r="419" spans="2:5" x14ac:dyDescent="0.2">
      <c r="B419" s="3"/>
      <c r="C419" s="3"/>
      <c r="D419" s="3"/>
      <c r="E419" s="3"/>
    </row>
    <row r="420" spans="2:5" x14ac:dyDescent="0.2">
      <c r="B420" s="3"/>
      <c r="C420" s="3"/>
      <c r="D420" s="3"/>
      <c r="E420" s="3"/>
    </row>
    <row r="421" spans="2:5" x14ac:dyDescent="0.2">
      <c r="B421" s="3"/>
      <c r="C421" s="3"/>
      <c r="D421" s="3"/>
      <c r="E421" s="3"/>
    </row>
    <row r="422" spans="2:5" x14ac:dyDescent="0.2">
      <c r="B422" s="3"/>
      <c r="C422" s="3"/>
      <c r="D422" s="3"/>
      <c r="E422" s="3"/>
    </row>
    <row r="423" spans="2:5" x14ac:dyDescent="0.2">
      <c r="B423" s="3"/>
      <c r="C423" s="3"/>
      <c r="D423" s="3"/>
      <c r="E423" s="3"/>
    </row>
    <row r="424" spans="2:5" x14ac:dyDescent="0.2">
      <c r="B424" s="3"/>
      <c r="C424" s="3"/>
      <c r="D424" s="3"/>
      <c r="E424" s="3"/>
    </row>
    <row r="425" spans="2:5" x14ac:dyDescent="0.2">
      <c r="B425" s="3"/>
      <c r="C425" s="3"/>
      <c r="D425" s="3"/>
      <c r="E425" s="3"/>
    </row>
    <row r="426" spans="2:5" x14ac:dyDescent="0.2">
      <c r="B426" s="3"/>
      <c r="C426" s="3"/>
      <c r="D426" s="3"/>
      <c r="E426" s="3"/>
    </row>
    <row r="427" spans="2:5" x14ac:dyDescent="0.2">
      <c r="B427" s="3"/>
      <c r="C427" s="3"/>
      <c r="D427" s="3"/>
      <c r="E427" s="3"/>
    </row>
    <row r="428" spans="2:5" x14ac:dyDescent="0.2">
      <c r="B428" s="3"/>
      <c r="C428" s="3"/>
      <c r="D428" s="3"/>
      <c r="E428" s="3"/>
    </row>
    <row r="429" spans="2:5" x14ac:dyDescent="0.2">
      <c r="B429" s="3"/>
      <c r="C429" s="3"/>
      <c r="D429" s="3"/>
      <c r="E429" s="3"/>
    </row>
    <row r="430" spans="2:5" x14ac:dyDescent="0.2">
      <c r="B430" s="3"/>
      <c r="C430" s="3"/>
      <c r="D430" s="3"/>
      <c r="E430" s="3"/>
    </row>
    <row r="431" spans="2:5" x14ac:dyDescent="0.2">
      <c r="B431" s="3"/>
      <c r="C431" s="3"/>
      <c r="D431" s="3"/>
      <c r="E431" s="3"/>
    </row>
    <row r="432" spans="2:5" x14ac:dyDescent="0.2">
      <c r="B432" s="3"/>
      <c r="C432" s="3"/>
      <c r="D432" s="3"/>
      <c r="E432" s="3"/>
    </row>
    <row r="433" spans="2:5" x14ac:dyDescent="0.2">
      <c r="B433" s="3"/>
      <c r="C433" s="3"/>
      <c r="D433" s="3"/>
      <c r="E433" s="3"/>
    </row>
    <row r="434" spans="2:5" x14ac:dyDescent="0.2">
      <c r="B434" s="3"/>
      <c r="C434" s="3"/>
      <c r="D434" s="3"/>
      <c r="E434" s="3"/>
    </row>
    <row r="435" spans="2:5" x14ac:dyDescent="0.2">
      <c r="B435" s="3"/>
      <c r="C435" s="3"/>
      <c r="D435" s="3"/>
      <c r="E435" s="3"/>
    </row>
    <row r="436" spans="2:5" x14ac:dyDescent="0.2">
      <c r="B436" s="3"/>
      <c r="C436" s="3"/>
      <c r="D436" s="3"/>
      <c r="E436" s="3"/>
    </row>
    <row r="437" spans="2:5" x14ac:dyDescent="0.2">
      <c r="B437" s="3"/>
      <c r="C437" s="3"/>
      <c r="D437" s="3"/>
      <c r="E437" s="3"/>
    </row>
    <row r="438" spans="2:5" x14ac:dyDescent="0.2">
      <c r="B438" s="3"/>
      <c r="C438" s="3"/>
      <c r="D438" s="3"/>
      <c r="E438" s="3"/>
    </row>
    <row r="439" spans="2:5" x14ac:dyDescent="0.2">
      <c r="B439" s="3"/>
      <c r="C439" s="3"/>
      <c r="D439" s="3"/>
      <c r="E439" s="3"/>
    </row>
    <row r="440" spans="2:5" x14ac:dyDescent="0.2">
      <c r="B440" s="3"/>
      <c r="C440" s="3"/>
      <c r="D440" s="3"/>
      <c r="E440" s="3"/>
    </row>
    <row r="441" spans="2:5" x14ac:dyDescent="0.2">
      <c r="B441" s="3"/>
      <c r="C441" s="3"/>
      <c r="D441" s="3"/>
      <c r="E441" s="3"/>
    </row>
    <row r="442" spans="2:5" x14ac:dyDescent="0.2">
      <c r="B442" s="3"/>
      <c r="C442" s="3"/>
      <c r="D442" s="3"/>
      <c r="E442" s="3"/>
    </row>
    <row r="443" spans="2:5" x14ac:dyDescent="0.2">
      <c r="B443" s="3"/>
      <c r="C443" s="3"/>
      <c r="D443" s="3"/>
      <c r="E443" s="3"/>
    </row>
    <row r="444" spans="2:5" x14ac:dyDescent="0.2">
      <c r="B444" s="3"/>
      <c r="C444" s="3"/>
      <c r="D444" s="3"/>
      <c r="E444" s="3"/>
    </row>
    <row r="445" spans="2:5" x14ac:dyDescent="0.2">
      <c r="B445" s="3"/>
      <c r="C445" s="3"/>
      <c r="D445" s="3"/>
      <c r="E445" s="3"/>
    </row>
    <row r="446" spans="2:5" x14ac:dyDescent="0.2">
      <c r="B446" s="3"/>
      <c r="C446" s="3"/>
      <c r="D446" s="3"/>
      <c r="E446" s="3"/>
    </row>
    <row r="447" spans="2:5" x14ac:dyDescent="0.2">
      <c r="B447" s="3"/>
      <c r="C447" s="3"/>
      <c r="D447" s="3"/>
      <c r="E447" s="3"/>
    </row>
    <row r="448" spans="2:5" x14ac:dyDescent="0.2">
      <c r="B448" s="3"/>
      <c r="C448" s="3"/>
      <c r="D448" s="3"/>
      <c r="E448" s="3"/>
    </row>
    <row r="449" spans="2:5" x14ac:dyDescent="0.2">
      <c r="B449" s="3"/>
      <c r="C449" s="3"/>
      <c r="D449" s="3"/>
      <c r="E449" s="3"/>
    </row>
    <row r="450" spans="2:5" x14ac:dyDescent="0.2">
      <c r="B450" s="3"/>
      <c r="C450" s="3"/>
      <c r="D450" s="3"/>
      <c r="E450" s="3"/>
    </row>
    <row r="451" spans="2:5" x14ac:dyDescent="0.2">
      <c r="B451" s="3"/>
      <c r="C451" s="3"/>
      <c r="D451" s="3"/>
      <c r="E451" s="3"/>
    </row>
    <row r="452" spans="2:5" x14ac:dyDescent="0.2">
      <c r="B452" s="3"/>
      <c r="C452" s="3"/>
      <c r="D452" s="3"/>
      <c r="E452" s="3"/>
    </row>
    <row r="453" spans="2:5" x14ac:dyDescent="0.2">
      <c r="B453" s="3"/>
      <c r="C453" s="3"/>
      <c r="D453" s="3"/>
      <c r="E453" s="3"/>
    </row>
    <row r="454" spans="2:5" x14ac:dyDescent="0.2">
      <c r="B454" s="3"/>
      <c r="C454" s="3"/>
      <c r="D454" s="3"/>
      <c r="E454" s="3"/>
    </row>
    <row r="455" spans="2:5" x14ac:dyDescent="0.2">
      <c r="B455" s="3"/>
      <c r="C455" s="3"/>
      <c r="D455" s="3"/>
      <c r="E455" s="3"/>
    </row>
    <row r="456" spans="2:5" x14ac:dyDescent="0.2">
      <c r="B456" s="3"/>
      <c r="C456" s="3"/>
      <c r="D456" s="3"/>
      <c r="E456" s="3"/>
    </row>
    <row r="457" spans="2:5" x14ac:dyDescent="0.2">
      <c r="B457" s="3"/>
      <c r="C457" s="3"/>
      <c r="D457" s="3"/>
      <c r="E457" s="3"/>
    </row>
    <row r="458" spans="2:5" x14ac:dyDescent="0.2">
      <c r="B458" s="3"/>
      <c r="C458" s="3"/>
      <c r="D458" s="3"/>
      <c r="E458" s="3"/>
    </row>
    <row r="459" spans="2:5" x14ac:dyDescent="0.2">
      <c r="B459" s="3"/>
      <c r="C459" s="3"/>
      <c r="D459" s="3"/>
      <c r="E459" s="3"/>
    </row>
    <row r="460" spans="2:5" x14ac:dyDescent="0.2">
      <c r="B460" s="3"/>
      <c r="C460" s="3"/>
      <c r="D460" s="3"/>
      <c r="E460" s="3"/>
    </row>
    <row r="461" spans="2:5" x14ac:dyDescent="0.2">
      <c r="B461" s="3"/>
      <c r="C461" s="3"/>
      <c r="D461" s="3"/>
      <c r="E461" s="3"/>
    </row>
    <row r="462" spans="2:5" x14ac:dyDescent="0.2">
      <c r="B462" s="3"/>
      <c r="C462" s="3"/>
      <c r="D462" s="3"/>
      <c r="E462" s="3"/>
    </row>
    <row r="463" spans="2:5" x14ac:dyDescent="0.2">
      <c r="B463" s="3"/>
      <c r="C463" s="3"/>
      <c r="D463" s="3"/>
      <c r="E463" s="3"/>
    </row>
    <row r="464" spans="2:5" x14ac:dyDescent="0.2">
      <c r="B464" s="3"/>
      <c r="C464" s="3"/>
      <c r="D464" s="3"/>
      <c r="E464" s="3"/>
    </row>
    <row r="465" spans="2:5" x14ac:dyDescent="0.2">
      <c r="B465" s="3"/>
      <c r="C465" s="3"/>
      <c r="D465" s="3"/>
      <c r="E465" s="3"/>
    </row>
    <row r="466" spans="2:5" x14ac:dyDescent="0.2">
      <c r="B466" s="3"/>
      <c r="C466" s="3"/>
      <c r="D466" s="3"/>
      <c r="E466" s="3"/>
    </row>
    <row r="467" spans="2:5" x14ac:dyDescent="0.2">
      <c r="B467" s="3"/>
      <c r="C467" s="3"/>
      <c r="D467" s="3"/>
      <c r="E467" s="3"/>
    </row>
    <row r="468" spans="2:5" x14ac:dyDescent="0.2">
      <c r="B468" s="3"/>
      <c r="C468" s="3"/>
      <c r="D468" s="3"/>
      <c r="E468" s="3"/>
    </row>
    <row r="469" spans="2:5" x14ac:dyDescent="0.2">
      <c r="B469" s="3"/>
      <c r="C469" s="3"/>
      <c r="D469" s="3"/>
      <c r="E469" s="3"/>
    </row>
    <row r="470" spans="2:5" x14ac:dyDescent="0.2">
      <c r="B470" s="3"/>
      <c r="C470" s="3"/>
      <c r="D470" s="3"/>
      <c r="E470" s="3"/>
    </row>
    <row r="471" spans="2:5" x14ac:dyDescent="0.2">
      <c r="B471" s="3"/>
      <c r="C471" s="3"/>
      <c r="D471" s="3"/>
      <c r="E471" s="3"/>
    </row>
    <row r="472" spans="2:5" x14ac:dyDescent="0.2">
      <c r="B472" s="3"/>
      <c r="C472" s="3"/>
      <c r="D472" s="3"/>
      <c r="E472" s="3"/>
    </row>
    <row r="473" spans="2:5" x14ac:dyDescent="0.2">
      <c r="B473" s="3"/>
      <c r="C473" s="3"/>
      <c r="D473" s="3"/>
      <c r="E473" s="3"/>
    </row>
    <row r="474" spans="2:5" x14ac:dyDescent="0.2">
      <c r="B474" s="3"/>
      <c r="C474" s="3"/>
      <c r="D474" s="3"/>
      <c r="E474" s="3"/>
    </row>
    <row r="475" spans="2:5" x14ac:dyDescent="0.2">
      <c r="B475" s="3"/>
      <c r="C475" s="3"/>
      <c r="D475" s="3"/>
      <c r="E475" s="3"/>
    </row>
    <row r="476" spans="2:5" x14ac:dyDescent="0.2">
      <c r="B476" s="3"/>
      <c r="C476" s="3"/>
      <c r="D476" s="3"/>
      <c r="E476" s="3"/>
    </row>
    <row r="477" spans="2:5" x14ac:dyDescent="0.2">
      <c r="B477" s="3"/>
      <c r="C477" s="3"/>
      <c r="D477" s="3"/>
      <c r="E477" s="3"/>
    </row>
    <row r="478" spans="2:5" x14ac:dyDescent="0.2">
      <c r="B478" s="3"/>
      <c r="C478" s="3"/>
      <c r="D478" s="3"/>
      <c r="E478" s="3"/>
    </row>
    <row r="479" spans="2:5" x14ac:dyDescent="0.2">
      <c r="B479" s="3"/>
      <c r="C479" s="3"/>
      <c r="D479" s="3"/>
      <c r="E479" s="3"/>
    </row>
    <row r="480" spans="2:5" x14ac:dyDescent="0.2">
      <c r="B480" s="3"/>
      <c r="C480" s="3"/>
      <c r="D480" s="3"/>
      <c r="E480" s="3"/>
    </row>
    <row r="481" spans="2:5" x14ac:dyDescent="0.2">
      <c r="B481" s="3"/>
      <c r="C481" s="3"/>
      <c r="D481" s="3"/>
      <c r="E481" s="3"/>
    </row>
    <row r="482" spans="2:5" x14ac:dyDescent="0.2">
      <c r="B482" s="3"/>
      <c r="C482" s="3"/>
      <c r="D482" s="3"/>
      <c r="E482" s="3"/>
    </row>
    <row r="483" spans="2:5" x14ac:dyDescent="0.2">
      <c r="B483" s="3"/>
      <c r="C483" s="3"/>
      <c r="D483" s="3"/>
      <c r="E483" s="3"/>
    </row>
    <row r="484" spans="2:5" x14ac:dyDescent="0.2">
      <c r="B484" s="3"/>
      <c r="C484" s="3"/>
      <c r="D484" s="3"/>
      <c r="E484" s="3"/>
    </row>
    <row r="485" spans="2:5" x14ac:dyDescent="0.2">
      <c r="B485" s="3"/>
      <c r="C485" s="3"/>
      <c r="D485" s="3"/>
      <c r="E485" s="3"/>
    </row>
    <row r="486" spans="2:5" x14ac:dyDescent="0.2">
      <c r="B486" s="3"/>
      <c r="C486" s="3"/>
      <c r="D486" s="3"/>
      <c r="E486" s="3"/>
    </row>
    <row r="487" spans="2:5" x14ac:dyDescent="0.2">
      <c r="B487" s="3"/>
      <c r="C487" s="3"/>
      <c r="D487" s="3"/>
      <c r="E487" s="3"/>
    </row>
    <row r="488" spans="2:5" x14ac:dyDescent="0.2">
      <c r="B488" s="3"/>
      <c r="C488" s="3"/>
      <c r="D488" s="3"/>
      <c r="E488" s="3"/>
    </row>
    <row r="489" spans="2:5" x14ac:dyDescent="0.2">
      <c r="B489" s="3"/>
      <c r="C489" s="3"/>
      <c r="D489" s="3"/>
      <c r="E489" s="3"/>
    </row>
    <row r="490" spans="2:5" x14ac:dyDescent="0.2">
      <c r="B490" s="3"/>
      <c r="C490" s="3"/>
      <c r="D490" s="3"/>
      <c r="E490" s="3"/>
    </row>
  </sheetData>
  <mergeCells count="83">
    <mergeCell ref="A43:B43"/>
    <mergeCell ref="A44:B44"/>
    <mergeCell ref="A49:B49"/>
    <mergeCell ref="A55:B55"/>
    <mergeCell ref="A56:B56"/>
    <mergeCell ref="A46:L46"/>
    <mergeCell ref="A50:B50"/>
    <mergeCell ref="L107:L110"/>
    <mergeCell ref="C108:C110"/>
    <mergeCell ref="E108:E110"/>
    <mergeCell ref="F108:G108"/>
    <mergeCell ref="H108:H110"/>
    <mergeCell ref="I108:K108"/>
    <mergeCell ref="F109:F110"/>
    <mergeCell ref="G109:G110"/>
    <mergeCell ref="I109:I110"/>
    <mergeCell ref="J109:J110"/>
    <mergeCell ref="A112:B112"/>
    <mergeCell ref="A113:B113"/>
    <mergeCell ref="A114:B114"/>
    <mergeCell ref="A115:B115"/>
    <mergeCell ref="D108:D110"/>
    <mergeCell ref="A111:B111"/>
    <mergeCell ref="A107:B110"/>
    <mergeCell ref="H59:K59"/>
    <mergeCell ref="A92:B92"/>
    <mergeCell ref="A98:B98"/>
    <mergeCell ref="A99:B99"/>
    <mergeCell ref="K109:K110"/>
    <mergeCell ref="A94:B94"/>
    <mergeCell ref="C107:G107"/>
    <mergeCell ref="H107:K107"/>
    <mergeCell ref="A93:B93"/>
    <mergeCell ref="A95:B95"/>
    <mergeCell ref="A59:B62"/>
    <mergeCell ref="A63:B63"/>
    <mergeCell ref="A64:B64"/>
    <mergeCell ref="A91:L91"/>
    <mergeCell ref="H60:H62"/>
    <mergeCell ref="I61:I62"/>
    <mergeCell ref="J61:J62"/>
    <mergeCell ref="K61:K62"/>
    <mergeCell ref="C60:C62"/>
    <mergeCell ref="D60:D62"/>
    <mergeCell ref="E60:E62"/>
    <mergeCell ref="A90:B90"/>
    <mergeCell ref="A101:B101"/>
    <mergeCell ref="A104:B104"/>
    <mergeCell ref="A89:B89"/>
    <mergeCell ref="A102:B102"/>
    <mergeCell ref="A103:B103"/>
    <mergeCell ref="C59:G59"/>
    <mergeCell ref="F60:G60"/>
    <mergeCell ref="F61:F62"/>
    <mergeCell ref="G61:G62"/>
    <mergeCell ref="J1:L1"/>
    <mergeCell ref="A3:L3"/>
    <mergeCell ref="A5:L5"/>
    <mergeCell ref="H6:K6"/>
    <mergeCell ref="I7:K7"/>
    <mergeCell ref="D7:D9"/>
    <mergeCell ref="E7:E9"/>
    <mergeCell ref="F7:G7"/>
    <mergeCell ref="F8:F9"/>
    <mergeCell ref="G8:G9"/>
    <mergeCell ref="L59:L62"/>
    <mergeCell ref="I60:K60"/>
    <mergeCell ref="A58:L58"/>
    <mergeCell ref="J8:J9"/>
    <mergeCell ref="K8:K9"/>
    <mergeCell ref="L6:L9"/>
    <mergeCell ref="H7:H9"/>
    <mergeCell ref="I8:I9"/>
    <mergeCell ref="C6:G6"/>
    <mergeCell ref="C7:C9"/>
    <mergeCell ref="A51:B51"/>
    <mergeCell ref="A52:B52"/>
    <mergeCell ref="A6:B9"/>
    <mergeCell ref="A10:B10"/>
    <mergeCell ref="A11:B11"/>
    <mergeCell ref="A14:B14"/>
    <mergeCell ref="A28:B28"/>
    <mergeCell ref="A48:B48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4" firstPageNumber="291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56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Z537"/>
  <sheetViews>
    <sheetView showGridLines="0" view="pageBreakPreview" zoomScaleNormal="100" zoomScaleSheetLayoutView="100" workbookViewId="0">
      <selection activeCell="O6" sqref="O6"/>
    </sheetView>
  </sheetViews>
  <sheetFormatPr defaultRowHeight="11.25" x14ac:dyDescent="0.2"/>
  <cols>
    <col min="1" max="1" width="2.85546875" style="1580" customWidth="1"/>
    <col min="2" max="2" width="52.28515625" style="1581" customWidth="1"/>
    <col min="3" max="3" width="11" style="1581" customWidth="1"/>
    <col min="4" max="4" width="12.7109375" style="1581" customWidth="1"/>
    <col min="5" max="5" width="11.85546875" style="1581" hidden="1" customWidth="1"/>
    <col min="6" max="6" width="13.28515625" style="1581" hidden="1" customWidth="1"/>
    <col min="7" max="7" width="12.42578125" style="1581" customWidth="1"/>
    <col min="8" max="8" width="12.7109375" style="1581" customWidth="1"/>
    <col min="9" max="9" width="12.28515625" style="1581" customWidth="1"/>
    <col min="10" max="10" width="11.28515625" style="1794" customWidth="1"/>
    <col min="11" max="11" width="11.28515625" style="1585" customWidth="1"/>
    <col min="12" max="12" width="10.7109375" style="1585" customWidth="1"/>
    <col min="13" max="13" width="12" style="1585" customWidth="1"/>
    <col min="14" max="14" width="13.5703125" style="1583" customWidth="1"/>
    <col min="15" max="16384" width="9.140625" style="1581"/>
  </cols>
  <sheetData>
    <row r="1" spans="1:104" ht="24.75" customHeight="1" x14ac:dyDescent="0.3">
      <c r="I1" s="43"/>
      <c r="J1" s="43"/>
      <c r="K1" s="3038" t="s">
        <v>379</v>
      </c>
      <c r="L1" s="3038"/>
    </row>
    <row r="2" spans="1:104" ht="15" customHeight="1" x14ac:dyDescent="0.2">
      <c r="I2" s="1079"/>
      <c r="J2" s="1581"/>
      <c r="K2" s="1581"/>
      <c r="L2" s="1581"/>
      <c r="M2" s="1581"/>
      <c r="N2" s="1078"/>
    </row>
    <row r="3" spans="1:104" ht="5.25" customHeight="1" thickBot="1" x14ac:dyDescent="0.25">
      <c r="I3" s="1079"/>
      <c r="J3" s="1581"/>
      <c r="K3" s="1581"/>
      <c r="L3" s="1581"/>
      <c r="M3" s="1581"/>
      <c r="N3" s="1078"/>
    </row>
    <row r="4" spans="1:104" ht="9" customHeight="1" x14ac:dyDescent="0.2">
      <c r="A4" s="1777"/>
      <c r="B4" s="1778"/>
      <c r="C4" s="1778"/>
      <c r="D4" s="1778"/>
      <c r="E4" s="1778"/>
      <c r="F4" s="1778"/>
      <c r="G4" s="1778"/>
      <c r="H4" s="1778"/>
      <c r="I4" s="2628"/>
      <c r="J4" s="1778"/>
      <c r="K4" s="1778"/>
      <c r="L4" s="1778"/>
      <c r="M4" s="1778"/>
      <c r="N4" s="2629"/>
    </row>
    <row r="5" spans="1:104" s="1712" customFormat="1" ht="51" customHeight="1" thickBot="1" x14ac:dyDescent="0.25">
      <c r="A5" s="3783" t="s">
        <v>304</v>
      </c>
      <c r="B5" s="3784"/>
      <c r="C5" s="3784"/>
      <c r="D5" s="3784"/>
      <c r="E5" s="3784"/>
      <c r="F5" s="3784"/>
      <c r="G5" s="3784"/>
      <c r="H5" s="3784"/>
      <c r="I5" s="3785"/>
      <c r="J5" s="3785"/>
      <c r="K5" s="3785"/>
      <c r="L5" s="3785"/>
      <c r="M5" s="3785"/>
      <c r="N5" s="3786"/>
      <c r="O5" s="1711"/>
      <c r="P5" s="1711"/>
      <c r="Q5" s="1711"/>
      <c r="R5" s="1711"/>
      <c r="S5" s="1711"/>
      <c r="T5" s="1711"/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1711"/>
      <c r="AL5" s="1711"/>
      <c r="AM5" s="1711"/>
      <c r="AN5" s="1711"/>
      <c r="AO5" s="1711"/>
      <c r="AP5" s="1711"/>
      <c r="AQ5" s="1711"/>
      <c r="AR5" s="1711"/>
      <c r="AS5" s="1711"/>
      <c r="AT5" s="1711"/>
      <c r="AU5" s="1711"/>
      <c r="AV5" s="1711"/>
      <c r="AW5" s="1711"/>
      <c r="AX5" s="1711"/>
      <c r="AY5" s="1711"/>
      <c r="AZ5" s="1711"/>
      <c r="BA5" s="1711"/>
      <c r="BB5" s="1711"/>
      <c r="BC5" s="1711"/>
      <c r="BD5" s="1711"/>
      <c r="BE5" s="1711"/>
      <c r="BF5" s="1711"/>
      <c r="BG5" s="1711"/>
      <c r="BH5" s="1711"/>
      <c r="BI5" s="1711"/>
      <c r="BJ5" s="1711"/>
      <c r="BK5" s="1711"/>
      <c r="BL5" s="1711"/>
      <c r="BM5" s="1711"/>
      <c r="BN5" s="1711"/>
      <c r="BO5" s="1711"/>
      <c r="BP5" s="1711"/>
      <c r="BQ5" s="1711"/>
      <c r="BR5" s="1711"/>
      <c r="BS5" s="1711"/>
      <c r="BT5" s="1711"/>
      <c r="BU5" s="1711"/>
      <c r="BV5" s="1711"/>
      <c r="BW5" s="1711"/>
      <c r="BX5" s="1711"/>
      <c r="BY5" s="1711"/>
      <c r="BZ5" s="1711"/>
      <c r="CA5" s="1711"/>
      <c r="CB5" s="1711"/>
      <c r="CC5" s="1711"/>
      <c r="CD5" s="1711"/>
      <c r="CE5" s="1711"/>
      <c r="CF5" s="1711"/>
      <c r="CG5" s="1711"/>
      <c r="CH5" s="1711"/>
      <c r="CI5" s="1711"/>
      <c r="CJ5" s="1711"/>
      <c r="CK5" s="1711"/>
      <c r="CL5" s="1711"/>
      <c r="CM5" s="1711"/>
      <c r="CN5" s="1711"/>
      <c r="CO5" s="1711"/>
      <c r="CP5" s="1711"/>
      <c r="CQ5" s="1711"/>
      <c r="CR5" s="1711"/>
      <c r="CS5" s="1711"/>
      <c r="CT5" s="1711"/>
      <c r="CU5" s="1711"/>
      <c r="CV5" s="1711"/>
      <c r="CW5" s="1711"/>
      <c r="CX5" s="1711"/>
      <c r="CY5" s="1711"/>
      <c r="CZ5" s="1711"/>
    </row>
    <row r="6" spans="1:104" s="20" customFormat="1" ht="41.25" customHeight="1" x14ac:dyDescent="0.2">
      <c r="A6" s="3743" t="s">
        <v>24</v>
      </c>
      <c r="B6" s="3746" t="s">
        <v>25</v>
      </c>
      <c r="C6" s="3406" t="s">
        <v>26</v>
      </c>
      <c r="D6" s="3010" t="s">
        <v>317</v>
      </c>
      <c r="E6" s="3011"/>
      <c r="F6" s="3011"/>
      <c r="G6" s="3011"/>
      <c r="H6" s="3012"/>
      <c r="I6" s="3010" t="s">
        <v>314</v>
      </c>
      <c r="J6" s="3011"/>
      <c r="K6" s="3011"/>
      <c r="L6" s="3011"/>
      <c r="M6" s="3011"/>
      <c r="N6" s="3317" t="s">
        <v>27</v>
      </c>
    </row>
    <row r="7" spans="1:104" s="20" customFormat="1" ht="28.5" customHeight="1" x14ac:dyDescent="0.2">
      <c r="A7" s="3744"/>
      <c r="B7" s="3747"/>
      <c r="C7" s="3407"/>
      <c r="D7" s="3013" t="s">
        <v>0</v>
      </c>
      <c r="E7" s="3042" t="s">
        <v>163</v>
      </c>
      <c r="F7" s="3045" t="s">
        <v>286</v>
      </c>
      <c r="G7" s="3032" t="s">
        <v>260</v>
      </c>
      <c r="H7" s="3033"/>
      <c r="I7" s="3005" t="s">
        <v>311</v>
      </c>
      <c r="J7" s="3282" t="s">
        <v>309</v>
      </c>
      <c r="K7" s="3040" t="s">
        <v>313</v>
      </c>
      <c r="L7" s="3041"/>
      <c r="M7" s="3041"/>
      <c r="N7" s="3318"/>
    </row>
    <row r="8" spans="1:104" s="20" customFormat="1" ht="48.75" customHeight="1" x14ac:dyDescent="0.2">
      <c r="A8" s="3787"/>
      <c r="B8" s="3789"/>
      <c r="C8" s="3199"/>
      <c r="D8" s="3014"/>
      <c r="E8" s="3043"/>
      <c r="F8" s="3046"/>
      <c r="G8" s="3034" t="s">
        <v>318</v>
      </c>
      <c r="H8" s="3036" t="s">
        <v>221</v>
      </c>
      <c r="I8" s="3006"/>
      <c r="J8" s="3283"/>
      <c r="K8" s="2998" t="s">
        <v>312</v>
      </c>
      <c r="L8" s="3230" t="s">
        <v>310</v>
      </c>
      <c r="M8" s="3232" t="s">
        <v>315</v>
      </c>
      <c r="N8" s="3318"/>
    </row>
    <row r="9" spans="1:104" s="20" customFormat="1" ht="54" customHeight="1" thickBot="1" x14ac:dyDescent="0.25">
      <c r="A9" s="3788"/>
      <c r="B9" s="3790"/>
      <c r="C9" s="3139"/>
      <c r="D9" s="3234"/>
      <c r="E9" s="3235"/>
      <c r="F9" s="3236"/>
      <c r="G9" s="3237"/>
      <c r="H9" s="3238"/>
      <c r="I9" s="3336"/>
      <c r="J9" s="3284"/>
      <c r="K9" s="3229"/>
      <c r="L9" s="3231"/>
      <c r="M9" s="3233"/>
      <c r="N9" s="3319"/>
    </row>
    <row r="10" spans="1:104" s="20" customFormat="1" ht="13.5" customHeight="1" thickBot="1" x14ac:dyDescent="0.25">
      <c r="A10" s="3708">
        <v>1</v>
      </c>
      <c r="B10" s="3709"/>
      <c r="C10" s="2630">
        <v>2</v>
      </c>
      <c r="D10" s="1589">
        <v>3</v>
      </c>
      <c r="E10" s="1590">
        <v>4</v>
      </c>
      <c r="F10" s="1590">
        <v>5</v>
      </c>
      <c r="G10" s="1590">
        <v>4</v>
      </c>
      <c r="H10" s="1591">
        <v>5</v>
      </c>
      <c r="I10" s="1589">
        <v>6</v>
      </c>
      <c r="J10" s="1801">
        <v>7</v>
      </c>
      <c r="K10" s="1801">
        <v>8</v>
      </c>
      <c r="L10" s="1802">
        <v>9</v>
      </c>
      <c r="M10" s="1802">
        <v>10</v>
      </c>
      <c r="N10" s="1593">
        <v>11</v>
      </c>
    </row>
    <row r="11" spans="1:104" s="1670" customFormat="1" ht="19.5" customHeight="1" thickBot="1" x14ac:dyDescent="0.25">
      <c r="A11" s="2631"/>
      <c r="B11" s="2632" t="s">
        <v>164</v>
      </c>
      <c r="C11" s="268"/>
      <c r="D11" s="50">
        <f t="shared" ref="D11:I11" si="0">D12+D13</f>
        <v>2659787</v>
      </c>
      <c r="E11" s="51">
        <f t="shared" si="0"/>
        <v>7150</v>
      </c>
      <c r="F11" s="51">
        <f t="shared" si="0"/>
        <v>166570</v>
      </c>
      <c r="G11" s="51">
        <f>G12+G13</f>
        <v>313029</v>
      </c>
      <c r="H11" s="55">
        <f t="shared" si="0"/>
        <v>2173038</v>
      </c>
      <c r="I11" s="50">
        <f t="shared" si="0"/>
        <v>478486</v>
      </c>
      <c r="J11" s="2259">
        <f>I11/D11*100</f>
        <v>17.98963601220699</v>
      </c>
      <c r="K11" s="51">
        <f>K12+K13</f>
        <v>304765</v>
      </c>
      <c r="L11" s="2259">
        <f>K11/G11*100</f>
        <v>97.35998901060286</v>
      </c>
      <c r="M11" s="2633">
        <f>M12+M13</f>
        <v>-8264</v>
      </c>
      <c r="N11" s="2634"/>
    </row>
    <row r="12" spans="1:104" s="20" customFormat="1" ht="17.25" customHeight="1" thickTop="1" x14ac:dyDescent="0.2">
      <c r="A12" s="2635"/>
      <c r="B12" s="2636" t="s">
        <v>165</v>
      </c>
      <c r="C12" s="2603"/>
      <c r="D12" s="2637">
        <f>D23+D32</f>
        <v>2561787</v>
      </c>
      <c r="E12" s="2637">
        <f t="shared" ref="E12:K12" si="1">E23+E32</f>
        <v>7150</v>
      </c>
      <c r="F12" s="2637">
        <f t="shared" si="1"/>
        <v>166570</v>
      </c>
      <c r="G12" s="1700">
        <f t="shared" si="1"/>
        <v>313029</v>
      </c>
      <c r="H12" s="2638">
        <f t="shared" si="1"/>
        <v>2075038</v>
      </c>
      <c r="I12" s="2637">
        <f t="shared" si="1"/>
        <v>478486</v>
      </c>
      <c r="J12" s="2639">
        <f>I12/D12*100</f>
        <v>18.677821380153777</v>
      </c>
      <c r="K12" s="1700">
        <f t="shared" si="1"/>
        <v>304765</v>
      </c>
      <c r="L12" s="2262">
        <f>K12/G12*100</f>
        <v>97.35998901060286</v>
      </c>
      <c r="M12" s="2640">
        <f>M23</f>
        <v>-8264</v>
      </c>
      <c r="N12" s="2641"/>
    </row>
    <row r="13" spans="1:104" s="20" customFormat="1" ht="15.75" customHeight="1" x14ac:dyDescent="0.2">
      <c r="A13" s="2642"/>
      <c r="B13" s="2643" t="s">
        <v>166</v>
      </c>
      <c r="C13" s="288"/>
      <c r="D13" s="2644">
        <f>D41</f>
        <v>98000</v>
      </c>
      <c r="E13" s="2644">
        <f t="shared" ref="E13:H13" si="2">E41</f>
        <v>0</v>
      </c>
      <c r="F13" s="2644">
        <f t="shared" si="2"/>
        <v>0</v>
      </c>
      <c r="G13" s="1606">
        <f t="shared" si="2"/>
        <v>0</v>
      </c>
      <c r="H13" s="2645">
        <f t="shared" si="2"/>
        <v>98000</v>
      </c>
      <c r="I13" s="2644">
        <f>I41</f>
        <v>0</v>
      </c>
      <c r="J13" s="2646">
        <v>0</v>
      </c>
      <c r="K13" s="1606">
        <f>K41</f>
        <v>0</v>
      </c>
      <c r="L13" s="2647">
        <v>0</v>
      </c>
      <c r="M13" s="2648">
        <f>M41</f>
        <v>0</v>
      </c>
      <c r="N13" s="2649"/>
    </row>
    <row r="14" spans="1:104" ht="18.75" customHeight="1" x14ac:dyDescent="0.2">
      <c r="A14" s="3791"/>
      <c r="B14" s="2650" t="s">
        <v>2</v>
      </c>
      <c r="C14" s="1658"/>
      <c r="D14" s="2651">
        <f t="shared" ref="D14:K14" si="3">D15+D17</f>
        <v>2659787</v>
      </c>
      <c r="E14" s="2652">
        <f t="shared" si="3"/>
        <v>7150</v>
      </c>
      <c r="F14" s="2652">
        <f t="shared" si="3"/>
        <v>166570</v>
      </c>
      <c r="G14" s="2652">
        <f t="shared" si="3"/>
        <v>313029</v>
      </c>
      <c r="H14" s="2653">
        <f t="shared" si="3"/>
        <v>2173038</v>
      </c>
      <c r="I14" s="2654">
        <f t="shared" si="3"/>
        <v>478486</v>
      </c>
      <c r="J14" s="2655">
        <f>I14/D14*100</f>
        <v>17.98963601220699</v>
      </c>
      <c r="K14" s="2656">
        <f t="shared" si="3"/>
        <v>304766</v>
      </c>
      <c r="L14" s="2655">
        <f>K14/G14*100</f>
        <v>97.360308469822286</v>
      </c>
      <c r="M14" s="2652">
        <f t="shared" ref="M14:M21" si="4">+K14-G14</f>
        <v>-8263</v>
      </c>
      <c r="N14" s="3739" t="s">
        <v>78</v>
      </c>
    </row>
    <row r="15" spans="1:104" ht="15" customHeight="1" x14ac:dyDescent="0.2">
      <c r="A15" s="3286"/>
      <c r="B15" s="2657" t="s">
        <v>17</v>
      </c>
      <c r="C15" s="3741" t="s">
        <v>78</v>
      </c>
      <c r="D15" s="2658">
        <f t="shared" ref="D15:K15" si="5">D16</f>
        <v>398968</v>
      </c>
      <c r="E15" s="2659">
        <f t="shared" si="5"/>
        <v>1073</v>
      </c>
      <c r="F15" s="2659">
        <f t="shared" si="5"/>
        <v>24986</v>
      </c>
      <c r="G15" s="2659">
        <f t="shared" si="5"/>
        <v>46954</v>
      </c>
      <c r="H15" s="2660">
        <f t="shared" si="5"/>
        <v>325955</v>
      </c>
      <c r="I15" s="2661">
        <f t="shared" si="5"/>
        <v>71774</v>
      </c>
      <c r="J15" s="2662">
        <f t="shared" ref="J15:J21" si="6">I15/D15*100</f>
        <v>17.989913978063406</v>
      </c>
      <c r="K15" s="2663">
        <f t="shared" si="5"/>
        <v>45715</v>
      </c>
      <c r="L15" s="2662">
        <f t="shared" ref="L15:L21" si="7">K15/G15*100</f>
        <v>97.361247178089201</v>
      </c>
      <c r="M15" s="2659">
        <f t="shared" si="4"/>
        <v>-1239</v>
      </c>
      <c r="N15" s="3739"/>
    </row>
    <row r="16" spans="1:104" ht="15" customHeight="1" x14ac:dyDescent="0.2">
      <c r="A16" s="3286"/>
      <c r="B16" s="2664" t="s">
        <v>4</v>
      </c>
      <c r="C16" s="3742"/>
      <c r="D16" s="2665">
        <f>D25+D34+D43</f>
        <v>398968</v>
      </c>
      <c r="E16" s="1103">
        <f t="shared" ref="E16:I16" si="8">E25+E34+E43</f>
        <v>1073</v>
      </c>
      <c r="F16" s="1103">
        <f t="shared" si="8"/>
        <v>24986</v>
      </c>
      <c r="G16" s="1103">
        <f t="shared" si="8"/>
        <v>46954</v>
      </c>
      <c r="H16" s="2666">
        <f t="shared" si="8"/>
        <v>325955</v>
      </c>
      <c r="I16" s="2289">
        <f t="shared" si="8"/>
        <v>71774</v>
      </c>
      <c r="J16" s="2667">
        <f t="shared" si="6"/>
        <v>17.989913978063406</v>
      </c>
      <c r="K16" s="1097">
        <f>K25+K34+K43</f>
        <v>45715</v>
      </c>
      <c r="L16" s="2667">
        <f t="shared" si="7"/>
        <v>97.361247178089201</v>
      </c>
      <c r="M16" s="1098">
        <f t="shared" si="4"/>
        <v>-1239</v>
      </c>
      <c r="N16" s="3739"/>
    </row>
    <row r="17" spans="1:14" ht="14.25" customHeight="1" x14ac:dyDescent="0.2">
      <c r="A17" s="3286"/>
      <c r="B17" s="2668" t="s">
        <v>12</v>
      </c>
      <c r="C17" s="3742"/>
      <c r="D17" s="2669">
        <f t="shared" ref="D17:K17" si="9">D18</f>
        <v>2260819</v>
      </c>
      <c r="E17" s="2670">
        <f t="shared" si="9"/>
        <v>6077</v>
      </c>
      <c r="F17" s="2670">
        <f t="shared" si="9"/>
        <v>141584</v>
      </c>
      <c r="G17" s="2670">
        <f t="shared" si="9"/>
        <v>266075</v>
      </c>
      <c r="H17" s="2671">
        <f t="shared" si="9"/>
        <v>1847083</v>
      </c>
      <c r="I17" s="2672">
        <f t="shared" si="9"/>
        <v>406712</v>
      </c>
      <c r="J17" s="2673">
        <f t="shared" si="6"/>
        <v>17.989586959416034</v>
      </c>
      <c r="K17" s="2674">
        <f t="shared" si="9"/>
        <v>259051</v>
      </c>
      <c r="L17" s="2673">
        <f t="shared" si="7"/>
        <v>97.360142816874941</v>
      </c>
      <c r="M17" s="2670">
        <f t="shared" si="4"/>
        <v>-7024</v>
      </c>
      <c r="N17" s="3739"/>
    </row>
    <row r="18" spans="1:14" ht="13.5" customHeight="1" x14ac:dyDescent="0.2">
      <c r="A18" s="3286"/>
      <c r="B18" s="2675" t="s">
        <v>14</v>
      </c>
      <c r="C18" s="3771"/>
      <c r="D18" s="2665">
        <f>D27+D36+D45</f>
        <v>2260819</v>
      </c>
      <c r="E18" s="1103">
        <f t="shared" ref="E18:I18" si="10">E27+E36+E45</f>
        <v>6077</v>
      </c>
      <c r="F18" s="1103">
        <f t="shared" si="10"/>
        <v>141584</v>
      </c>
      <c r="G18" s="1103">
        <f t="shared" si="10"/>
        <v>266075</v>
      </c>
      <c r="H18" s="2666">
        <f t="shared" si="10"/>
        <v>1847083</v>
      </c>
      <c r="I18" s="2289">
        <f t="shared" si="10"/>
        <v>406712</v>
      </c>
      <c r="J18" s="2676">
        <f t="shared" si="6"/>
        <v>17.989586959416034</v>
      </c>
      <c r="K18" s="1111">
        <f>K27+K36+K45</f>
        <v>259051</v>
      </c>
      <c r="L18" s="2677">
        <f t="shared" si="7"/>
        <v>97.360142816874941</v>
      </c>
      <c r="M18" s="1103">
        <f t="shared" si="4"/>
        <v>-7024</v>
      </c>
      <c r="N18" s="3739"/>
    </row>
    <row r="19" spans="1:14" ht="16.5" customHeight="1" x14ac:dyDescent="0.2">
      <c r="A19" s="3286"/>
      <c r="B19" s="912" t="s">
        <v>16</v>
      </c>
      <c r="C19" s="27"/>
      <c r="D19" s="2651">
        <f t="shared" ref="D19:K20" si="11">D20</f>
        <v>2260819</v>
      </c>
      <c r="E19" s="2652">
        <f t="shared" si="11"/>
        <v>0</v>
      </c>
      <c r="F19" s="2652">
        <f t="shared" si="11"/>
        <v>0</v>
      </c>
      <c r="G19" s="2652">
        <f t="shared" si="11"/>
        <v>725535</v>
      </c>
      <c r="H19" s="2653">
        <f t="shared" si="11"/>
        <v>1535284</v>
      </c>
      <c r="I19" s="1057">
        <f t="shared" si="11"/>
        <v>706765</v>
      </c>
      <c r="J19" s="2655">
        <f>I19/D19*100</f>
        <v>31.261458789934089</v>
      </c>
      <c r="K19" s="2678">
        <f t="shared" si="11"/>
        <v>706765</v>
      </c>
      <c r="L19" s="2655">
        <f>K19/G19*100</f>
        <v>97.412943551999547</v>
      </c>
      <c r="M19" s="2652">
        <f t="shared" si="4"/>
        <v>-18770</v>
      </c>
      <c r="N19" s="3739"/>
    </row>
    <row r="20" spans="1:14" ht="15" customHeight="1" x14ac:dyDescent="0.2">
      <c r="A20" s="3286"/>
      <c r="B20" s="2679" t="s">
        <v>12</v>
      </c>
      <c r="C20" s="3772" t="s">
        <v>78</v>
      </c>
      <c r="D20" s="2680">
        <f t="shared" si="11"/>
        <v>2260819</v>
      </c>
      <c r="E20" s="2681">
        <f t="shared" si="11"/>
        <v>0</v>
      </c>
      <c r="F20" s="2681">
        <f t="shared" si="11"/>
        <v>0</v>
      </c>
      <c r="G20" s="2681">
        <f t="shared" si="11"/>
        <v>725535</v>
      </c>
      <c r="H20" s="2682">
        <f t="shared" si="11"/>
        <v>1535284</v>
      </c>
      <c r="I20" s="2672">
        <f t="shared" si="11"/>
        <v>706765</v>
      </c>
      <c r="J20" s="2662">
        <f t="shared" si="6"/>
        <v>31.261458789934089</v>
      </c>
      <c r="K20" s="2683">
        <f t="shared" si="11"/>
        <v>706765</v>
      </c>
      <c r="L20" s="2662">
        <f t="shared" si="7"/>
        <v>97.412943551999547</v>
      </c>
      <c r="M20" s="2681">
        <f t="shared" si="4"/>
        <v>-18770</v>
      </c>
      <c r="N20" s="3739"/>
    </row>
    <row r="21" spans="1:14" ht="15" customHeight="1" thickBot="1" x14ac:dyDescent="0.25">
      <c r="A21" s="3287"/>
      <c r="B21" s="2675" t="s">
        <v>14</v>
      </c>
      <c r="C21" s="3795"/>
      <c r="D21" s="1113">
        <f>D30+D39+D48</f>
        <v>2260819</v>
      </c>
      <c r="E21" s="2684">
        <f t="shared" ref="E21:I21" si="12">E30+E39+E48</f>
        <v>0</v>
      </c>
      <c r="F21" s="2684">
        <f t="shared" si="12"/>
        <v>0</v>
      </c>
      <c r="G21" s="2684">
        <f t="shared" si="12"/>
        <v>725535</v>
      </c>
      <c r="H21" s="2685">
        <f t="shared" si="12"/>
        <v>1535284</v>
      </c>
      <c r="I21" s="2686">
        <f t="shared" si="12"/>
        <v>706765</v>
      </c>
      <c r="J21" s="2667">
        <f t="shared" si="6"/>
        <v>31.261458789934089</v>
      </c>
      <c r="K21" s="1111">
        <f>K30+K39+K48</f>
        <v>706765</v>
      </c>
      <c r="L21" s="2667">
        <f t="shared" si="7"/>
        <v>97.412943551999547</v>
      </c>
      <c r="M21" s="1117">
        <f t="shared" si="4"/>
        <v>-18770</v>
      </c>
      <c r="N21" s="3740"/>
    </row>
    <row r="22" spans="1:14" ht="45" customHeight="1" x14ac:dyDescent="0.2">
      <c r="A22" s="3728" t="s">
        <v>32</v>
      </c>
      <c r="B22" s="2687" t="s">
        <v>288</v>
      </c>
      <c r="C22" s="2688" t="s">
        <v>173</v>
      </c>
      <c r="D22" s="2689"/>
      <c r="E22" s="2690"/>
      <c r="F22" s="2690"/>
      <c r="G22" s="2690"/>
      <c r="H22" s="2691"/>
      <c r="I22" s="2689"/>
      <c r="J22" s="1647"/>
      <c r="K22" s="2692"/>
      <c r="L22" s="1647"/>
      <c r="M22" s="2693"/>
      <c r="N22" s="3725" t="s">
        <v>287</v>
      </c>
    </row>
    <row r="23" spans="1:14" ht="14.25" customHeight="1" x14ac:dyDescent="0.2">
      <c r="A23" s="3757"/>
      <c r="B23" s="2694" t="s">
        <v>2</v>
      </c>
      <c r="C23" s="27"/>
      <c r="D23" s="415">
        <f t="shared" ref="D23:I23" si="13">+D24+D26</f>
        <v>941987</v>
      </c>
      <c r="E23" s="416">
        <f>+E24+E26</f>
        <v>7150</v>
      </c>
      <c r="F23" s="416">
        <f t="shared" si="13"/>
        <v>166570</v>
      </c>
      <c r="G23" s="416">
        <f t="shared" si="13"/>
        <v>313029</v>
      </c>
      <c r="H23" s="417">
        <f t="shared" si="13"/>
        <v>455238</v>
      </c>
      <c r="I23" s="415">
        <f t="shared" si="13"/>
        <v>478486</v>
      </c>
      <c r="J23" s="2695">
        <f>I23/D23*100</f>
        <v>50.795393142368205</v>
      </c>
      <c r="K23" s="416">
        <f>K24+K26-1</f>
        <v>304765</v>
      </c>
      <c r="L23" s="2695">
        <f>K23/G23*100</f>
        <v>97.35998901060286</v>
      </c>
      <c r="M23" s="418">
        <f t="shared" ref="M23:M30" si="14">+K23-G23</f>
        <v>-8264</v>
      </c>
      <c r="N23" s="3726"/>
    </row>
    <row r="24" spans="1:14" ht="14.25" customHeight="1" x14ac:dyDescent="0.2">
      <c r="A24" s="3757"/>
      <c r="B24" s="2696" t="s">
        <v>17</v>
      </c>
      <c r="C24" s="3086" t="s">
        <v>203</v>
      </c>
      <c r="D24" s="558">
        <f t="shared" ref="D24:I24" si="15">+D25</f>
        <v>141298</v>
      </c>
      <c r="E24" s="559">
        <f t="shared" si="15"/>
        <v>1073</v>
      </c>
      <c r="F24" s="560">
        <f t="shared" si="15"/>
        <v>24986</v>
      </c>
      <c r="G24" s="559">
        <f t="shared" si="15"/>
        <v>46954</v>
      </c>
      <c r="H24" s="753">
        <f t="shared" si="15"/>
        <v>68285</v>
      </c>
      <c r="I24" s="558">
        <f t="shared" si="15"/>
        <v>71774</v>
      </c>
      <c r="J24" s="1650">
        <f t="shared" ref="J24:J30" si="16">I24/D24*100</f>
        <v>50.796189613441101</v>
      </c>
      <c r="K24" s="1651">
        <f>K25</f>
        <v>45715</v>
      </c>
      <c r="L24" s="1650">
        <f t="shared" ref="L24:L30" si="17">K24/G24*100</f>
        <v>97.361247178089201</v>
      </c>
      <c r="M24" s="1025">
        <f t="shared" si="14"/>
        <v>-1239</v>
      </c>
      <c r="N24" s="3726"/>
    </row>
    <row r="25" spans="1:14" ht="13.5" customHeight="1" x14ac:dyDescent="0.2">
      <c r="A25" s="3757"/>
      <c r="B25" s="845" t="s">
        <v>4</v>
      </c>
      <c r="C25" s="3087"/>
      <c r="D25" s="461">
        <f>+E25+F25+G25+H25</f>
        <v>141298</v>
      </c>
      <c r="E25" s="463">
        <v>1073</v>
      </c>
      <c r="F25" s="463">
        <v>24986</v>
      </c>
      <c r="G25" s="463">
        <v>46954</v>
      </c>
      <c r="H25" s="1066">
        <v>68285</v>
      </c>
      <c r="I25" s="1422">
        <f>K25+E25+F25</f>
        <v>71774</v>
      </c>
      <c r="J25" s="465">
        <f t="shared" si="16"/>
        <v>50.796189613441101</v>
      </c>
      <c r="K25" s="463">
        <v>45715</v>
      </c>
      <c r="L25" s="465">
        <f t="shared" si="17"/>
        <v>97.361247178089201</v>
      </c>
      <c r="M25" s="2697">
        <f t="shared" si="14"/>
        <v>-1239</v>
      </c>
      <c r="N25" s="3726"/>
    </row>
    <row r="26" spans="1:14" ht="14.25" customHeight="1" x14ac:dyDescent="0.2">
      <c r="A26" s="3757"/>
      <c r="B26" s="2698" t="s">
        <v>12</v>
      </c>
      <c r="C26" s="3087"/>
      <c r="D26" s="474">
        <f t="shared" ref="D26:I26" si="18">+D27</f>
        <v>800689</v>
      </c>
      <c r="E26" s="520">
        <f t="shared" si="18"/>
        <v>6077</v>
      </c>
      <c r="F26" s="916">
        <f t="shared" si="18"/>
        <v>141584</v>
      </c>
      <c r="G26" s="520">
        <f t="shared" si="18"/>
        <v>266075</v>
      </c>
      <c r="H26" s="590">
        <f t="shared" si="18"/>
        <v>386953</v>
      </c>
      <c r="I26" s="474">
        <f t="shared" si="18"/>
        <v>406712</v>
      </c>
      <c r="J26" s="176">
        <f t="shared" si="16"/>
        <v>50.795252588707974</v>
      </c>
      <c r="K26" s="916">
        <f>K27</f>
        <v>259051</v>
      </c>
      <c r="L26" s="176">
        <f t="shared" si="17"/>
        <v>97.360142816874941</v>
      </c>
      <c r="M26" s="1172">
        <f t="shared" si="14"/>
        <v>-7024</v>
      </c>
      <c r="N26" s="3726"/>
    </row>
    <row r="27" spans="1:14" ht="13.5" customHeight="1" x14ac:dyDescent="0.2">
      <c r="A27" s="3757"/>
      <c r="B27" s="2699" t="s">
        <v>14</v>
      </c>
      <c r="C27" s="3087"/>
      <c r="D27" s="461">
        <f>+E27+F27+G27+H27</f>
        <v>800689</v>
      </c>
      <c r="E27" s="463">
        <v>6077</v>
      </c>
      <c r="F27" s="463">
        <v>141584</v>
      </c>
      <c r="G27" s="463">
        <v>266075</v>
      </c>
      <c r="H27" s="1066">
        <v>386953</v>
      </c>
      <c r="I27" s="1422">
        <f>K27+E27+F27</f>
        <v>406712</v>
      </c>
      <c r="J27" s="465">
        <f t="shared" si="16"/>
        <v>50.795252588707974</v>
      </c>
      <c r="K27" s="463">
        <v>259051</v>
      </c>
      <c r="L27" s="465">
        <f t="shared" si="17"/>
        <v>97.360142816874941</v>
      </c>
      <c r="M27" s="2697">
        <f t="shared" si="14"/>
        <v>-7024</v>
      </c>
      <c r="N27" s="3726"/>
    </row>
    <row r="28" spans="1:14" ht="18.75" customHeight="1" x14ac:dyDescent="0.2">
      <c r="A28" s="3757"/>
      <c r="B28" s="2694" t="s">
        <v>16</v>
      </c>
      <c r="C28" s="27"/>
      <c r="D28" s="415">
        <f>+D29</f>
        <v>800689</v>
      </c>
      <c r="E28" s="593">
        <f t="shared" ref="E28:H29" si="19">+E29</f>
        <v>0</v>
      </c>
      <c r="F28" s="593">
        <f t="shared" si="19"/>
        <v>0</v>
      </c>
      <c r="G28" s="416">
        <f t="shared" si="19"/>
        <v>154605</v>
      </c>
      <c r="H28" s="594">
        <f t="shared" si="19"/>
        <v>646084</v>
      </c>
      <c r="I28" s="415">
        <f>I29</f>
        <v>135835</v>
      </c>
      <c r="J28" s="2695">
        <f t="shared" si="16"/>
        <v>16.964764096921524</v>
      </c>
      <c r="K28" s="416">
        <f>K29</f>
        <v>135835</v>
      </c>
      <c r="L28" s="2695">
        <f t="shared" si="17"/>
        <v>87.85938359044016</v>
      </c>
      <c r="M28" s="418">
        <f t="shared" si="14"/>
        <v>-18770</v>
      </c>
      <c r="N28" s="3726"/>
    </row>
    <row r="29" spans="1:14" ht="12.75" customHeight="1" x14ac:dyDescent="0.2">
      <c r="A29" s="3757"/>
      <c r="B29" s="2698" t="s">
        <v>12</v>
      </c>
      <c r="C29" s="3193" t="s">
        <v>204</v>
      </c>
      <c r="D29" s="474">
        <f>+D30</f>
        <v>800689</v>
      </c>
      <c r="E29" s="477">
        <f t="shared" si="19"/>
        <v>0</v>
      </c>
      <c r="F29" s="477">
        <f t="shared" si="19"/>
        <v>0</v>
      </c>
      <c r="G29" s="475">
        <f t="shared" si="19"/>
        <v>154605</v>
      </c>
      <c r="H29" s="595">
        <f t="shared" si="19"/>
        <v>646084</v>
      </c>
      <c r="I29" s="913">
        <f>I30</f>
        <v>135835</v>
      </c>
      <c r="J29" s="1676">
        <f t="shared" si="16"/>
        <v>16.964764096921524</v>
      </c>
      <c r="K29" s="1651">
        <f>K30</f>
        <v>135835</v>
      </c>
      <c r="L29" s="1676">
        <f t="shared" si="17"/>
        <v>87.85938359044016</v>
      </c>
      <c r="M29" s="2700">
        <f t="shared" si="14"/>
        <v>-18770</v>
      </c>
      <c r="N29" s="3726"/>
    </row>
    <row r="30" spans="1:14" ht="15.75" customHeight="1" thickBot="1" x14ac:dyDescent="0.25">
      <c r="A30" s="3758"/>
      <c r="B30" s="2701" t="s">
        <v>14</v>
      </c>
      <c r="C30" s="3090"/>
      <c r="D30" s="500">
        <f>+E30+F30+G30+H30</f>
        <v>800689</v>
      </c>
      <c r="E30" s="526">
        <v>0</v>
      </c>
      <c r="F30" s="526">
        <v>0</v>
      </c>
      <c r="G30" s="502">
        <v>154605</v>
      </c>
      <c r="H30" s="2702">
        <f>266075+380009</f>
        <v>646084</v>
      </c>
      <c r="I30" s="1449">
        <f>K30+E30+F30</f>
        <v>135835</v>
      </c>
      <c r="J30" s="505">
        <f t="shared" si="16"/>
        <v>16.964764096921524</v>
      </c>
      <c r="K30" s="502">
        <f>115486+20349</f>
        <v>135835</v>
      </c>
      <c r="L30" s="505">
        <f t="shared" si="17"/>
        <v>87.85938359044016</v>
      </c>
      <c r="M30" s="2703">
        <f t="shared" si="14"/>
        <v>-18770</v>
      </c>
      <c r="N30" s="3727"/>
    </row>
    <row r="31" spans="1:14" ht="42" customHeight="1" x14ac:dyDescent="0.2">
      <c r="A31" s="3777" t="s">
        <v>35</v>
      </c>
      <c r="B31" s="2704" t="s">
        <v>327</v>
      </c>
      <c r="C31" s="1639" t="s">
        <v>320</v>
      </c>
      <c r="D31" s="2689"/>
      <c r="E31" s="2690"/>
      <c r="F31" s="2690"/>
      <c r="G31" s="2690"/>
      <c r="H31" s="2691"/>
      <c r="I31" s="2689"/>
      <c r="J31" s="1647"/>
      <c r="K31" s="2692"/>
      <c r="L31" s="1647"/>
      <c r="M31" s="2693"/>
      <c r="N31" s="3792" t="s">
        <v>332</v>
      </c>
    </row>
    <row r="32" spans="1:14" ht="15" customHeight="1" x14ac:dyDescent="0.2">
      <c r="A32" s="3778"/>
      <c r="B32" s="2705" t="s">
        <v>2</v>
      </c>
      <c r="C32" s="27"/>
      <c r="D32" s="415">
        <f t="shared" ref="D32" si="20">+D33+D35</f>
        <v>1619800</v>
      </c>
      <c r="E32" s="416">
        <f>+E33+E35</f>
        <v>0</v>
      </c>
      <c r="F32" s="416">
        <f t="shared" ref="F32:I32" si="21">+F33+F35</f>
        <v>0</v>
      </c>
      <c r="G32" s="416">
        <f t="shared" si="21"/>
        <v>0</v>
      </c>
      <c r="H32" s="417">
        <f t="shared" si="21"/>
        <v>1619800</v>
      </c>
      <c r="I32" s="415">
        <f t="shared" si="21"/>
        <v>0</v>
      </c>
      <c r="J32" s="2695">
        <f>I32/D32*100</f>
        <v>0</v>
      </c>
      <c r="K32" s="416">
        <f>K33+K35</f>
        <v>0</v>
      </c>
      <c r="L32" s="416">
        <f>L33+L35</f>
        <v>0</v>
      </c>
      <c r="M32" s="418">
        <f t="shared" ref="M32:M39" si="22">+K32-G32</f>
        <v>0</v>
      </c>
      <c r="N32" s="3793"/>
    </row>
    <row r="33" spans="1:14" ht="15.75" customHeight="1" x14ac:dyDescent="0.2">
      <c r="A33" s="3778"/>
      <c r="B33" s="2706" t="s">
        <v>17</v>
      </c>
      <c r="C33" s="3086" t="s">
        <v>328</v>
      </c>
      <c r="D33" s="558">
        <f t="shared" ref="D33:I33" si="23">+D34</f>
        <v>257670</v>
      </c>
      <c r="E33" s="559">
        <f t="shared" si="23"/>
        <v>0</v>
      </c>
      <c r="F33" s="560">
        <f t="shared" si="23"/>
        <v>0</v>
      </c>
      <c r="G33" s="559">
        <f t="shared" si="23"/>
        <v>0</v>
      </c>
      <c r="H33" s="753">
        <f t="shared" si="23"/>
        <v>257670</v>
      </c>
      <c r="I33" s="558">
        <f t="shared" si="23"/>
        <v>0</v>
      </c>
      <c r="J33" s="1650">
        <f t="shared" ref="J33:J39" si="24">I33/D33*100</f>
        <v>0</v>
      </c>
      <c r="K33" s="1651">
        <f>K34</f>
        <v>0</v>
      </c>
      <c r="L33" s="176">
        <v>0</v>
      </c>
      <c r="M33" s="1025">
        <f t="shared" si="22"/>
        <v>0</v>
      </c>
      <c r="N33" s="3793"/>
    </row>
    <row r="34" spans="1:14" ht="12.75" x14ac:dyDescent="0.2">
      <c r="A34" s="3778"/>
      <c r="B34" s="2707" t="s">
        <v>4</v>
      </c>
      <c r="C34" s="3780"/>
      <c r="D34" s="461">
        <f>+E34+F34+G34+H34</f>
        <v>257670</v>
      </c>
      <c r="E34" s="463"/>
      <c r="F34" s="463"/>
      <c r="G34" s="463">
        <v>0</v>
      </c>
      <c r="H34" s="1066">
        <f>200000+57670</f>
        <v>257670</v>
      </c>
      <c r="I34" s="1422">
        <f>K34+E34+F34</f>
        <v>0</v>
      </c>
      <c r="J34" s="465">
        <f t="shared" si="24"/>
        <v>0</v>
      </c>
      <c r="K34" s="463">
        <v>0</v>
      </c>
      <c r="L34" s="465">
        <v>0</v>
      </c>
      <c r="M34" s="2697">
        <f t="shared" si="22"/>
        <v>0</v>
      </c>
      <c r="N34" s="3793"/>
    </row>
    <row r="35" spans="1:14" ht="15" customHeight="1" x14ac:dyDescent="0.2">
      <c r="A35" s="3778"/>
      <c r="B35" s="2708" t="s">
        <v>12</v>
      </c>
      <c r="C35" s="3780"/>
      <c r="D35" s="474">
        <f t="shared" ref="D35:I35" si="25">+D36</f>
        <v>1362130</v>
      </c>
      <c r="E35" s="520">
        <f t="shared" si="25"/>
        <v>0</v>
      </c>
      <c r="F35" s="916">
        <f t="shared" si="25"/>
        <v>0</v>
      </c>
      <c r="G35" s="520">
        <f t="shared" si="25"/>
        <v>0</v>
      </c>
      <c r="H35" s="590">
        <f t="shared" si="25"/>
        <v>1362130</v>
      </c>
      <c r="I35" s="474">
        <f t="shared" si="25"/>
        <v>0</v>
      </c>
      <c r="J35" s="176">
        <f t="shared" si="24"/>
        <v>0</v>
      </c>
      <c r="K35" s="916">
        <f>K36</f>
        <v>0</v>
      </c>
      <c r="L35" s="176">
        <v>0</v>
      </c>
      <c r="M35" s="1172">
        <f t="shared" si="22"/>
        <v>0</v>
      </c>
      <c r="N35" s="3793"/>
    </row>
    <row r="36" spans="1:14" ht="12.75" x14ac:dyDescent="0.2">
      <c r="A36" s="3778"/>
      <c r="B36" s="2709" t="s">
        <v>14</v>
      </c>
      <c r="C36" s="3780"/>
      <c r="D36" s="461">
        <f>+E36+F36+G36+H36</f>
        <v>1362130</v>
      </c>
      <c r="E36" s="463"/>
      <c r="F36" s="463"/>
      <c r="G36" s="463">
        <v>0</v>
      </c>
      <c r="H36" s="1066">
        <f>1036150+325980</f>
        <v>1362130</v>
      </c>
      <c r="I36" s="1422">
        <f>K36+E36+F36</f>
        <v>0</v>
      </c>
      <c r="J36" s="465">
        <f t="shared" si="24"/>
        <v>0</v>
      </c>
      <c r="K36" s="463">
        <v>0</v>
      </c>
      <c r="L36" s="465">
        <v>0</v>
      </c>
      <c r="M36" s="2697">
        <f t="shared" si="22"/>
        <v>0</v>
      </c>
      <c r="N36" s="3793"/>
    </row>
    <row r="37" spans="1:14" ht="16.5" customHeight="1" x14ac:dyDescent="0.2">
      <c r="A37" s="3778"/>
      <c r="B37" s="2705" t="s">
        <v>16</v>
      </c>
      <c r="C37" s="27"/>
      <c r="D37" s="415">
        <f>+D38</f>
        <v>1362130</v>
      </c>
      <c r="E37" s="593">
        <f t="shared" ref="E37:H38" si="26">+E38</f>
        <v>0</v>
      </c>
      <c r="F37" s="593">
        <f t="shared" si="26"/>
        <v>0</v>
      </c>
      <c r="G37" s="416">
        <f t="shared" si="26"/>
        <v>472930</v>
      </c>
      <c r="H37" s="594">
        <f t="shared" si="26"/>
        <v>889200</v>
      </c>
      <c r="I37" s="415">
        <f>I38</f>
        <v>472930</v>
      </c>
      <c r="J37" s="2695">
        <f t="shared" si="24"/>
        <v>34.719887235432736</v>
      </c>
      <c r="K37" s="416">
        <f>K38</f>
        <v>472930</v>
      </c>
      <c r="L37" s="2695">
        <f t="shared" ref="L37:L39" si="27">K37/G37*100</f>
        <v>100</v>
      </c>
      <c r="M37" s="418">
        <f t="shared" si="22"/>
        <v>0</v>
      </c>
      <c r="N37" s="3793"/>
    </row>
    <row r="38" spans="1:14" ht="15.75" customHeight="1" x14ac:dyDescent="0.2">
      <c r="A38" s="3778"/>
      <c r="B38" s="2708" t="s">
        <v>12</v>
      </c>
      <c r="C38" s="3781" t="s">
        <v>329</v>
      </c>
      <c r="D38" s="474">
        <f>+D39</f>
        <v>1362130</v>
      </c>
      <c r="E38" s="477">
        <f t="shared" si="26"/>
        <v>0</v>
      </c>
      <c r="F38" s="477">
        <f t="shared" si="26"/>
        <v>0</v>
      </c>
      <c r="G38" s="475">
        <f t="shared" si="26"/>
        <v>472930</v>
      </c>
      <c r="H38" s="595">
        <f t="shared" si="26"/>
        <v>889200</v>
      </c>
      <c r="I38" s="558">
        <f>I39</f>
        <v>472930</v>
      </c>
      <c r="J38" s="1650">
        <f t="shared" si="24"/>
        <v>34.719887235432736</v>
      </c>
      <c r="K38" s="1651">
        <f>K39</f>
        <v>472930</v>
      </c>
      <c r="L38" s="1650">
        <f t="shared" si="27"/>
        <v>100</v>
      </c>
      <c r="M38" s="1025">
        <f t="shared" si="22"/>
        <v>0</v>
      </c>
      <c r="N38" s="3793"/>
    </row>
    <row r="39" spans="1:14" ht="13.5" thickBot="1" x14ac:dyDescent="0.25">
      <c r="A39" s="3779"/>
      <c r="B39" s="2710" t="s">
        <v>14</v>
      </c>
      <c r="C39" s="3782"/>
      <c r="D39" s="500">
        <f>+E39+F39+G39+H39</f>
        <v>1362130</v>
      </c>
      <c r="E39" s="526">
        <v>0</v>
      </c>
      <c r="F39" s="526">
        <v>0</v>
      </c>
      <c r="G39" s="502">
        <v>472930</v>
      </c>
      <c r="H39" s="2702">
        <f>563220+325980</f>
        <v>889200</v>
      </c>
      <c r="I39" s="1449">
        <f>K39+E39+F39</f>
        <v>472930</v>
      </c>
      <c r="J39" s="505">
        <f t="shared" si="24"/>
        <v>34.719887235432736</v>
      </c>
      <c r="K39" s="502">
        <v>472930</v>
      </c>
      <c r="L39" s="505">
        <f t="shared" si="27"/>
        <v>100</v>
      </c>
      <c r="M39" s="2703">
        <f t="shared" si="22"/>
        <v>0</v>
      </c>
      <c r="N39" s="3794"/>
    </row>
    <row r="40" spans="1:14" ht="57" customHeight="1" x14ac:dyDescent="0.2">
      <c r="A40" s="3777" t="s">
        <v>40</v>
      </c>
      <c r="B40" s="2704" t="s">
        <v>330</v>
      </c>
      <c r="C40" s="1639" t="s">
        <v>331</v>
      </c>
      <c r="D40" s="2689"/>
      <c r="E40" s="2690"/>
      <c r="F40" s="2690"/>
      <c r="G40" s="2690"/>
      <c r="H40" s="2691"/>
      <c r="I40" s="2689"/>
      <c r="J40" s="1647"/>
      <c r="K40" s="2692"/>
      <c r="L40" s="1647"/>
      <c r="M40" s="2693"/>
      <c r="N40" s="3792" t="s">
        <v>332</v>
      </c>
    </row>
    <row r="41" spans="1:14" ht="15" customHeight="1" x14ac:dyDescent="0.2">
      <c r="A41" s="3778"/>
      <c r="B41" s="2705" t="s">
        <v>2</v>
      </c>
      <c r="C41" s="27"/>
      <c r="D41" s="415">
        <f t="shared" ref="D41" si="28">+D42+D44</f>
        <v>98000</v>
      </c>
      <c r="E41" s="416">
        <f>+E42+E44</f>
        <v>0</v>
      </c>
      <c r="F41" s="416">
        <f t="shared" ref="F41:I41" si="29">+F42+F44</f>
        <v>0</v>
      </c>
      <c r="G41" s="416">
        <f t="shared" si="29"/>
        <v>0</v>
      </c>
      <c r="H41" s="417">
        <f t="shared" si="29"/>
        <v>98000</v>
      </c>
      <c r="I41" s="415">
        <f t="shared" si="29"/>
        <v>0</v>
      </c>
      <c r="J41" s="2695">
        <f>I41/D41*100</f>
        <v>0</v>
      </c>
      <c r="K41" s="416">
        <f>K42+K44</f>
        <v>0</v>
      </c>
      <c r="L41" s="416">
        <f>L42+L44</f>
        <v>0</v>
      </c>
      <c r="M41" s="418">
        <f t="shared" ref="M41:M48" si="30">+K41-G41</f>
        <v>0</v>
      </c>
      <c r="N41" s="3793"/>
    </row>
    <row r="42" spans="1:14" ht="14.25" customHeight="1" x14ac:dyDescent="0.2">
      <c r="A42" s="3778"/>
      <c r="B42" s="2706" t="s">
        <v>17</v>
      </c>
      <c r="C42" s="3086" t="s">
        <v>328</v>
      </c>
      <c r="D42" s="558">
        <f t="shared" ref="D42:I42" si="31">+D43</f>
        <v>0</v>
      </c>
      <c r="E42" s="559">
        <f t="shared" si="31"/>
        <v>0</v>
      </c>
      <c r="F42" s="560">
        <f t="shared" si="31"/>
        <v>0</v>
      </c>
      <c r="G42" s="559">
        <f t="shared" si="31"/>
        <v>0</v>
      </c>
      <c r="H42" s="753">
        <f t="shared" si="31"/>
        <v>0</v>
      </c>
      <c r="I42" s="558">
        <f t="shared" si="31"/>
        <v>0</v>
      </c>
      <c r="J42" s="176">
        <v>0</v>
      </c>
      <c r="K42" s="1651">
        <f>K43</f>
        <v>0</v>
      </c>
      <c r="L42" s="176">
        <v>0</v>
      </c>
      <c r="M42" s="1025">
        <f t="shared" si="30"/>
        <v>0</v>
      </c>
      <c r="N42" s="3793"/>
    </row>
    <row r="43" spans="1:14" ht="14.25" customHeight="1" x14ac:dyDescent="0.2">
      <c r="A43" s="3778"/>
      <c r="B43" s="2707" t="s">
        <v>4</v>
      </c>
      <c r="C43" s="3780"/>
      <c r="D43" s="461">
        <f>+E43+F43+G43+H43</f>
        <v>0</v>
      </c>
      <c r="E43" s="463"/>
      <c r="F43" s="463"/>
      <c r="G43" s="463">
        <v>0</v>
      </c>
      <c r="H43" s="1066">
        <v>0</v>
      </c>
      <c r="I43" s="1422">
        <f>K43+E43+F43</f>
        <v>0</v>
      </c>
      <c r="J43" s="465">
        <v>0</v>
      </c>
      <c r="K43" s="463">
        <v>0</v>
      </c>
      <c r="L43" s="465">
        <v>0</v>
      </c>
      <c r="M43" s="2697">
        <f t="shared" si="30"/>
        <v>0</v>
      </c>
      <c r="N43" s="3793"/>
    </row>
    <row r="44" spans="1:14" ht="14.25" customHeight="1" x14ac:dyDescent="0.2">
      <c r="A44" s="3778"/>
      <c r="B44" s="2708" t="s">
        <v>12</v>
      </c>
      <c r="C44" s="3780"/>
      <c r="D44" s="474">
        <f t="shared" ref="D44:I44" si="32">+D45</f>
        <v>98000</v>
      </c>
      <c r="E44" s="520">
        <f t="shared" si="32"/>
        <v>0</v>
      </c>
      <c r="F44" s="916">
        <f t="shared" si="32"/>
        <v>0</v>
      </c>
      <c r="G44" s="520">
        <f t="shared" si="32"/>
        <v>0</v>
      </c>
      <c r="H44" s="590">
        <f t="shared" si="32"/>
        <v>98000</v>
      </c>
      <c r="I44" s="474">
        <f t="shared" si="32"/>
        <v>0</v>
      </c>
      <c r="J44" s="176">
        <f t="shared" ref="J44:J48" si="33">I44/D44*100</f>
        <v>0</v>
      </c>
      <c r="K44" s="916">
        <f>K45</f>
        <v>0</v>
      </c>
      <c r="L44" s="176">
        <v>0</v>
      </c>
      <c r="M44" s="1172">
        <f t="shared" si="30"/>
        <v>0</v>
      </c>
      <c r="N44" s="3793"/>
    </row>
    <row r="45" spans="1:14" ht="14.25" customHeight="1" x14ac:dyDescent="0.2">
      <c r="A45" s="3778"/>
      <c r="B45" s="2709" t="s">
        <v>14</v>
      </c>
      <c r="C45" s="3780"/>
      <c r="D45" s="461">
        <f>+E45+F45+G45+H45</f>
        <v>98000</v>
      </c>
      <c r="E45" s="463"/>
      <c r="F45" s="463"/>
      <c r="G45" s="463">
        <v>0</v>
      </c>
      <c r="H45" s="1066">
        <v>98000</v>
      </c>
      <c r="I45" s="1422">
        <f>K45+E45+F45</f>
        <v>0</v>
      </c>
      <c r="J45" s="465">
        <f t="shared" si="33"/>
        <v>0</v>
      </c>
      <c r="K45" s="463">
        <v>0</v>
      </c>
      <c r="L45" s="465">
        <v>0</v>
      </c>
      <c r="M45" s="2697">
        <f t="shared" si="30"/>
        <v>0</v>
      </c>
      <c r="N45" s="3793"/>
    </row>
    <row r="46" spans="1:14" ht="15.75" customHeight="1" x14ac:dyDescent="0.2">
      <c r="A46" s="3778"/>
      <c r="B46" s="2705" t="s">
        <v>16</v>
      </c>
      <c r="C46" s="27"/>
      <c r="D46" s="415">
        <f>+D47</f>
        <v>98000</v>
      </c>
      <c r="E46" s="593">
        <f t="shared" ref="E46:H47" si="34">+E47</f>
        <v>0</v>
      </c>
      <c r="F46" s="593">
        <f t="shared" si="34"/>
        <v>0</v>
      </c>
      <c r="G46" s="416">
        <f t="shared" si="34"/>
        <v>98000</v>
      </c>
      <c r="H46" s="594">
        <f t="shared" si="34"/>
        <v>0</v>
      </c>
      <c r="I46" s="415">
        <f>I47</f>
        <v>98000</v>
      </c>
      <c r="J46" s="2695">
        <f t="shared" si="33"/>
        <v>100</v>
      </c>
      <c r="K46" s="416">
        <f>K47</f>
        <v>98000</v>
      </c>
      <c r="L46" s="2695">
        <f t="shared" ref="L46:L48" si="35">K46/G46*100</f>
        <v>100</v>
      </c>
      <c r="M46" s="418">
        <f t="shared" si="30"/>
        <v>0</v>
      </c>
      <c r="N46" s="3793"/>
    </row>
    <row r="47" spans="1:14" ht="15.75" customHeight="1" x14ac:dyDescent="0.2">
      <c r="A47" s="3778"/>
      <c r="B47" s="2708" t="s">
        <v>12</v>
      </c>
      <c r="C47" s="3781" t="s">
        <v>329</v>
      </c>
      <c r="D47" s="474">
        <f>+D48</f>
        <v>98000</v>
      </c>
      <c r="E47" s="477">
        <f t="shared" si="34"/>
        <v>0</v>
      </c>
      <c r="F47" s="477">
        <f t="shared" si="34"/>
        <v>0</v>
      </c>
      <c r="G47" s="475">
        <f t="shared" si="34"/>
        <v>98000</v>
      </c>
      <c r="H47" s="595">
        <f t="shared" si="34"/>
        <v>0</v>
      </c>
      <c r="I47" s="558">
        <f>I48</f>
        <v>98000</v>
      </c>
      <c r="J47" s="1650">
        <f t="shared" si="33"/>
        <v>100</v>
      </c>
      <c r="K47" s="1651">
        <f>K48</f>
        <v>98000</v>
      </c>
      <c r="L47" s="1650">
        <f t="shared" si="35"/>
        <v>100</v>
      </c>
      <c r="M47" s="1025">
        <f t="shared" si="30"/>
        <v>0</v>
      </c>
      <c r="N47" s="3793"/>
    </row>
    <row r="48" spans="1:14" ht="15.75" customHeight="1" thickBot="1" x14ac:dyDescent="0.25">
      <c r="A48" s="3779"/>
      <c r="B48" s="2710" t="s">
        <v>14</v>
      </c>
      <c r="C48" s="3782"/>
      <c r="D48" s="500">
        <f>+E48+F48+G48+H48</f>
        <v>98000</v>
      </c>
      <c r="E48" s="526">
        <v>0</v>
      </c>
      <c r="F48" s="526">
        <v>0</v>
      </c>
      <c r="G48" s="502">
        <v>98000</v>
      </c>
      <c r="H48" s="2702">
        <v>0</v>
      </c>
      <c r="I48" s="1449">
        <f>K48+E48+F48</f>
        <v>98000</v>
      </c>
      <c r="J48" s="505">
        <f t="shared" si="33"/>
        <v>100</v>
      </c>
      <c r="K48" s="502">
        <v>98000</v>
      </c>
      <c r="L48" s="505">
        <f t="shared" si="35"/>
        <v>100</v>
      </c>
      <c r="M48" s="2703">
        <f t="shared" si="30"/>
        <v>0</v>
      </c>
      <c r="N48" s="3794"/>
    </row>
    <row r="49" spans="1:14" ht="12" thickBot="1" x14ac:dyDescent="0.25">
      <c r="A49" s="1773"/>
      <c r="B49" s="1585"/>
      <c r="C49" s="1585"/>
      <c r="D49" s="1585"/>
      <c r="E49" s="1585"/>
      <c r="F49" s="1585"/>
      <c r="G49" s="1585"/>
      <c r="H49" s="1585"/>
      <c r="I49" s="1585"/>
      <c r="J49" s="1585"/>
      <c r="N49" s="1793"/>
    </row>
    <row r="50" spans="1:14" x14ac:dyDescent="0.2">
      <c r="A50" s="1777"/>
      <c r="B50" s="1585"/>
      <c r="C50" s="1585"/>
      <c r="D50" s="1585"/>
      <c r="E50" s="1585"/>
      <c r="F50" s="1585"/>
      <c r="G50" s="1585"/>
      <c r="H50" s="1585"/>
      <c r="I50" s="1585"/>
      <c r="J50" s="1585"/>
      <c r="N50" s="1793"/>
    </row>
    <row r="51" spans="1:14" x14ac:dyDescent="0.2">
      <c r="A51" s="1771"/>
      <c r="B51" s="1585"/>
      <c r="C51" s="1585"/>
      <c r="D51" s="1585"/>
      <c r="E51" s="1585"/>
      <c r="F51" s="1585"/>
      <c r="G51" s="1585"/>
      <c r="H51" s="1585"/>
      <c r="I51" s="1585"/>
      <c r="J51" s="1585"/>
      <c r="N51" s="1793"/>
    </row>
    <row r="52" spans="1:14" x14ac:dyDescent="0.2">
      <c r="A52" s="1771"/>
      <c r="B52" s="1585"/>
      <c r="C52" s="1585"/>
      <c r="D52" s="1585"/>
      <c r="E52" s="1585"/>
      <c r="F52" s="1585"/>
      <c r="G52" s="1585"/>
      <c r="H52" s="1585"/>
      <c r="I52" s="1585"/>
      <c r="J52" s="1585"/>
      <c r="N52" s="1793"/>
    </row>
    <row r="53" spans="1:14" x14ac:dyDescent="0.2">
      <c r="A53" s="1771"/>
      <c r="B53" s="1585"/>
      <c r="C53" s="1585"/>
      <c r="D53" s="1585"/>
      <c r="E53" s="1585"/>
      <c r="F53" s="1585"/>
      <c r="G53" s="1585"/>
      <c r="H53" s="1585"/>
      <c r="I53" s="1585"/>
      <c r="J53" s="1585"/>
      <c r="N53" s="1793"/>
    </row>
    <row r="54" spans="1:14" x14ac:dyDescent="0.2">
      <c r="A54" s="1771"/>
      <c r="B54" s="1585"/>
      <c r="C54" s="1585"/>
      <c r="D54" s="1585"/>
      <c r="E54" s="1585"/>
      <c r="F54" s="1585"/>
      <c r="G54" s="1585"/>
      <c r="H54" s="1585"/>
      <c r="I54" s="1585"/>
      <c r="J54" s="1585"/>
      <c r="N54" s="1793"/>
    </row>
    <row r="55" spans="1:14" x14ac:dyDescent="0.2">
      <c r="A55" s="1771"/>
      <c r="B55" s="1585"/>
      <c r="C55" s="1585"/>
      <c r="D55" s="1585"/>
      <c r="E55" s="1585"/>
      <c r="F55" s="1585"/>
      <c r="G55" s="1585"/>
      <c r="H55" s="1585"/>
      <c r="I55" s="1585"/>
      <c r="J55" s="1585"/>
      <c r="N55" s="1793"/>
    </row>
    <row r="56" spans="1:14" x14ac:dyDescent="0.2">
      <c r="A56" s="1771"/>
      <c r="B56" s="1585"/>
      <c r="C56" s="1585"/>
      <c r="D56" s="1585"/>
      <c r="E56" s="1585"/>
      <c r="F56" s="1585"/>
      <c r="G56" s="1585"/>
      <c r="H56" s="1585"/>
      <c r="I56" s="1585"/>
      <c r="J56" s="1585"/>
      <c r="N56" s="1793"/>
    </row>
    <row r="57" spans="1:14" x14ac:dyDescent="0.2">
      <c r="A57" s="1771"/>
      <c r="B57" s="1585"/>
      <c r="C57" s="1585"/>
      <c r="D57" s="1585"/>
      <c r="E57" s="1585"/>
      <c r="F57" s="1585"/>
      <c r="G57" s="1585"/>
      <c r="H57" s="1585"/>
      <c r="I57" s="1585"/>
      <c r="J57" s="1585"/>
      <c r="N57" s="1793"/>
    </row>
    <row r="58" spans="1:14" x14ac:dyDescent="0.2">
      <c r="A58" s="1771"/>
      <c r="B58" s="1585"/>
      <c r="C58" s="1585"/>
      <c r="D58" s="1585"/>
      <c r="E58" s="1585"/>
      <c r="F58" s="1585"/>
      <c r="G58" s="1585"/>
      <c r="H58" s="1585"/>
      <c r="I58" s="1585"/>
      <c r="J58" s="1585"/>
      <c r="N58" s="1793"/>
    </row>
    <row r="59" spans="1:14" x14ac:dyDescent="0.2">
      <c r="A59" s="1771"/>
      <c r="B59" s="1585"/>
      <c r="C59" s="1585"/>
      <c r="D59" s="1585"/>
      <c r="E59" s="1585"/>
      <c r="F59" s="1585"/>
      <c r="G59" s="1585"/>
      <c r="H59" s="1585"/>
      <c r="I59" s="1585"/>
      <c r="J59" s="1585"/>
      <c r="N59" s="1793"/>
    </row>
    <row r="60" spans="1:14" ht="12" thickBot="1" x14ac:dyDescent="0.25">
      <c r="A60" s="1771"/>
      <c r="B60" s="1585"/>
      <c r="C60" s="1585"/>
      <c r="D60" s="1585"/>
      <c r="E60" s="1585"/>
      <c r="F60" s="1585"/>
      <c r="G60" s="1585"/>
      <c r="H60" s="1585"/>
      <c r="I60" s="1585"/>
      <c r="J60" s="1585"/>
      <c r="N60" s="1793"/>
    </row>
    <row r="61" spans="1:14" x14ac:dyDescent="0.2">
      <c r="A61" s="1777"/>
      <c r="B61" s="1585"/>
      <c r="C61" s="1585"/>
      <c r="D61" s="1585"/>
      <c r="E61" s="1585"/>
      <c r="F61" s="1585"/>
      <c r="G61" s="1585"/>
      <c r="H61" s="1585"/>
      <c r="I61" s="1585"/>
      <c r="J61" s="1585"/>
      <c r="N61" s="1793"/>
    </row>
    <row r="62" spans="1:14" ht="12" thickBot="1" x14ac:dyDescent="0.25">
      <c r="A62" s="1773"/>
      <c r="B62" s="1585"/>
      <c r="C62" s="1585"/>
      <c r="D62" s="1585"/>
      <c r="E62" s="1585"/>
      <c r="F62" s="1585"/>
      <c r="G62" s="1585"/>
      <c r="H62" s="1585"/>
      <c r="I62" s="1585"/>
      <c r="J62" s="1585"/>
      <c r="N62" s="1793"/>
    </row>
    <row r="63" spans="1:14" x14ac:dyDescent="0.2">
      <c r="A63" s="1771"/>
      <c r="B63" s="1585"/>
      <c r="C63" s="1585"/>
      <c r="D63" s="1585"/>
      <c r="E63" s="1585"/>
      <c r="F63" s="1585"/>
      <c r="G63" s="1585"/>
      <c r="H63" s="1585"/>
      <c r="I63" s="1585"/>
      <c r="J63" s="1585"/>
      <c r="N63" s="1793"/>
    </row>
    <row r="64" spans="1:14" ht="12" thickBot="1" x14ac:dyDescent="0.25">
      <c r="A64" s="1771"/>
      <c r="B64" s="1585"/>
      <c r="C64" s="1585"/>
      <c r="D64" s="1585"/>
      <c r="E64" s="1585"/>
      <c r="F64" s="1585"/>
      <c r="G64" s="1585"/>
      <c r="H64" s="1585"/>
      <c r="I64" s="1585"/>
      <c r="J64" s="1585"/>
      <c r="N64" s="1793"/>
    </row>
    <row r="65" spans="1:14" x14ac:dyDescent="0.2">
      <c r="A65" s="1777"/>
      <c r="B65" s="1585"/>
      <c r="C65" s="1585"/>
      <c r="D65" s="1585"/>
      <c r="E65" s="1585"/>
      <c r="F65" s="1585"/>
      <c r="G65" s="1585"/>
      <c r="H65" s="1585"/>
      <c r="I65" s="1585"/>
      <c r="J65" s="1585"/>
      <c r="N65" s="1793"/>
    </row>
    <row r="66" spans="1:14" ht="12" thickBot="1" x14ac:dyDescent="0.25">
      <c r="A66" s="1771"/>
      <c r="B66" s="1585"/>
      <c r="C66" s="1585"/>
      <c r="D66" s="1585"/>
      <c r="E66" s="1585"/>
      <c r="F66" s="1585"/>
      <c r="G66" s="1585"/>
      <c r="H66" s="1585"/>
      <c r="I66" s="1585"/>
      <c r="J66" s="1585"/>
      <c r="N66" s="1793"/>
    </row>
    <row r="67" spans="1:14" ht="12" thickBot="1" x14ac:dyDescent="0.25">
      <c r="A67" s="2711"/>
      <c r="B67" s="1585"/>
      <c r="C67" s="1585"/>
      <c r="D67" s="1585"/>
      <c r="E67" s="1585"/>
      <c r="F67" s="1585"/>
      <c r="G67" s="1585"/>
      <c r="H67" s="1585"/>
      <c r="I67" s="1585"/>
      <c r="J67" s="1585"/>
      <c r="N67" s="1793"/>
    </row>
    <row r="68" spans="1:14" x14ac:dyDescent="0.2">
      <c r="A68" s="1771"/>
      <c r="B68" s="1585"/>
      <c r="C68" s="1585"/>
      <c r="D68" s="1585"/>
      <c r="E68" s="1585"/>
      <c r="F68" s="1585"/>
      <c r="G68" s="1585"/>
      <c r="H68" s="1585"/>
      <c r="I68" s="1585"/>
      <c r="J68" s="1585"/>
      <c r="N68" s="1793"/>
    </row>
    <row r="69" spans="1:14" x14ac:dyDescent="0.2">
      <c r="A69" s="1771"/>
      <c r="B69" s="1585"/>
      <c r="C69" s="1585"/>
      <c r="D69" s="1585"/>
      <c r="E69" s="1585"/>
      <c r="F69" s="1585"/>
      <c r="G69" s="1585"/>
      <c r="H69" s="1585"/>
      <c r="I69" s="1585"/>
      <c r="J69" s="1585"/>
      <c r="N69" s="1793"/>
    </row>
    <row r="70" spans="1:14" ht="12" thickBot="1" x14ac:dyDescent="0.25">
      <c r="A70" s="1773"/>
      <c r="B70" s="1585"/>
      <c r="C70" s="1585"/>
      <c r="D70" s="1585"/>
      <c r="E70" s="1585"/>
      <c r="F70" s="1585"/>
      <c r="G70" s="1585"/>
      <c r="H70" s="1585"/>
      <c r="I70" s="1585"/>
      <c r="J70" s="1585"/>
      <c r="N70" s="1793"/>
    </row>
    <row r="71" spans="1:14" x14ac:dyDescent="0.2">
      <c r="A71" s="1777"/>
      <c r="B71" s="1585"/>
      <c r="C71" s="1585"/>
      <c r="D71" s="1585"/>
      <c r="E71" s="1585"/>
      <c r="F71" s="1585"/>
      <c r="G71" s="1585"/>
      <c r="H71" s="1585"/>
      <c r="I71" s="1585"/>
      <c r="J71" s="1585"/>
      <c r="N71" s="1793"/>
    </row>
    <row r="72" spans="1:14" x14ac:dyDescent="0.2">
      <c r="A72" s="1771"/>
      <c r="B72" s="1585"/>
      <c r="C72" s="1585"/>
      <c r="D72" s="1585"/>
      <c r="E72" s="1585"/>
      <c r="F72" s="1585"/>
      <c r="G72" s="1585"/>
      <c r="H72" s="1585"/>
      <c r="I72" s="1585"/>
      <c r="J72" s="1585"/>
      <c r="N72" s="1793"/>
    </row>
    <row r="73" spans="1:14" x14ac:dyDescent="0.2">
      <c r="A73" s="1771"/>
      <c r="B73" s="1585"/>
      <c r="C73" s="1585"/>
      <c r="D73" s="1585"/>
      <c r="E73" s="1585"/>
      <c r="F73" s="1585"/>
      <c r="G73" s="1585"/>
      <c r="H73" s="1585"/>
      <c r="I73" s="1585"/>
      <c r="J73" s="1585"/>
      <c r="N73" s="1793"/>
    </row>
    <row r="74" spans="1:14" x14ac:dyDescent="0.2">
      <c r="A74" s="1771"/>
      <c r="B74" s="1585"/>
      <c r="C74" s="1585"/>
      <c r="D74" s="1585"/>
      <c r="E74" s="1585"/>
      <c r="F74" s="1585"/>
      <c r="G74" s="1585"/>
      <c r="H74" s="1585"/>
      <c r="I74" s="1585"/>
      <c r="J74" s="1585"/>
      <c r="N74" s="1793"/>
    </row>
    <row r="75" spans="1:14" x14ac:dyDescent="0.2">
      <c r="A75" s="1771"/>
      <c r="B75" s="1585"/>
      <c r="C75" s="1585"/>
      <c r="D75" s="1585"/>
      <c r="E75" s="1585"/>
      <c r="F75" s="1585"/>
      <c r="G75" s="1585"/>
      <c r="H75" s="1585"/>
      <c r="I75" s="1585"/>
      <c r="J75" s="1585"/>
      <c r="N75" s="1793"/>
    </row>
    <row r="76" spans="1:14" x14ac:dyDescent="0.2">
      <c r="A76" s="1771"/>
      <c r="B76" s="1585"/>
      <c r="C76" s="1585"/>
      <c r="D76" s="1585"/>
      <c r="E76" s="1585"/>
      <c r="F76" s="1585"/>
      <c r="G76" s="1585"/>
      <c r="H76" s="1585"/>
      <c r="I76" s="1585"/>
      <c r="J76" s="1585"/>
      <c r="N76" s="1793"/>
    </row>
    <row r="77" spans="1:14" x14ac:dyDescent="0.2">
      <c r="A77" s="1771"/>
      <c r="B77" s="1585"/>
      <c r="C77" s="1585"/>
      <c r="D77" s="1585"/>
      <c r="E77" s="1585"/>
      <c r="F77" s="1585"/>
      <c r="G77" s="1585"/>
      <c r="H77" s="1585"/>
      <c r="I77" s="1585"/>
      <c r="J77" s="1585"/>
      <c r="N77" s="1793"/>
    </row>
    <row r="78" spans="1:14" x14ac:dyDescent="0.2">
      <c r="A78" s="1771"/>
      <c r="B78" s="1585"/>
      <c r="C78" s="1585"/>
      <c r="D78" s="1585"/>
      <c r="E78" s="1585"/>
      <c r="F78" s="1585"/>
      <c r="G78" s="1585"/>
      <c r="H78" s="1585"/>
      <c r="I78" s="1585"/>
      <c r="J78" s="1585"/>
      <c r="N78" s="1793"/>
    </row>
    <row r="79" spans="1:14" x14ac:dyDescent="0.2">
      <c r="A79" s="1771"/>
      <c r="B79" s="1585"/>
      <c r="C79" s="1585"/>
      <c r="D79" s="1585"/>
      <c r="E79" s="1585"/>
      <c r="F79" s="1585"/>
      <c r="G79" s="1585"/>
      <c r="H79" s="1585"/>
      <c r="I79" s="1585"/>
      <c r="J79" s="1585"/>
      <c r="N79" s="1793"/>
    </row>
    <row r="80" spans="1:14" ht="12" thickBot="1" x14ac:dyDescent="0.25">
      <c r="A80" s="1773"/>
      <c r="B80" s="1585"/>
      <c r="C80" s="1585"/>
      <c r="D80" s="1585"/>
      <c r="E80" s="1585"/>
      <c r="F80" s="1585"/>
      <c r="G80" s="1585"/>
      <c r="H80" s="1585"/>
      <c r="I80" s="1585"/>
      <c r="J80" s="1585"/>
      <c r="N80" s="1793"/>
    </row>
    <row r="81" spans="1:14" ht="12" thickBot="1" x14ac:dyDescent="0.25">
      <c r="A81" s="1773"/>
      <c r="B81" s="1585"/>
      <c r="C81" s="1585"/>
      <c r="D81" s="1585"/>
      <c r="E81" s="1585"/>
      <c r="F81" s="1585"/>
      <c r="G81" s="1585"/>
      <c r="H81" s="1585"/>
      <c r="I81" s="1585"/>
      <c r="J81" s="1585"/>
      <c r="N81" s="1793"/>
    </row>
    <row r="82" spans="1:14" x14ac:dyDescent="0.2">
      <c r="A82" s="1777"/>
      <c r="B82" s="1585"/>
      <c r="C82" s="1585"/>
      <c r="D82" s="1585"/>
      <c r="E82" s="1585"/>
      <c r="F82" s="1585"/>
      <c r="G82" s="1585"/>
      <c r="H82" s="1585"/>
      <c r="I82" s="1585"/>
      <c r="J82" s="1585"/>
      <c r="N82" s="1793"/>
    </row>
    <row r="83" spans="1:14" x14ac:dyDescent="0.2">
      <c r="A83" s="1771"/>
      <c r="B83" s="1585"/>
      <c r="C83" s="1585"/>
      <c r="D83" s="1585"/>
      <c r="E83" s="1585"/>
      <c r="F83" s="1585"/>
      <c r="G83" s="1585"/>
      <c r="H83" s="1585"/>
      <c r="I83" s="1585"/>
      <c r="J83" s="1585"/>
      <c r="N83" s="1793"/>
    </row>
    <row r="84" spans="1:14" x14ac:dyDescent="0.2">
      <c r="A84" s="1771"/>
      <c r="B84" s="1585"/>
      <c r="C84" s="1585"/>
      <c r="D84" s="1585"/>
      <c r="E84" s="1585"/>
      <c r="F84" s="1585"/>
      <c r="G84" s="1585"/>
      <c r="H84" s="1585"/>
      <c r="I84" s="1585"/>
      <c r="J84" s="1585"/>
      <c r="N84" s="1793"/>
    </row>
    <row r="85" spans="1:14" x14ac:dyDescent="0.2">
      <c r="A85" s="1771"/>
      <c r="B85" s="1585"/>
      <c r="C85" s="1585"/>
      <c r="D85" s="1585"/>
      <c r="E85" s="1585"/>
      <c r="F85" s="1585"/>
      <c r="G85" s="1585"/>
      <c r="H85" s="1585"/>
      <c r="I85" s="1585"/>
      <c r="J85" s="1585"/>
      <c r="N85" s="1793"/>
    </row>
    <row r="86" spans="1:14" x14ac:dyDescent="0.2">
      <c r="A86" s="1771"/>
      <c r="B86" s="1585"/>
      <c r="C86" s="1585"/>
      <c r="D86" s="1585"/>
      <c r="E86" s="1585"/>
      <c r="F86" s="1585"/>
      <c r="G86" s="1585"/>
      <c r="H86" s="1585"/>
      <c r="I86" s="1585"/>
      <c r="J86" s="1585"/>
      <c r="N86" s="1793"/>
    </row>
    <row r="87" spans="1:14" x14ac:dyDescent="0.2">
      <c r="A87" s="1771"/>
      <c r="B87" s="1585"/>
      <c r="C87" s="1585"/>
      <c r="D87" s="1585"/>
      <c r="E87" s="1585"/>
      <c r="F87" s="1585"/>
      <c r="G87" s="1585"/>
      <c r="H87" s="1585"/>
      <c r="I87" s="1585"/>
      <c r="J87" s="1585"/>
      <c r="N87" s="1793"/>
    </row>
    <row r="88" spans="1:14" x14ac:dyDescent="0.2">
      <c r="A88" s="1771"/>
      <c r="B88" s="1585"/>
      <c r="C88" s="1585"/>
      <c r="D88" s="1585"/>
      <c r="E88" s="1585"/>
      <c r="F88" s="1585"/>
      <c r="G88" s="1585"/>
      <c r="H88" s="1585"/>
      <c r="I88" s="1585"/>
      <c r="J88" s="1585"/>
      <c r="N88" s="1793"/>
    </row>
    <row r="89" spans="1:14" x14ac:dyDescent="0.2">
      <c r="A89" s="1771"/>
      <c r="B89" s="1585"/>
      <c r="C89" s="1585"/>
      <c r="D89" s="1585"/>
      <c r="E89" s="1585"/>
      <c r="F89" s="1585"/>
      <c r="G89" s="1585"/>
      <c r="H89" s="1585"/>
      <c r="I89" s="1585"/>
      <c r="J89" s="1585"/>
      <c r="N89" s="1793"/>
    </row>
    <row r="90" spans="1:14" x14ac:dyDescent="0.2">
      <c r="A90" s="1771"/>
      <c r="B90" s="1585"/>
      <c r="C90" s="1585"/>
      <c r="D90" s="1585"/>
      <c r="E90" s="1585"/>
      <c r="F90" s="1585"/>
      <c r="G90" s="1585"/>
      <c r="H90" s="1585"/>
      <c r="I90" s="1585"/>
      <c r="J90" s="1585"/>
      <c r="N90" s="1793"/>
    </row>
    <row r="91" spans="1:14" x14ac:dyDescent="0.2">
      <c r="A91" s="1771"/>
      <c r="B91" s="1585"/>
      <c r="C91" s="1585"/>
      <c r="D91" s="1585"/>
      <c r="E91" s="1585"/>
      <c r="F91" s="1585"/>
      <c r="G91" s="1585"/>
      <c r="H91" s="1585"/>
      <c r="I91" s="1585"/>
      <c r="J91" s="1585"/>
      <c r="N91" s="1793"/>
    </row>
    <row r="92" spans="1:14" x14ac:dyDescent="0.2">
      <c r="A92" s="1771"/>
      <c r="B92" s="1585"/>
      <c r="C92" s="1585"/>
      <c r="D92" s="1585"/>
      <c r="E92" s="1585"/>
      <c r="F92" s="1585"/>
      <c r="G92" s="1585"/>
      <c r="H92" s="1585"/>
      <c r="I92" s="1585"/>
      <c r="J92" s="1585"/>
      <c r="N92" s="1793"/>
    </row>
    <row r="93" spans="1:14" ht="12" thickBot="1" x14ac:dyDescent="0.25">
      <c r="A93" s="1773"/>
      <c r="B93" s="1585"/>
      <c r="C93" s="1585"/>
      <c r="D93" s="1585"/>
      <c r="E93" s="1585"/>
      <c r="F93" s="1585"/>
      <c r="G93" s="1585"/>
      <c r="H93" s="1585"/>
      <c r="I93" s="1585"/>
      <c r="J93" s="1585"/>
      <c r="N93" s="1793"/>
    </row>
    <row r="94" spans="1:14" x14ac:dyDescent="0.2">
      <c r="A94" s="1777"/>
      <c r="B94" s="1585"/>
      <c r="C94" s="1585"/>
      <c r="D94" s="1585"/>
      <c r="E94" s="1585"/>
      <c r="F94" s="1585"/>
      <c r="G94" s="1585"/>
      <c r="H94" s="1585"/>
      <c r="I94" s="1585"/>
      <c r="J94" s="1585"/>
      <c r="N94" s="1793"/>
    </row>
    <row r="95" spans="1:14" x14ac:dyDescent="0.2">
      <c r="A95" s="1771"/>
      <c r="B95" s="1585"/>
      <c r="C95" s="1585"/>
      <c r="D95" s="1585"/>
      <c r="E95" s="1585"/>
      <c r="F95" s="1585"/>
      <c r="G95" s="1585"/>
      <c r="H95" s="1585"/>
      <c r="I95" s="1585"/>
      <c r="J95" s="1585"/>
      <c r="N95" s="1793"/>
    </row>
    <row r="96" spans="1:14" x14ac:dyDescent="0.2">
      <c r="A96" s="1771"/>
      <c r="B96" s="1585"/>
      <c r="C96" s="1585"/>
      <c r="D96" s="1585"/>
      <c r="E96" s="1585"/>
      <c r="F96" s="1585"/>
      <c r="G96" s="1585"/>
      <c r="H96" s="1585"/>
      <c r="I96" s="1585"/>
      <c r="J96" s="1585"/>
      <c r="N96" s="1793"/>
    </row>
    <row r="97" spans="1:14" x14ac:dyDescent="0.2">
      <c r="A97" s="1771"/>
      <c r="B97" s="1585"/>
      <c r="C97" s="1585"/>
      <c r="D97" s="1585"/>
      <c r="E97" s="1585"/>
      <c r="F97" s="1585"/>
      <c r="G97" s="1585"/>
      <c r="H97" s="1585"/>
      <c r="I97" s="1585"/>
      <c r="J97" s="1585"/>
      <c r="N97" s="1793"/>
    </row>
    <row r="98" spans="1:14" x14ac:dyDescent="0.2">
      <c r="A98" s="1771"/>
      <c r="B98" s="1585"/>
      <c r="C98" s="1585"/>
      <c r="D98" s="1585"/>
      <c r="E98" s="1585"/>
      <c r="F98" s="1585"/>
      <c r="G98" s="1585"/>
      <c r="H98" s="1585"/>
      <c r="I98" s="1585"/>
      <c r="J98" s="1585"/>
      <c r="N98" s="1793"/>
    </row>
    <row r="99" spans="1:14" x14ac:dyDescent="0.2">
      <c r="A99" s="1771"/>
      <c r="B99" s="1585"/>
      <c r="C99" s="1585"/>
      <c r="D99" s="1585"/>
      <c r="E99" s="1585"/>
      <c r="F99" s="1585"/>
      <c r="G99" s="1585"/>
      <c r="H99" s="1585"/>
      <c r="I99" s="1585"/>
      <c r="J99" s="1585"/>
      <c r="N99" s="1793"/>
    </row>
    <row r="100" spans="1:14" x14ac:dyDescent="0.2">
      <c r="A100" s="1771"/>
      <c r="B100" s="1585"/>
      <c r="C100" s="1585"/>
      <c r="D100" s="1585"/>
      <c r="E100" s="1585"/>
      <c r="F100" s="1585"/>
      <c r="G100" s="1585"/>
      <c r="H100" s="1585"/>
      <c r="I100" s="1585"/>
      <c r="J100" s="1585"/>
      <c r="N100" s="1793"/>
    </row>
    <row r="101" spans="1:14" x14ac:dyDescent="0.2">
      <c r="A101" s="1771"/>
      <c r="B101" s="1585"/>
      <c r="C101" s="1585"/>
      <c r="D101" s="1585"/>
      <c r="E101" s="1585"/>
      <c r="F101" s="1585"/>
      <c r="G101" s="1585"/>
      <c r="H101" s="1585"/>
      <c r="I101" s="1585"/>
      <c r="J101" s="1585"/>
      <c r="N101" s="1793"/>
    </row>
    <row r="102" spans="1:14" x14ac:dyDescent="0.2">
      <c r="A102" s="1771"/>
      <c r="B102" s="1585"/>
      <c r="C102" s="1585"/>
      <c r="D102" s="1585"/>
      <c r="E102" s="1585"/>
      <c r="F102" s="1585"/>
      <c r="G102" s="1585"/>
      <c r="H102" s="1585"/>
      <c r="I102" s="1585"/>
      <c r="J102" s="1585"/>
      <c r="N102" s="1793"/>
    </row>
    <row r="103" spans="1:14" x14ac:dyDescent="0.2">
      <c r="A103" s="1771"/>
      <c r="B103" s="1585"/>
      <c r="C103" s="1585"/>
      <c r="D103" s="1585"/>
      <c r="E103" s="1585"/>
      <c r="F103" s="1585"/>
      <c r="G103" s="1585"/>
      <c r="H103" s="1585"/>
      <c r="I103" s="1585"/>
      <c r="J103" s="1585"/>
      <c r="N103" s="1793"/>
    </row>
    <row r="104" spans="1:14" x14ac:dyDescent="0.2">
      <c r="A104" s="1771"/>
      <c r="B104" s="1585"/>
      <c r="C104" s="1585"/>
      <c r="D104" s="1585"/>
      <c r="E104" s="1585"/>
      <c r="F104" s="1585"/>
      <c r="G104" s="1585"/>
      <c r="H104" s="1585"/>
      <c r="I104" s="1585"/>
      <c r="J104" s="1585"/>
      <c r="N104" s="1793"/>
    </row>
    <row r="105" spans="1:14" ht="12" thickBot="1" x14ac:dyDescent="0.25">
      <c r="A105" s="1773"/>
      <c r="B105" s="1585"/>
      <c r="C105" s="1585"/>
      <c r="D105" s="1585"/>
      <c r="E105" s="1585"/>
      <c r="F105" s="1585"/>
      <c r="G105" s="1585"/>
      <c r="H105" s="1585"/>
      <c r="I105" s="1585"/>
      <c r="J105" s="1585"/>
      <c r="N105" s="1793"/>
    </row>
    <row r="106" spans="1:14" x14ac:dyDescent="0.2">
      <c r="A106" s="1781"/>
      <c r="B106" s="1585"/>
      <c r="C106" s="1585"/>
      <c r="D106" s="1585"/>
      <c r="E106" s="1585"/>
      <c r="F106" s="1585"/>
      <c r="G106" s="1585"/>
      <c r="H106" s="1585"/>
      <c r="I106" s="1585"/>
      <c r="J106" s="1585"/>
      <c r="N106" s="1793"/>
    </row>
    <row r="107" spans="1:14" x14ac:dyDescent="0.2">
      <c r="A107" s="1785"/>
      <c r="B107" s="1585"/>
      <c r="C107" s="1585"/>
      <c r="D107" s="1585"/>
      <c r="E107" s="1585"/>
      <c r="F107" s="1585"/>
      <c r="G107" s="1585"/>
      <c r="H107" s="1585"/>
      <c r="I107" s="1585"/>
      <c r="J107" s="1585"/>
      <c r="N107" s="1793"/>
    </row>
    <row r="108" spans="1:14" x14ac:dyDescent="0.2">
      <c r="A108" s="1785"/>
      <c r="B108" s="1585"/>
      <c r="C108" s="1585"/>
      <c r="D108" s="1585"/>
      <c r="E108" s="1585"/>
      <c r="F108" s="1585"/>
      <c r="G108" s="1585"/>
      <c r="H108" s="1585"/>
      <c r="I108" s="1585"/>
      <c r="J108" s="1585"/>
      <c r="N108" s="1793"/>
    </row>
    <row r="109" spans="1:14" x14ac:dyDescent="0.2">
      <c r="A109" s="1785"/>
      <c r="B109" s="1585"/>
      <c r="C109" s="1585"/>
      <c r="D109" s="1585"/>
      <c r="E109" s="1585"/>
      <c r="F109" s="1585"/>
      <c r="G109" s="1585"/>
      <c r="H109" s="1585"/>
      <c r="I109" s="1585"/>
      <c r="J109" s="1585"/>
      <c r="N109" s="1793"/>
    </row>
    <row r="110" spans="1:14" x14ac:dyDescent="0.2">
      <c r="A110" s="1785"/>
      <c r="B110" s="1585"/>
      <c r="C110" s="1585"/>
      <c r="D110" s="1585"/>
      <c r="E110" s="1585"/>
      <c r="F110" s="1585"/>
      <c r="G110" s="1585"/>
      <c r="H110" s="1585"/>
      <c r="I110" s="1585"/>
      <c r="J110" s="1585"/>
      <c r="N110" s="1793"/>
    </row>
    <row r="111" spans="1:14" x14ac:dyDescent="0.2">
      <c r="A111" s="1785"/>
      <c r="B111" s="1585"/>
      <c r="C111" s="1585"/>
      <c r="D111" s="1585"/>
      <c r="E111" s="1585"/>
      <c r="F111" s="1585"/>
      <c r="G111" s="1585"/>
      <c r="H111" s="1585"/>
      <c r="I111" s="1585"/>
      <c r="J111" s="1585"/>
      <c r="N111" s="1793"/>
    </row>
    <row r="112" spans="1:14" x14ac:dyDescent="0.2">
      <c r="A112" s="1785"/>
      <c r="B112" s="1585"/>
      <c r="C112" s="1585"/>
      <c r="D112" s="1585"/>
      <c r="E112" s="1585"/>
      <c r="F112" s="1585"/>
      <c r="G112" s="1585"/>
      <c r="H112" s="1585"/>
      <c r="I112" s="1585"/>
      <c r="J112" s="1585"/>
      <c r="N112" s="1793"/>
    </row>
    <row r="113" spans="1:14" x14ac:dyDescent="0.2">
      <c r="A113" s="1785"/>
      <c r="B113" s="1585"/>
      <c r="C113" s="1585"/>
      <c r="D113" s="1585"/>
      <c r="E113" s="1585"/>
      <c r="F113" s="1585"/>
      <c r="G113" s="1585"/>
      <c r="H113" s="1585"/>
      <c r="I113" s="1585"/>
      <c r="J113" s="1585"/>
      <c r="N113" s="1793"/>
    </row>
    <row r="114" spans="1:14" x14ac:dyDescent="0.2">
      <c r="A114" s="1785"/>
      <c r="B114" s="1585"/>
      <c r="C114" s="1585"/>
      <c r="D114" s="1585"/>
      <c r="E114" s="1585"/>
      <c r="F114" s="1585"/>
      <c r="G114" s="1585"/>
      <c r="H114" s="1585"/>
      <c r="I114" s="1585"/>
      <c r="J114" s="1585"/>
      <c r="N114" s="1793"/>
    </row>
    <row r="115" spans="1:14" x14ac:dyDescent="0.2">
      <c r="A115" s="1785"/>
      <c r="B115" s="1585"/>
      <c r="C115" s="1585"/>
      <c r="D115" s="1585"/>
      <c r="E115" s="1585"/>
      <c r="F115" s="1585"/>
      <c r="G115" s="1585"/>
      <c r="H115" s="1585"/>
      <c r="I115" s="1585"/>
      <c r="J115" s="1585"/>
      <c r="N115" s="1793"/>
    </row>
    <row r="116" spans="1:14" x14ac:dyDescent="0.2">
      <c r="A116" s="1785"/>
      <c r="B116" s="1585"/>
      <c r="C116" s="1585"/>
      <c r="D116" s="1585"/>
      <c r="E116" s="1585"/>
      <c r="F116" s="1585"/>
      <c r="G116" s="1585"/>
      <c r="H116" s="1585"/>
      <c r="I116" s="1585"/>
      <c r="J116" s="1585"/>
      <c r="N116" s="1793"/>
    </row>
    <row r="117" spans="1:14" ht="12" thickBot="1" x14ac:dyDescent="0.25">
      <c r="A117" s="1789"/>
      <c r="B117" s="1585"/>
      <c r="C117" s="1585"/>
      <c r="D117" s="1585"/>
      <c r="E117" s="1585"/>
      <c r="F117" s="1585"/>
      <c r="G117" s="1585"/>
      <c r="H117" s="1585"/>
      <c r="I117" s="1585"/>
      <c r="J117" s="1585"/>
      <c r="N117" s="1793"/>
    </row>
    <row r="118" spans="1:14" x14ac:dyDescent="0.2">
      <c r="A118" s="1777"/>
      <c r="B118" s="1585"/>
      <c r="C118" s="1585"/>
      <c r="D118" s="1585"/>
      <c r="E118" s="1585"/>
      <c r="F118" s="1585"/>
      <c r="G118" s="1585"/>
      <c r="H118" s="1585"/>
      <c r="I118" s="1585"/>
      <c r="J118" s="1585"/>
      <c r="N118" s="1793"/>
    </row>
    <row r="119" spans="1:14" x14ac:dyDescent="0.2">
      <c r="A119" s="1771"/>
      <c r="B119" s="1585"/>
      <c r="C119" s="1585"/>
      <c r="D119" s="1585"/>
      <c r="E119" s="1585"/>
      <c r="F119" s="1585"/>
      <c r="G119" s="1585"/>
      <c r="H119" s="1585"/>
      <c r="I119" s="1585"/>
      <c r="J119" s="1585"/>
      <c r="N119" s="1793"/>
    </row>
    <row r="120" spans="1:14" x14ac:dyDescent="0.2">
      <c r="A120" s="1771"/>
      <c r="B120" s="1585"/>
      <c r="C120" s="1585"/>
      <c r="D120" s="1585"/>
      <c r="E120" s="1585"/>
      <c r="F120" s="1585"/>
      <c r="G120" s="1585"/>
      <c r="H120" s="1585"/>
      <c r="I120" s="1585"/>
      <c r="J120" s="1585"/>
      <c r="N120" s="1793"/>
    </row>
    <row r="121" spans="1:14" x14ac:dyDescent="0.2">
      <c r="A121" s="1771"/>
      <c r="B121" s="1585"/>
      <c r="C121" s="1585"/>
      <c r="D121" s="1585"/>
      <c r="E121" s="1585"/>
      <c r="F121" s="1585"/>
      <c r="G121" s="1585"/>
      <c r="H121" s="1585"/>
      <c r="I121" s="1585"/>
      <c r="J121" s="1585"/>
      <c r="N121" s="1793"/>
    </row>
    <row r="122" spans="1:14" x14ac:dyDescent="0.2">
      <c r="A122" s="1771"/>
      <c r="B122" s="1585"/>
      <c r="C122" s="1585"/>
      <c r="D122" s="1585"/>
      <c r="E122" s="1585"/>
      <c r="F122" s="1585"/>
      <c r="G122" s="1585"/>
      <c r="H122" s="1585"/>
      <c r="I122" s="1585"/>
      <c r="J122" s="1585"/>
      <c r="N122" s="1793"/>
    </row>
    <row r="123" spans="1:14" x14ac:dyDescent="0.2">
      <c r="A123" s="1771"/>
      <c r="B123" s="1585"/>
      <c r="C123" s="1585"/>
      <c r="D123" s="1585"/>
      <c r="E123" s="1585"/>
      <c r="F123" s="1585"/>
      <c r="G123" s="1585"/>
      <c r="H123" s="1585"/>
      <c r="I123" s="1585"/>
      <c r="J123" s="1585"/>
      <c r="N123" s="1793"/>
    </row>
    <row r="124" spans="1:14" x14ac:dyDescent="0.2">
      <c r="A124" s="1771"/>
      <c r="B124" s="1585"/>
      <c r="C124" s="1585"/>
      <c r="D124" s="1585"/>
      <c r="E124" s="1585"/>
      <c r="F124" s="1585"/>
      <c r="G124" s="1585"/>
      <c r="H124" s="1585"/>
      <c r="I124" s="1585"/>
      <c r="J124" s="1585"/>
      <c r="N124" s="1793"/>
    </row>
    <row r="125" spans="1:14" x14ac:dyDescent="0.2">
      <c r="A125" s="1771"/>
      <c r="B125" s="1585"/>
      <c r="C125" s="1585"/>
      <c r="D125" s="1585"/>
      <c r="E125" s="1585"/>
      <c r="F125" s="1585"/>
      <c r="G125" s="1585"/>
      <c r="H125" s="1585"/>
      <c r="I125" s="1585"/>
      <c r="J125" s="1585"/>
      <c r="N125" s="1793"/>
    </row>
    <row r="126" spans="1:14" ht="12" thickBot="1" x14ac:dyDescent="0.25">
      <c r="A126" s="1773"/>
      <c r="B126" s="1585"/>
      <c r="C126" s="1585"/>
      <c r="D126" s="1585"/>
      <c r="E126" s="1585"/>
      <c r="F126" s="1585"/>
      <c r="G126" s="1585"/>
      <c r="H126" s="1585"/>
      <c r="I126" s="1585"/>
      <c r="J126" s="1585"/>
      <c r="N126" s="1793"/>
    </row>
    <row r="127" spans="1:14" x14ac:dyDescent="0.2">
      <c r="A127" s="1777"/>
      <c r="B127" s="1585"/>
      <c r="C127" s="1585"/>
      <c r="D127" s="1585"/>
      <c r="E127" s="1585"/>
      <c r="F127" s="1585"/>
      <c r="G127" s="1585"/>
      <c r="H127" s="1585"/>
      <c r="I127" s="1585"/>
      <c r="J127" s="1585"/>
      <c r="N127" s="1793"/>
    </row>
    <row r="128" spans="1:14" x14ac:dyDescent="0.2">
      <c r="A128" s="1771"/>
      <c r="B128" s="1585"/>
      <c r="C128" s="1585"/>
      <c r="D128" s="1585"/>
      <c r="E128" s="1585"/>
      <c r="F128" s="1585"/>
      <c r="G128" s="1585"/>
      <c r="H128" s="1585"/>
      <c r="I128" s="1585"/>
      <c r="J128" s="1585"/>
      <c r="N128" s="1793"/>
    </row>
    <row r="129" spans="1:14" ht="12" thickBot="1" x14ac:dyDescent="0.25">
      <c r="A129" s="1773"/>
      <c r="B129" s="1585"/>
      <c r="C129" s="1585"/>
      <c r="D129" s="1585"/>
      <c r="E129" s="1585"/>
      <c r="F129" s="1585"/>
      <c r="G129" s="1585"/>
      <c r="H129" s="1585"/>
      <c r="I129" s="1585"/>
      <c r="J129" s="1585"/>
      <c r="N129" s="1793"/>
    </row>
    <row r="130" spans="1:14" x14ac:dyDescent="0.2">
      <c r="A130" s="1777"/>
      <c r="B130" s="1585"/>
      <c r="C130" s="1585"/>
      <c r="D130" s="1585"/>
      <c r="E130" s="1585"/>
      <c r="F130" s="1585"/>
      <c r="G130" s="1585"/>
      <c r="H130" s="1585"/>
      <c r="I130" s="1585"/>
      <c r="J130" s="1585"/>
      <c r="N130" s="1793"/>
    </row>
    <row r="131" spans="1:14" x14ac:dyDescent="0.2">
      <c r="A131" s="1771"/>
      <c r="B131" s="1585"/>
      <c r="C131" s="1585"/>
      <c r="D131" s="1585"/>
      <c r="E131" s="1585"/>
      <c r="F131" s="1585"/>
      <c r="G131" s="1585"/>
      <c r="H131" s="1585"/>
      <c r="I131" s="1585"/>
      <c r="J131" s="1585"/>
      <c r="N131" s="1793"/>
    </row>
    <row r="132" spans="1:14" x14ac:dyDescent="0.2">
      <c r="A132" s="1771"/>
      <c r="B132" s="1585"/>
      <c r="C132" s="1585"/>
      <c r="D132" s="1585"/>
      <c r="E132" s="1585"/>
      <c r="F132" s="1585"/>
      <c r="G132" s="1585"/>
      <c r="H132" s="1585"/>
      <c r="I132" s="1585"/>
      <c r="J132" s="1585"/>
      <c r="N132" s="1793"/>
    </row>
    <row r="133" spans="1:14" x14ac:dyDescent="0.2">
      <c r="A133" s="1771"/>
      <c r="B133" s="1585"/>
      <c r="C133" s="1585"/>
      <c r="D133" s="1585"/>
      <c r="E133" s="1585"/>
      <c r="F133" s="1585"/>
      <c r="G133" s="1585"/>
      <c r="H133" s="1585"/>
      <c r="I133" s="1585"/>
      <c r="J133" s="1585"/>
      <c r="N133" s="1793"/>
    </row>
    <row r="134" spans="1:14" x14ac:dyDescent="0.2">
      <c r="A134" s="1771"/>
      <c r="B134" s="1585"/>
      <c r="C134" s="1585"/>
      <c r="D134" s="1585"/>
      <c r="E134" s="1585"/>
      <c r="F134" s="1585"/>
      <c r="G134" s="1585"/>
      <c r="H134" s="1585"/>
      <c r="I134" s="1585"/>
      <c r="J134" s="1585"/>
      <c r="N134" s="1793"/>
    </row>
    <row r="135" spans="1:14" x14ac:dyDescent="0.2">
      <c r="A135" s="1771"/>
      <c r="B135" s="1585"/>
      <c r="C135" s="1585"/>
      <c r="D135" s="1585"/>
      <c r="E135" s="1585"/>
      <c r="F135" s="1585"/>
      <c r="G135" s="1585"/>
      <c r="H135" s="1585"/>
      <c r="I135" s="1585"/>
      <c r="J135" s="1585"/>
      <c r="N135" s="1793"/>
    </row>
    <row r="136" spans="1:14" x14ac:dyDescent="0.2">
      <c r="A136" s="1771"/>
      <c r="B136" s="1585"/>
      <c r="C136" s="1585"/>
      <c r="D136" s="1585"/>
      <c r="E136" s="1585"/>
      <c r="F136" s="1585"/>
      <c r="G136" s="1585"/>
      <c r="H136" s="1585"/>
      <c r="I136" s="1585"/>
      <c r="J136" s="1585"/>
      <c r="N136" s="1793"/>
    </row>
    <row r="137" spans="1:14" x14ac:dyDescent="0.2">
      <c r="A137" s="1771"/>
      <c r="B137" s="1585"/>
      <c r="C137" s="1585"/>
      <c r="D137" s="1585"/>
      <c r="E137" s="1585"/>
      <c r="F137" s="1585"/>
      <c r="G137" s="1585"/>
      <c r="H137" s="1585"/>
      <c r="I137" s="1585"/>
      <c r="J137" s="1585"/>
      <c r="N137" s="1793"/>
    </row>
    <row r="138" spans="1:14" ht="12" thickBot="1" x14ac:dyDescent="0.25">
      <c r="A138" s="1773"/>
      <c r="B138" s="1585"/>
      <c r="C138" s="1585"/>
      <c r="D138" s="1585"/>
      <c r="E138" s="1585"/>
      <c r="F138" s="1585"/>
      <c r="G138" s="1585"/>
      <c r="H138" s="1585"/>
      <c r="I138" s="1585"/>
      <c r="J138" s="1585"/>
      <c r="N138" s="1793"/>
    </row>
    <row r="139" spans="1:14" x14ac:dyDescent="0.2">
      <c r="A139" s="1771"/>
      <c r="B139" s="1585"/>
      <c r="C139" s="1585"/>
      <c r="D139" s="1585"/>
      <c r="E139" s="1585"/>
      <c r="F139" s="1585"/>
      <c r="G139" s="1585"/>
      <c r="H139" s="1585"/>
      <c r="I139" s="1585"/>
      <c r="J139" s="1585"/>
      <c r="N139" s="1793"/>
    </row>
    <row r="140" spans="1:14" x14ac:dyDescent="0.2">
      <c r="A140" s="1771"/>
      <c r="B140" s="1585"/>
      <c r="C140" s="1585"/>
      <c r="D140" s="1585"/>
      <c r="E140" s="1585"/>
      <c r="F140" s="1585"/>
      <c r="G140" s="1585"/>
      <c r="H140" s="1585"/>
      <c r="I140" s="1585"/>
      <c r="J140" s="1585"/>
      <c r="N140" s="1793"/>
    </row>
    <row r="141" spans="1:14" ht="12" thickBot="1" x14ac:dyDescent="0.25">
      <c r="A141" s="1773"/>
      <c r="B141" s="1585"/>
      <c r="C141" s="1585"/>
      <c r="D141" s="1585"/>
      <c r="E141" s="1585"/>
      <c r="F141" s="1585"/>
      <c r="G141" s="1585"/>
      <c r="H141" s="1585"/>
      <c r="I141" s="1585"/>
      <c r="J141" s="1585"/>
      <c r="N141" s="1793"/>
    </row>
    <row r="142" spans="1:14" x14ac:dyDescent="0.2">
      <c r="A142" s="1777"/>
      <c r="B142" s="1585"/>
      <c r="C142" s="1585"/>
      <c r="D142" s="1585"/>
      <c r="E142" s="1585"/>
      <c r="F142" s="1585"/>
      <c r="G142" s="1585"/>
      <c r="H142" s="1585"/>
      <c r="I142" s="1585"/>
      <c r="J142" s="1585"/>
      <c r="N142" s="1793"/>
    </row>
    <row r="143" spans="1:14" x14ac:dyDescent="0.2">
      <c r="A143" s="1771"/>
      <c r="B143" s="1585"/>
      <c r="C143" s="1585"/>
      <c r="D143" s="1585"/>
      <c r="E143" s="1585"/>
      <c r="F143" s="1585"/>
      <c r="G143" s="1585"/>
      <c r="H143" s="1585"/>
      <c r="I143" s="1585"/>
      <c r="J143" s="1585"/>
      <c r="N143" s="1793"/>
    </row>
    <row r="144" spans="1:14" x14ac:dyDescent="0.2">
      <c r="A144" s="1771"/>
      <c r="B144" s="1585"/>
      <c r="C144" s="1585"/>
      <c r="D144" s="1585"/>
      <c r="E144" s="1585"/>
      <c r="F144" s="1585"/>
      <c r="G144" s="1585"/>
      <c r="H144" s="1585"/>
      <c r="I144" s="1585"/>
      <c r="J144" s="1585"/>
      <c r="N144" s="1793"/>
    </row>
    <row r="145" spans="1:14" x14ac:dyDescent="0.2">
      <c r="A145" s="1771"/>
      <c r="B145" s="1585"/>
      <c r="C145" s="1585"/>
      <c r="D145" s="1585"/>
      <c r="E145" s="1585"/>
      <c r="F145" s="1585"/>
      <c r="G145" s="1585"/>
      <c r="H145" s="1585"/>
      <c r="I145" s="1585"/>
      <c r="J145" s="1585"/>
      <c r="N145" s="1793"/>
    </row>
    <row r="146" spans="1:14" x14ac:dyDescent="0.2">
      <c r="A146" s="1771"/>
      <c r="B146" s="1585"/>
      <c r="C146" s="1585"/>
      <c r="D146" s="1585"/>
      <c r="E146" s="1585"/>
      <c r="F146" s="1585"/>
      <c r="G146" s="1585"/>
      <c r="H146" s="1585"/>
      <c r="I146" s="1585"/>
      <c r="J146" s="1585"/>
      <c r="N146" s="1793"/>
    </row>
    <row r="147" spans="1:14" x14ac:dyDescent="0.2">
      <c r="A147" s="1771"/>
      <c r="B147" s="1585"/>
      <c r="C147" s="1585"/>
      <c r="D147" s="1585"/>
      <c r="E147" s="1585"/>
      <c r="F147" s="1585"/>
      <c r="G147" s="1585"/>
      <c r="H147" s="1585"/>
      <c r="I147" s="1585"/>
      <c r="J147" s="1585"/>
      <c r="N147" s="1793"/>
    </row>
    <row r="148" spans="1:14" x14ac:dyDescent="0.2">
      <c r="A148" s="1771"/>
      <c r="B148" s="1585"/>
      <c r="C148" s="1585"/>
      <c r="D148" s="1585"/>
      <c r="E148" s="1585"/>
      <c r="F148" s="1585"/>
      <c r="G148" s="1585"/>
      <c r="H148" s="1585"/>
      <c r="I148" s="1585"/>
      <c r="J148" s="1585"/>
      <c r="N148" s="1793"/>
    </row>
    <row r="149" spans="1:14" x14ac:dyDescent="0.2">
      <c r="A149" s="1771"/>
      <c r="B149" s="1585"/>
      <c r="C149" s="1585"/>
      <c r="D149" s="1585"/>
      <c r="E149" s="1585"/>
      <c r="F149" s="1585"/>
      <c r="G149" s="1585"/>
      <c r="H149" s="1585"/>
      <c r="I149" s="1585"/>
      <c r="J149" s="1585"/>
      <c r="N149" s="1793"/>
    </row>
    <row r="150" spans="1:14" x14ac:dyDescent="0.2">
      <c r="A150" s="1771"/>
      <c r="B150" s="1585"/>
      <c r="C150" s="1585"/>
      <c r="D150" s="1585"/>
      <c r="E150" s="1585"/>
      <c r="F150" s="1585"/>
      <c r="G150" s="1585"/>
      <c r="H150" s="1585"/>
      <c r="I150" s="1585"/>
      <c r="J150" s="1585"/>
      <c r="N150" s="1793"/>
    </row>
    <row r="151" spans="1:14" x14ac:dyDescent="0.2">
      <c r="A151" s="1771"/>
      <c r="B151" s="1585"/>
      <c r="C151" s="1585"/>
      <c r="D151" s="1585"/>
      <c r="E151" s="1585"/>
      <c r="F151" s="1585"/>
      <c r="G151" s="1585"/>
      <c r="H151" s="1585"/>
      <c r="I151" s="1585"/>
      <c r="J151" s="1585"/>
      <c r="N151" s="1793"/>
    </row>
    <row r="152" spans="1:14" x14ac:dyDescent="0.2">
      <c r="A152" s="1771"/>
      <c r="B152" s="1585"/>
      <c r="C152" s="1585"/>
      <c r="D152" s="1585"/>
      <c r="E152" s="1585"/>
      <c r="F152" s="1585"/>
      <c r="G152" s="1585"/>
      <c r="H152" s="1585"/>
      <c r="I152" s="1585"/>
      <c r="J152" s="1585"/>
      <c r="N152" s="1793"/>
    </row>
    <row r="153" spans="1:14" ht="12" thickBot="1" x14ac:dyDescent="0.25">
      <c r="A153" s="1773"/>
      <c r="B153" s="1585"/>
      <c r="C153" s="1585"/>
      <c r="D153" s="1585"/>
      <c r="E153" s="1585"/>
      <c r="F153" s="1585"/>
      <c r="G153" s="1585"/>
      <c r="H153" s="1585"/>
      <c r="I153" s="1585"/>
      <c r="J153" s="1585"/>
      <c r="N153" s="1793"/>
    </row>
    <row r="154" spans="1:14" x14ac:dyDescent="0.2">
      <c r="A154" s="1777"/>
      <c r="B154" s="1585"/>
      <c r="C154" s="1585"/>
      <c r="D154" s="1585"/>
      <c r="E154" s="1585"/>
      <c r="F154" s="1585"/>
      <c r="G154" s="1585"/>
      <c r="H154" s="1585"/>
      <c r="I154" s="1585"/>
      <c r="J154" s="1585"/>
      <c r="N154" s="1793"/>
    </row>
    <row r="155" spans="1:14" x14ac:dyDescent="0.2">
      <c r="A155" s="1771"/>
      <c r="B155" s="1585"/>
      <c r="C155" s="1585"/>
      <c r="D155" s="1585"/>
      <c r="E155" s="1585"/>
      <c r="F155" s="1585"/>
      <c r="G155" s="1585"/>
      <c r="H155" s="1585"/>
      <c r="I155" s="1585"/>
      <c r="J155" s="1585"/>
      <c r="N155" s="1793"/>
    </row>
    <row r="156" spans="1:14" x14ac:dyDescent="0.2">
      <c r="A156" s="1771"/>
      <c r="B156" s="1585"/>
      <c r="C156" s="1585"/>
      <c r="D156" s="1585"/>
      <c r="E156" s="1585"/>
      <c r="F156" s="1585"/>
      <c r="G156" s="1585"/>
      <c r="H156" s="1585"/>
      <c r="I156" s="1585"/>
      <c r="J156" s="1585"/>
      <c r="N156" s="1793"/>
    </row>
    <row r="157" spans="1:14" x14ac:dyDescent="0.2">
      <c r="A157" s="1771"/>
      <c r="B157" s="1585"/>
      <c r="C157" s="1585"/>
      <c r="D157" s="1585"/>
      <c r="E157" s="1585"/>
      <c r="F157" s="1585"/>
      <c r="G157" s="1585"/>
      <c r="H157" s="1585"/>
      <c r="I157" s="1585"/>
      <c r="J157" s="1585"/>
      <c r="N157" s="1793"/>
    </row>
    <row r="158" spans="1:14" x14ac:dyDescent="0.2">
      <c r="A158" s="1771"/>
      <c r="B158" s="1585"/>
      <c r="C158" s="1585"/>
      <c r="D158" s="1585"/>
      <c r="E158" s="1585"/>
      <c r="F158" s="1585"/>
      <c r="G158" s="1585"/>
      <c r="H158" s="1585"/>
      <c r="I158" s="1585"/>
      <c r="J158" s="1585"/>
      <c r="N158" s="1793"/>
    </row>
    <row r="159" spans="1:14" ht="12" thickBot="1" x14ac:dyDescent="0.25">
      <c r="A159" s="1771"/>
      <c r="B159" s="1585"/>
      <c r="C159" s="1585"/>
      <c r="D159" s="1585"/>
      <c r="E159" s="1585"/>
      <c r="F159" s="1585"/>
      <c r="G159" s="1585"/>
      <c r="H159" s="1585"/>
      <c r="I159" s="1585"/>
      <c r="J159" s="1585"/>
      <c r="N159" s="1793"/>
    </row>
    <row r="160" spans="1:14" x14ac:dyDescent="0.2">
      <c r="A160" s="1777"/>
      <c r="B160" s="1585"/>
      <c r="C160" s="1585"/>
      <c r="D160" s="1585"/>
      <c r="E160" s="1585"/>
      <c r="F160" s="1585"/>
      <c r="G160" s="1585"/>
      <c r="H160" s="1585"/>
      <c r="I160" s="1585"/>
      <c r="J160" s="1585"/>
      <c r="N160" s="1793"/>
    </row>
    <row r="161" spans="1:14" x14ac:dyDescent="0.2">
      <c r="A161" s="1771"/>
      <c r="B161" s="1585"/>
      <c r="C161" s="1585"/>
      <c r="D161" s="1585"/>
      <c r="E161" s="1585"/>
      <c r="F161" s="1585"/>
      <c r="G161" s="1585"/>
      <c r="H161" s="1585"/>
      <c r="I161" s="1585"/>
      <c r="J161" s="1585"/>
      <c r="N161" s="1793"/>
    </row>
    <row r="162" spans="1:14" x14ac:dyDescent="0.2">
      <c r="A162" s="1771"/>
      <c r="B162" s="1585"/>
      <c r="C162" s="1585"/>
      <c r="D162" s="1585"/>
      <c r="E162" s="1585"/>
      <c r="F162" s="1585"/>
      <c r="G162" s="1585"/>
      <c r="H162" s="1585"/>
      <c r="I162" s="1585"/>
      <c r="J162" s="1585"/>
      <c r="N162" s="1793"/>
    </row>
    <row r="163" spans="1:14" x14ac:dyDescent="0.2">
      <c r="A163" s="1771"/>
      <c r="B163" s="1585"/>
      <c r="C163" s="1585"/>
      <c r="D163" s="1585"/>
      <c r="E163" s="1585"/>
      <c r="F163" s="1585"/>
      <c r="G163" s="1585"/>
      <c r="H163" s="1585"/>
      <c r="I163" s="1585"/>
      <c r="J163" s="1585"/>
      <c r="N163" s="1793"/>
    </row>
    <row r="164" spans="1:14" x14ac:dyDescent="0.2">
      <c r="A164" s="1771"/>
      <c r="B164" s="1585"/>
      <c r="C164" s="1585"/>
      <c r="D164" s="1585"/>
      <c r="E164" s="1585"/>
      <c r="F164" s="1585"/>
      <c r="G164" s="1585"/>
      <c r="H164" s="1585"/>
      <c r="I164" s="1585"/>
      <c r="J164" s="1585"/>
      <c r="N164" s="1793"/>
    </row>
    <row r="165" spans="1:14" ht="12" thickBot="1" x14ac:dyDescent="0.25">
      <c r="A165" s="1773"/>
      <c r="B165" s="1585"/>
      <c r="C165" s="1585"/>
      <c r="D165" s="1585"/>
      <c r="E165" s="1585"/>
      <c r="F165" s="1585"/>
      <c r="G165" s="1585"/>
      <c r="H165" s="1585"/>
      <c r="I165" s="1585"/>
      <c r="J165" s="1585"/>
      <c r="N165" s="1793"/>
    </row>
    <row r="166" spans="1:14" x14ac:dyDescent="0.2">
      <c r="A166" s="1777"/>
      <c r="B166" s="1585"/>
      <c r="C166" s="1585"/>
      <c r="D166" s="1585"/>
      <c r="E166" s="1585"/>
      <c r="F166" s="1585"/>
      <c r="G166" s="1585"/>
      <c r="H166" s="1585"/>
      <c r="I166" s="1585"/>
      <c r="J166" s="1585"/>
      <c r="N166" s="1793"/>
    </row>
    <row r="167" spans="1:14" x14ac:dyDescent="0.2">
      <c r="A167" s="1771"/>
      <c r="B167" s="1585"/>
      <c r="C167" s="1585"/>
      <c r="D167" s="1585"/>
      <c r="E167" s="1585"/>
      <c r="F167" s="1585"/>
      <c r="G167" s="1585"/>
      <c r="H167" s="1585"/>
      <c r="I167" s="1585"/>
      <c r="J167" s="1585"/>
      <c r="N167" s="1793"/>
    </row>
    <row r="168" spans="1:14" ht="12" thickBot="1" x14ac:dyDescent="0.25">
      <c r="A168" s="1773"/>
      <c r="B168" s="1585"/>
      <c r="C168" s="1585"/>
      <c r="D168" s="1585"/>
      <c r="E168" s="1585"/>
      <c r="F168" s="1585"/>
      <c r="G168" s="1585"/>
      <c r="H168" s="1585"/>
      <c r="I168" s="1585"/>
      <c r="J168" s="1585"/>
      <c r="N168" s="1793"/>
    </row>
    <row r="169" spans="1:14" x14ac:dyDescent="0.2">
      <c r="A169" s="1777"/>
      <c r="B169" s="1585"/>
      <c r="C169" s="1585"/>
      <c r="D169" s="1585"/>
      <c r="E169" s="1585"/>
      <c r="F169" s="1585"/>
      <c r="G169" s="1585"/>
      <c r="H169" s="1585"/>
      <c r="I169" s="1585"/>
      <c r="J169" s="1585"/>
      <c r="N169" s="1793"/>
    </row>
    <row r="170" spans="1:14" x14ac:dyDescent="0.2">
      <c r="A170" s="1771"/>
      <c r="B170" s="1585"/>
      <c r="C170" s="1585"/>
      <c r="D170" s="1585"/>
      <c r="E170" s="1585"/>
      <c r="F170" s="1585"/>
      <c r="G170" s="1585"/>
      <c r="H170" s="1585"/>
      <c r="I170" s="1585"/>
      <c r="J170" s="1585"/>
      <c r="N170" s="1793"/>
    </row>
    <row r="171" spans="1:14" x14ac:dyDescent="0.2">
      <c r="A171" s="1771"/>
      <c r="B171" s="1585"/>
      <c r="C171" s="1585"/>
      <c r="D171" s="1585"/>
      <c r="E171" s="1585"/>
      <c r="F171" s="1585"/>
      <c r="G171" s="1585"/>
      <c r="H171" s="1585"/>
      <c r="I171" s="1585"/>
      <c r="J171" s="1585"/>
      <c r="N171" s="1793"/>
    </row>
    <row r="172" spans="1:14" x14ac:dyDescent="0.2">
      <c r="A172" s="1771"/>
      <c r="B172" s="1585"/>
      <c r="C172" s="1585"/>
      <c r="D172" s="1585"/>
      <c r="E172" s="1585"/>
      <c r="F172" s="1585"/>
      <c r="G172" s="1585"/>
      <c r="H172" s="1585"/>
      <c r="I172" s="1585"/>
      <c r="J172" s="1585"/>
      <c r="N172" s="1793"/>
    </row>
    <row r="173" spans="1:14" x14ac:dyDescent="0.2">
      <c r="A173" s="1771"/>
      <c r="B173" s="1585"/>
      <c r="C173" s="1585"/>
      <c r="D173" s="1585"/>
      <c r="E173" s="1585"/>
      <c r="F173" s="1585"/>
      <c r="G173" s="1585"/>
      <c r="H173" s="1585"/>
      <c r="I173" s="1585"/>
      <c r="J173" s="1585"/>
      <c r="N173" s="1793"/>
    </row>
    <row r="174" spans="1:14" x14ac:dyDescent="0.2">
      <c r="A174" s="1771"/>
      <c r="B174" s="1585"/>
      <c r="C174" s="1585"/>
      <c r="D174" s="1585"/>
      <c r="E174" s="1585"/>
      <c r="F174" s="1585"/>
      <c r="G174" s="1585"/>
      <c r="H174" s="1585"/>
      <c r="I174" s="1585"/>
      <c r="J174" s="1585"/>
      <c r="N174" s="1793"/>
    </row>
    <row r="175" spans="1:14" x14ac:dyDescent="0.2">
      <c r="A175" s="1771"/>
      <c r="B175" s="1585"/>
      <c r="C175" s="1585"/>
      <c r="D175" s="1585"/>
      <c r="E175" s="1585"/>
      <c r="F175" s="1585"/>
      <c r="G175" s="1585"/>
      <c r="H175" s="1585"/>
      <c r="I175" s="1585"/>
      <c r="J175" s="1585"/>
      <c r="N175" s="1793"/>
    </row>
    <row r="176" spans="1:14" x14ac:dyDescent="0.2">
      <c r="A176" s="1771"/>
      <c r="B176" s="1585"/>
      <c r="C176" s="1585"/>
      <c r="D176" s="1585"/>
      <c r="E176" s="1585"/>
      <c r="F176" s="1585"/>
      <c r="G176" s="1585"/>
      <c r="H176" s="1585"/>
      <c r="I176" s="1585"/>
      <c r="J176" s="1585"/>
      <c r="N176" s="1793"/>
    </row>
    <row r="177" spans="1:14" ht="12" thickBot="1" x14ac:dyDescent="0.25">
      <c r="A177" s="1773"/>
      <c r="B177" s="1585"/>
      <c r="C177" s="1585"/>
      <c r="D177" s="1585"/>
      <c r="E177" s="1585"/>
      <c r="F177" s="1585"/>
      <c r="G177" s="1585"/>
      <c r="H177" s="1585"/>
      <c r="I177" s="1585"/>
      <c r="J177" s="1585"/>
      <c r="N177" s="1793"/>
    </row>
    <row r="178" spans="1:14" x14ac:dyDescent="0.2">
      <c r="A178" s="1777"/>
      <c r="B178" s="1585"/>
      <c r="C178" s="1585"/>
      <c r="D178" s="1585"/>
      <c r="E178" s="1585"/>
      <c r="F178" s="1585"/>
      <c r="G178" s="1585"/>
      <c r="H178" s="1585"/>
      <c r="I178" s="1585"/>
      <c r="J178" s="1585"/>
      <c r="N178" s="1793"/>
    </row>
    <row r="179" spans="1:14" x14ac:dyDescent="0.2">
      <c r="A179" s="1771"/>
      <c r="B179" s="1585"/>
      <c r="C179" s="1585"/>
      <c r="D179" s="1585"/>
      <c r="E179" s="1585"/>
      <c r="F179" s="1585"/>
      <c r="G179" s="1585"/>
      <c r="H179" s="1585"/>
      <c r="I179" s="1585"/>
      <c r="J179" s="1585"/>
      <c r="N179" s="1793"/>
    </row>
    <row r="180" spans="1:14" x14ac:dyDescent="0.2">
      <c r="A180" s="1771"/>
      <c r="B180" s="1585"/>
      <c r="C180" s="1585"/>
      <c r="D180" s="1585"/>
      <c r="E180" s="1585"/>
      <c r="F180" s="1585"/>
      <c r="G180" s="1585"/>
      <c r="H180" s="1585"/>
      <c r="I180" s="1585"/>
      <c r="J180" s="1585"/>
      <c r="N180" s="1793"/>
    </row>
    <row r="181" spans="1:14" x14ac:dyDescent="0.2">
      <c r="A181" s="1771"/>
      <c r="B181" s="1585"/>
      <c r="C181" s="1585"/>
      <c r="D181" s="1585"/>
      <c r="E181" s="1585"/>
      <c r="F181" s="1585"/>
      <c r="G181" s="1585"/>
      <c r="H181" s="1585"/>
      <c r="I181" s="1585"/>
      <c r="J181" s="1585"/>
      <c r="N181" s="1793"/>
    </row>
    <row r="182" spans="1:14" x14ac:dyDescent="0.2">
      <c r="A182" s="1771"/>
      <c r="B182" s="1585"/>
      <c r="C182" s="1585"/>
      <c r="D182" s="1585"/>
      <c r="E182" s="1585"/>
      <c r="F182" s="1585"/>
      <c r="G182" s="1585"/>
      <c r="H182" s="1585"/>
      <c r="I182" s="1585"/>
      <c r="J182" s="1585"/>
      <c r="N182" s="1793"/>
    </row>
    <row r="183" spans="1:14" x14ac:dyDescent="0.2">
      <c r="A183" s="1771"/>
      <c r="B183" s="1585"/>
      <c r="C183" s="1585"/>
      <c r="D183" s="1585"/>
      <c r="E183" s="1585"/>
      <c r="F183" s="1585"/>
      <c r="G183" s="1585"/>
      <c r="H183" s="1585"/>
      <c r="I183" s="1585"/>
      <c r="J183" s="1585"/>
      <c r="N183" s="1793"/>
    </row>
    <row r="184" spans="1:14" x14ac:dyDescent="0.2">
      <c r="A184" s="1771"/>
      <c r="B184" s="1585"/>
      <c r="C184" s="1585"/>
      <c r="D184" s="1585"/>
      <c r="E184" s="1585"/>
      <c r="F184" s="1585"/>
      <c r="G184" s="1585"/>
      <c r="H184" s="1585"/>
      <c r="I184" s="1585"/>
      <c r="J184" s="1585"/>
      <c r="N184" s="1793"/>
    </row>
    <row r="185" spans="1:14" x14ac:dyDescent="0.2">
      <c r="A185" s="1771"/>
      <c r="B185" s="1585"/>
      <c r="C185" s="1585"/>
      <c r="D185" s="1585"/>
      <c r="E185" s="1585"/>
      <c r="F185" s="1585"/>
      <c r="G185" s="1585"/>
      <c r="H185" s="1585"/>
      <c r="I185" s="1585"/>
      <c r="J185" s="1585"/>
      <c r="N185" s="1793"/>
    </row>
    <row r="186" spans="1:14" x14ac:dyDescent="0.2">
      <c r="A186" s="1771"/>
      <c r="B186" s="1585"/>
      <c r="C186" s="1585"/>
      <c r="D186" s="1585"/>
      <c r="E186" s="1585"/>
      <c r="F186" s="1585"/>
      <c r="G186" s="1585"/>
      <c r="H186" s="1585"/>
      <c r="I186" s="1585"/>
      <c r="J186" s="1585"/>
      <c r="N186" s="1793"/>
    </row>
    <row r="187" spans="1:14" x14ac:dyDescent="0.2">
      <c r="A187" s="1771"/>
      <c r="B187" s="1585"/>
      <c r="C187" s="1585"/>
      <c r="D187" s="1585"/>
      <c r="E187" s="1585"/>
      <c r="F187" s="1585"/>
      <c r="G187" s="1585"/>
      <c r="H187" s="1585"/>
      <c r="I187" s="1585"/>
      <c r="J187" s="1585"/>
      <c r="N187" s="1793"/>
    </row>
    <row r="188" spans="1:14" x14ac:dyDescent="0.2">
      <c r="A188" s="1771"/>
      <c r="B188" s="1585"/>
      <c r="C188" s="1585"/>
      <c r="D188" s="1585"/>
      <c r="E188" s="1585"/>
      <c r="F188" s="1585"/>
      <c r="G188" s="1585"/>
      <c r="H188" s="1585"/>
      <c r="I188" s="1585"/>
      <c r="J188" s="1585"/>
      <c r="N188" s="1793"/>
    </row>
    <row r="189" spans="1:14" ht="12" thickBot="1" x14ac:dyDescent="0.25">
      <c r="A189" s="1773"/>
      <c r="B189" s="1585"/>
      <c r="C189" s="1585"/>
      <c r="D189" s="1585"/>
      <c r="E189" s="1585"/>
      <c r="F189" s="1585"/>
      <c r="G189" s="1585"/>
      <c r="H189" s="1585"/>
      <c r="I189" s="1585"/>
      <c r="J189" s="1585"/>
      <c r="N189" s="1793"/>
    </row>
    <row r="190" spans="1:14" x14ac:dyDescent="0.2">
      <c r="B190" s="1585"/>
      <c r="C190" s="1585"/>
      <c r="D190" s="1585"/>
      <c r="E190" s="1585"/>
      <c r="F190" s="1585"/>
      <c r="G190" s="1585"/>
      <c r="H190" s="1585"/>
      <c r="I190" s="1585"/>
      <c r="J190" s="1585"/>
      <c r="N190" s="1793"/>
    </row>
    <row r="191" spans="1:14" x14ac:dyDescent="0.2">
      <c r="B191" s="1585"/>
      <c r="C191" s="1585"/>
      <c r="D191" s="1585"/>
      <c r="E191" s="1585"/>
      <c r="F191" s="1585"/>
      <c r="G191" s="1585"/>
      <c r="H191" s="1585"/>
      <c r="I191" s="1585"/>
      <c r="J191" s="1585"/>
      <c r="N191" s="1793"/>
    </row>
    <row r="192" spans="1:14" x14ac:dyDescent="0.2">
      <c r="B192" s="1585"/>
      <c r="C192" s="1585"/>
      <c r="D192" s="1585"/>
      <c r="E192" s="1585"/>
      <c r="F192" s="1585"/>
      <c r="G192" s="1585"/>
      <c r="H192" s="1585"/>
      <c r="I192" s="1585"/>
      <c r="J192" s="1585"/>
      <c r="N192" s="1793"/>
    </row>
    <row r="193" spans="1:14" x14ac:dyDescent="0.2">
      <c r="B193" s="1585"/>
      <c r="C193" s="1585"/>
      <c r="D193" s="1585"/>
      <c r="E193" s="1585"/>
      <c r="F193" s="1585"/>
      <c r="G193" s="1585"/>
      <c r="H193" s="1585"/>
      <c r="I193" s="1585"/>
      <c r="J193" s="1585"/>
      <c r="N193" s="1793"/>
    </row>
    <row r="194" spans="1:14" x14ac:dyDescent="0.2">
      <c r="B194" s="1585"/>
      <c r="C194" s="1585"/>
      <c r="D194" s="1585"/>
      <c r="E194" s="1585"/>
      <c r="F194" s="1585"/>
      <c r="G194" s="1585"/>
      <c r="H194" s="1585"/>
      <c r="I194" s="1585"/>
      <c r="J194" s="1585"/>
      <c r="N194" s="1793"/>
    </row>
    <row r="195" spans="1:14" x14ac:dyDescent="0.2">
      <c r="B195" s="1585"/>
      <c r="C195" s="1585"/>
      <c r="D195" s="1585"/>
      <c r="E195" s="1585"/>
      <c r="F195" s="1585"/>
      <c r="G195" s="1585"/>
      <c r="H195" s="1585"/>
      <c r="I195" s="1585"/>
      <c r="J195" s="1585"/>
      <c r="N195" s="1793"/>
    </row>
    <row r="196" spans="1:14" x14ac:dyDescent="0.2">
      <c r="B196" s="1585"/>
      <c r="C196" s="1585"/>
      <c r="D196" s="1585"/>
      <c r="E196" s="1585"/>
      <c r="F196" s="1585"/>
      <c r="G196" s="1585"/>
      <c r="H196" s="1585"/>
      <c r="I196" s="1585"/>
      <c r="J196" s="1585"/>
      <c r="N196" s="1793"/>
    </row>
    <row r="197" spans="1:14" x14ac:dyDescent="0.2">
      <c r="B197" s="1585"/>
      <c r="C197" s="1585"/>
      <c r="D197" s="1585"/>
      <c r="E197" s="1585"/>
      <c r="F197" s="1585"/>
      <c r="G197" s="1585"/>
      <c r="H197" s="1585"/>
      <c r="I197" s="1585"/>
      <c r="J197" s="1585"/>
      <c r="N197" s="1793"/>
    </row>
    <row r="198" spans="1:14" x14ac:dyDescent="0.2">
      <c r="B198" s="1585"/>
      <c r="C198" s="1585"/>
      <c r="D198" s="1585"/>
      <c r="E198" s="1585"/>
      <c r="F198" s="1585"/>
      <c r="G198" s="1585"/>
      <c r="H198" s="1585"/>
      <c r="I198" s="1585"/>
      <c r="J198" s="1585"/>
      <c r="N198" s="1793"/>
    </row>
    <row r="199" spans="1:14" x14ac:dyDescent="0.2">
      <c r="B199" s="1585"/>
      <c r="C199" s="1585"/>
      <c r="D199" s="1585"/>
      <c r="E199" s="1585"/>
      <c r="F199" s="1585"/>
      <c r="G199" s="1585"/>
      <c r="H199" s="1585"/>
      <c r="I199" s="1585"/>
      <c r="J199" s="1585"/>
      <c r="N199" s="1793"/>
    </row>
    <row r="200" spans="1:14" x14ac:dyDescent="0.2">
      <c r="B200" s="1585"/>
      <c r="C200" s="1585"/>
      <c r="D200" s="1585"/>
      <c r="E200" s="1585"/>
      <c r="F200" s="1585"/>
      <c r="G200" s="1585"/>
      <c r="H200" s="1585"/>
      <c r="I200" s="1585"/>
      <c r="J200" s="1585"/>
      <c r="N200" s="1793"/>
    </row>
    <row r="201" spans="1:14" ht="12" thickBot="1" x14ac:dyDescent="0.25">
      <c r="B201" s="1585"/>
      <c r="C201" s="1585"/>
      <c r="D201" s="1585"/>
      <c r="E201" s="1585"/>
      <c r="F201" s="1585"/>
      <c r="G201" s="1585"/>
      <c r="H201" s="1585"/>
      <c r="I201" s="1585"/>
      <c r="J201" s="1585"/>
      <c r="N201" s="1793"/>
    </row>
    <row r="202" spans="1:14" x14ac:dyDescent="0.2">
      <c r="A202" s="1777"/>
      <c r="B202" s="1585"/>
      <c r="C202" s="1585"/>
      <c r="D202" s="1585"/>
      <c r="E202" s="1585"/>
      <c r="F202" s="1585"/>
      <c r="G202" s="1585"/>
      <c r="H202" s="1585"/>
      <c r="I202" s="1585"/>
      <c r="J202" s="1585"/>
      <c r="N202" s="1793"/>
    </row>
    <row r="203" spans="1:14" x14ac:dyDescent="0.2">
      <c r="A203" s="1771"/>
      <c r="B203" s="1585"/>
      <c r="C203" s="1585"/>
      <c r="D203" s="1585"/>
      <c r="E203" s="1585"/>
      <c r="F203" s="1585"/>
      <c r="G203" s="1585"/>
      <c r="H203" s="1585"/>
      <c r="I203" s="1585"/>
      <c r="J203" s="1585"/>
      <c r="N203" s="1793"/>
    </row>
    <row r="204" spans="1:14" x14ac:dyDescent="0.2">
      <c r="A204" s="1771"/>
      <c r="B204" s="1585"/>
      <c r="C204" s="1585"/>
      <c r="D204" s="1585"/>
      <c r="E204" s="1585"/>
      <c r="F204" s="1585"/>
      <c r="G204" s="1585"/>
      <c r="H204" s="1585"/>
      <c r="I204" s="1585"/>
      <c r="J204" s="1585"/>
      <c r="N204" s="1793"/>
    </row>
    <row r="205" spans="1:14" x14ac:dyDescent="0.2">
      <c r="A205" s="1771"/>
      <c r="B205" s="1585"/>
      <c r="C205" s="1585"/>
      <c r="D205" s="1585"/>
      <c r="E205" s="1585"/>
      <c r="F205" s="1585"/>
      <c r="G205" s="1585"/>
      <c r="H205" s="1585"/>
      <c r="I205" s="1585"/>
      <c r="J205" s="1585"/>
      <c r="N205" s="1793"/>
    </row>
    <row r="206" spans="1:14" x14ac:dyDescent="0.2">
      <c r="A206" s="1771"/>
      <c r="B206" s="1585"/>
      <c r="C206" s="1585"/>
      <c r="D206" s="1585"/>
      <c r="E206" s="1585"/>
      <c r="F206" s="1585"/>
      <c r="G206" s="1585"/>
      <c r="H206" s="1585"/>
      <c r="I206" s="1585"/>
      <c r="J206" s="1585"/>
      <c r="N206" s="1793"/>
    </row>
    <row r="207" spans="1:14" x14ac:dyDescent="0.2">
      <c r="A207" s="1771"/>
      <c r="B207" s="1585"/>
      <c r="C207" s="1585"/>
      <c r="D207" s="1585"/>
      <c r="E207" s="1585"/>
      <c r="F207" s="1585"/>
      <c r="G207" s="1585"/>
      <c r="H207" s="1585"/>
      <c r="I207" s="1585"/>
      <c r="J207" s="1585"/>
      <c r="N207" s="1793"/>
    </row>
    <row r="208" spans="1:14" x14ac:dyDescent="0.2">
      <c r="A208" s="1771"/>
      <c r="B208" s="1585"/>
      <c r="C208" s="1585"/>
      <c r="D208" s="1585"/>
      <c r="E208" s="1585"/>
      <c r="F208" s="1585"/>
      <c r="G208" s="1585"/>
      <c r="H208" s="1585"/>
      <c r="I208" s="1585"/>
      <c r="J208" s="1585"/>
      <c r="N208" s="1793"/>
    </row>
    <row r="209" spans="1:14" x14ac:dyDescent="0.2">
      <c r="A209" s="1771"/>
      <c r="B209" s="1585"/>
      <c r="C209" s="1585"/>
      <c r="D209" s="1585"/>
      <c r="E209" s="1585"/>
      <c r="F209" s="1585"/>
      <c r="G209" s="1585"/>
      <c r="H209" s="1585"/>
      <c r="I209" s="1585"/>
      <c r="J209" s="1585"/>
      <c r="N209" s="1793"/>
    </row>
    <row r="210" spans="1:14" ht="12" thickBot="1" x14ac:dyDescent="0.25">
      <c r="A210" s="1773"/>
      <c r="B210" s="1585"/>
      <c r="C210" s="1585"/>
      <c r="D210" s="1585"/>
      <c r="E210" s="1585"/>
      <c r="F210" s="1585"/>
      <c r="G210" s="1585"/>
      <c r="H210" s="1585"/>
      <c r="I210" s="1585"/>
      <c r="J210" s="1585"/>
      <c r="N210" s="1793"/>
    </row>
    <row r="211" spans="1:14" x14ac:dyDescent="0.2">
      <c r="A211" s="1777"/>
      <c r="B211" s="1585"/>
      <c r="C211" s="1585"/>
      <c r="D211" s="1585"/>
      <c r="E211" s="1585"/>
      <c r="F211" s="1585"/>
      <c r="G211" s="1585"/>
      <c r="H211" s="1585"/>
      <c r="I211" s="1585"/>
      <c r="J211" s="1585"/>
      <c r="N211" s="1793"/>
    </row>
    <row r="212" spans="1:14" x14ac:dyDescent="0.2">
      <c r="A212" s="1771"/>
      <c r="B212" s="1585"/>
      <c r="C212" s="1585"/>
      <c r="D212" s="1585"/>
      <c r="E212" s="1585"/>
      <c r="F212" s="1585"/>
      <c r="G212" s="1585"/>
      <c r="H212" s="1585"/>
      <c r="I212" s="1585"/>
      <c r="J212" s="1585"/>
      <c r="N212" s="1793"/>
    </row>
    <row r="213" spans="1:14" x14ac:dyDescent="0.2">
      <c r="A213" s="1771"/>
      <c r="B213" s="1585"/>
      <c r="C213" s="1585"/>
      <c r="D213" s="1585"/>
      <c r="E213" s="1585"/>
      <c r="F213" s="1585"/>
      <c r="G213" s="1585"/>
      <c r="H213" s="1585"/>
      <c r="I213" s="1585"/>
      <c r="J213" s="1585"/>
      <c r="N213" s="1793"/>
    </row>
    <row r="214" spans="1:14" x14ac:dyDescent="0.2">
      <c r="A214" s="1771"/>
      <c r="B214" s="1585"/>
      <c r="C214" s="1585"/>
      <c r="D214" s="1585"/>
      <c r="E214" s="1585"/>
      <c r="F214" s="1585"/>
      <c r="G214" s="1585"/>
      <c r="H214" s="1585"/>
      <c r="I214" s="1585"/>
      <c r="J214" s="1585"/>
      <c r="N214" s="1793"/>
    </row>
    <row r="215" spans="1:14" x14ac:dyDescent="0.2">
      <c r="A215" s="1771"/>
      <c r="B215" s="1585"/>
      <c r="C215" s="1585"/>
      <c r="D215" s="1585"/>
      <c r="E215" s="1585"/>
      <c r="F215" s="1585"/>
      <c r="G215" s="1585"/>
      <c r="H215" s="1585"/>
      <c r="I215" s="1585"/>
      <c r="J215" s="1585"/>
      <c r="N215" s="1793"/>
    </row>
    <row r="216" spans="1:14" x14ac:dyDescent="0.2">
      <c r="A216" s="1771"/>
      <c r="B216" s="1585"/>
      <c r="C216" s="1585"/>
      <c r="D216" s="1585"/>
      <c r="E216" s="1585"/>
      <c r="F216" s="1585"/>
      <c r="G216" s="1585"/>
      <c r="H216" s="1585"/>
      <c r="I216" s="1585"/>
      <c r="J216" s="1585"/>
      <c r="N216" s="1793"/>
    </row>
    <row r="217" spans="1:14" x14ac:dyDescent="0.2">
      <c r="A217" s="1771"/>
      <c r="B217" s="1585"/>
      <c r="C217" s="1585"/>
      <c r="D217" s="1585"/>
      <c r="E217" s="1585"/>
      <c r="F217" s="1585"/>
      <c r="G217" s="1585"/>
      <c r="H217" s="1585"/>
      <c r="I217" s="1585"/>
      <c r="J217" s="1585"/>
      <c r="N217" s="1793"/>
    </row>
    <row r="218" spans="1:14" x14ac:dyDescent="0.2">
      <c r="A218" s="1771"/>
      <c r="B218" s="1585"/>
      <c r="C218" s="1585"/>
      <c r="D218" s="1585"/>
      <c r="E218" s="1585"/>
      <c r="F218" s="1585"/>
      <c r="G218" s="1585"/>
      <c r="H218" s="1585"/>
      <c r="I218" s="1585"/>
      <c r="J218" s="1585"/>
      <c r="N218" s="1793"/>
    </row>
    <row r="219" spans="1:14" x14ac:dyDescent="0.2">
      <c r="A219" s="1771"/>
      <c r="B219" s="1585"/>
      <c r="C219" s="1585"/>
      <c r="D219" s="1585"/>
      <c r="E219" s="1585"/>
      <c r="F219" s="1585"/>
      <c r="G219" s="1585"/>
      <c r="H219" s="1585"/>
      <c r="I219" s="1585"/>
      <c r="J219" s="1585"/>
      <c r="N219" s="1793"/>
    </row>
    <row r="220" spans="1:14" x14ac:dyDescent="0.2">
      <c r="A220" s="1771"/>
      <c r="B220" s="1585"/>
      <c r="C220" s="1585"/>
      <c r="D220" s="1585"/>
      <c r="E220" s="1585"/>
      <c r="F220" s="1585"/>
      <c r="G220" s="1585"/>
      <c r="H220" s="1585"/>
      <c r="I220" s="1585"/>
      <c r="J220" s="1585"/>
      <c r="N220" s="1793"/>
    </row>
    <row r="221" spans="1:14" x14ac:dyDescent="0.2">
      <c r="A221" s="1771"/>
      <c r="B221" s="1585"/>
      <c r="C221" s="1585"/>
      <c r="D221" s="1585"/>
      <c r="E221" s="1585"/>
      <c r="F221" s="1585"/>
      <c r="G221" s="1585"/>
      <c r="H221" s="1585"/>
      <c r="I221" s="1585"/>
      <c r="J221" s="1585"/>
      <c r="N221" s="1793"/>
    </row>
    <row r="222" spans="1:14" ht="12" thickBot="1" x14ac:dyDescent="0.25">
      <c r="A222" s="1773"/>
      <c r="B222" s="1585"/>
      <c r="C222" s="1585"/>
      <c r="D222" s="1585"/>
      <c r="E222" s="1585"/>
      <c r="F222" s="1585"/>
      <c r="G222" s="1585"/>
      <c r="H222" s="1585"/>
      <c r="I222" s="1585"/>
      <c r="J222" s="1585"/>
      <c r="N222" s="1793"/>
    </row>
    <row r="223" spans="1:14" x14ac:dyDescent="0.2">
      <c r="B223" s="1585"/>
      <c r="C223" s="1585"/>
      <c r="D223" s="1585"/>
      <c r="E223" s="1585"/>
      <c r="F223" s="1585"/>
      <c r="G223" s="1585"/>
      <c r="H223" s="1585"/>
      <c r="I223" s="1585"/>
      <c r="J223" s="1585"/>
      <c r="N223" s="1793"/>
    </row>
    <row r="224" spans="1:14" x14ac:dyDescent="0.2">
      <c r="B224" s="1585"/>
      <c r="C224" s="1585"/>
      <c r="D224" s="1585"/>
      <c r="E224" s="1585"/>
      <c r="F224" s="1585"/>
      <c r="G224" s="1585"/>
      <c r="H224" s="1585"/>
      <c r="I224" s="1585"/>
      <c r="J224" s="1585"/>
      <c r="N224" s="1793"/>
    </row>
    <row r="225" spans="2:14" x14ac:dyDescent="0.2">
      <c r="B225" s="1585"/>
      <c r="C225" s="1585"/>
      <c r="D225" s="1585"/>
      <c r="E225" s="1585"/>
      <c r="F225" s="1585"/>
      <c r="G225" s="1585"/>
      <c r="H225" s="1585"/>
      <c r="I225" s="1585"/>
      <c r="J225" s="1585"/>
      <c r="N225" s="1793"/>
    </row>
    <row r="226" spans="2:14" x14ac:dyDescent="0.2">
      <c r="B226" s="1585"/>
      <c r="C226" s="1585"/>
      <c r="D226" s="1585"/>
      <c r="E226" s="1585"/>
      <c r="F226" s="1585"/>
      <c r="G226" s="1585"/>
      <c r="H226" s="1585"/>
      <c r="I226" s="1585"/>
      <c r="J226" s="1585"/>
      <c r="N226" s="1793"/>
    </row>
    <row r="227" spans="2:14" x14ac:dyDescent="0.2">
      <c r="B227" s="1585"/>
      <c r="C227" s="1585"/>
      <c r="D227" s="1585"/>
      <c r="E227" s="1585"/>
      <c r="F227" s="1585"/>
      <c r="G227" s="1585"/>
      <c r="H227" s="1585"/>
      <c r="I227" s="1585"/>
      <c r="J227" s="1585"/>
      <c r="N227" s="1793"/>
    </row>
    <row r="228" spans="2:14" x14ac:dyDescent="0.2">
      <c r="B228" s="1585"/>
      <c r="C228" s="1585"/>
      <c r="D228" s="1585"/>
      <c r="E228" s="1585"/>
      <c r="F228" s="1585"/>
      <c r="G228" s="1585"/>
      <c r="H228" s="1585"/>
      <c r="I228" s="1585"/>
      <c r="J228" s="1585"/>
      <c r="N228" s="1793"/>
    </row>
    <row r="229" spans="2:14" x14ac:dyDescent="0.2">
      <c r="B229" s="1585"/>
      <c r="C229" s="1585"/>
      <c r="D229" s="1585"/>
      <c r="E229" s="1585"/>
      <c r="F229" s="1585"/>
      <c r="G229" s="1585"/>
      <c r="H229" s="1585"/>
      <c r="I229" s="1585"/>
      <c r="J229" s="1585"/>
      <c r="N229" s="1793"/>
    </row>
    <row r="230" spans="2:14" x14ac:dyDescent="0.2">
      <c r="B230" s="1585"/>
      <c r="C230" s="1585"/>
      <c r="D230" s="1585"/>
      <c r="E230" s="1585"/>
      <c r="F230" s="1585"/>
      <c r="G230" s="1585"/>
      <c r="H230" s="1585"/>
      <c r="I230" s="1585"/>
      <c r="J230" s="1585"/>
      <c r="N230" s="1793"/>
    </row>
    <row r="231" spans="2:14" x14ac:dyDescent="0.2">
      <c r="B231" s="1585"/>
      <c r="C231" s="1585"/>
      <c r="D231" s="1585"/>
      <c r="E231" s="1585"/>
      <c r="F231" s="1585"/>
      <c r="G231" s="1585"/>
      <c r="H231" s="1585"/>
      <c r="I231" s="1585"/>
      <c r="J231" s="1585"/>
      <c r="N231" s="1793"/>
    </row>
    <row r="232" spans="2:14" x14ac:dyDescent="0.2">
      <c r="B232" s="1585"/>
      <c r="C232" s="1585"/>
      <c r="D232" s="1585"/>
      <c r="E232" s="1585"/>
      <c r="F232" s="1585"/>
      <c r="G232" s="1585"/>
      <c r="H232" s="1585"/>
      <c r="I232" s="1585"/>
      <c r="J232" s="1585"/>
      <c r="N232" s="1793"/>
    </row>
    <row r="233" spans="2:14" x14ac:dyDescent="0.2">
      <c r="B233" s="1585"/>
      <c r="C233" s="1585"/>
      <c r="D233" s="1585"/>
      <c r="E233" s="1585"/>
      <c r="F233" s="1585"/>
      <c r="G233" s="1585"/>
      <c r="H233" s="1585"/>
      <c r="I233" s="1585"/>
      <c r="J233" s="1585"/>
      <c r="N233" s="1793"/>
    </row>
    <row r="234" spans="2:14" x14ac:dyDescent="0.2">
      <c r="B234" s="1585"/>
      <c r="C234" s="1585"/>
      <c r="D234" s="1585"/>
      <c r="E234" s="1585"/>
      <c r="F234" s="1585"/>
      <c r="G234" s="1585"/>
      <c r="H234" s="1585"/>
      <c r="I234" s="1585"/>
      <c r="J234" s="1585"/>
      <c r="N234" s="1793"/>
    </row>
    <row r="235" spans="2:14" x14ac:dyDescent="0.2">
      <c r="B235" s="1585"/>
      <c r="C235" s="1585"/>
      <c r="D235" s="1585"/>
      <c r="E235" s="1585"/>
      <c r="F235" s="1585"/>
      <c r="G235" s="1585"/>
      <c r="H235" s="1585"/>
      <c r="I235" s="1585"/>
      <c r="J235" s="1585"/>
      <c r="N235" s="1793"/>
    </row>
    <row r="236" spans="2:14" x14ac:dyDescent="0.2">
      <c r="B236" s="1585"/>
      <c r="C236" s="1585"/>
      <c r="D236" s="1585"/>
      <c r="E236" s="1585"/>
      <c r="F236" s="1585"/>
      <c r="G236" s="1585"/>
      <c r="H236" s="1585"/>
      <c r="I236" s="1585"/>
      <c r="J236" s="1585"/>
      <c r="N236" s="1793"/>
    </row>
    <row r="237" spans="2:14" x14ac:dyDescent="0.2">
      <c r="B237" s="1585"/>
      <c r="C237" s="1585"/>
      <c r="D237" s="1585"/>
      <c r="E237" s="1585"/>
      <c r="F237" s="1585"/>
      <c r="G237" s="1585"/>
      <c r="H237" s="1585"/>
      <c r="I237" s="1585"/>
      <c r="J237" s="1585"/>
      <c r="N237" s="1793"/>
    </row>
    <row r="238" spans="2:14" x14ac:dyDescent="0.2">
      <c r="B238" s="1585"/>
      <c r="C238" s="1585"/>
      <c r="D238" s="1585"/>
      <c r="E238" s="1585"/>
      <c r="F238" s="1585"/>
      <c r="G238" s="1585"/>
      <c r="H238" s="1585"/>
      <c r="I238" s="1585"/>
      <c r="J238" s="1585"/>
      <c r="N238" s="1793"/>
    </row>
    <row r="239" spans="2:14" x14ac:dyDescent="0.2">
      <c r="B239" s="1585"/>
      <c r="C239" s="1585"/>
      <c r="D239" s="1585"/>
      <c r="E239" s="1585"/>
      <c r="F239" s="1585"/>
      <c r="G239" s="1585"/>
      <c r="H239" s="1585"/>
      <c r="I239" s="1585"/>
      <c r="J239" s="1585"/>
      <c r="N239" s="1793"/>
    </row>
    <row r="240" spans="2:14" x14ac:dyDescent="0.2">
      <c r="B240" s="1585"/>
      <c r="C240" s="1585"/>
      <c r="D240" s="1585"/>
      <c r="E240" s="1585"/>
      <c r="F240" s="1585"/>
      <c r="G240" s="1585"/>
      <c r="H240" s="1585"/>
      <c r="I240" s="1585"/>
      <c r="J240" s="1585"/>
      <c r="N240" s="1793"/>
    </row>
    <row r="241" spans="1:14" x14ac:dyDescent="0.2">
      <c r="B241" s="1585"/>
      <c r="C241" s="1585"/>
      <c r="D241" s="1585"/>
      <c r="E241" s="1585"/>
      <c r="F241" s="1585"/>
      <c r="G241" s="1585"/>
      <c r="H241" s="1585"/>
      <c r="I241" s="1585"/>
      <c r="J241" s="1585"/>
      <c r="N241" s="1793"/>
    </row>
    <row r="242" spans="1:14" x14ac:dyDescent="0.2">
      <c r="B242" s="1585"/>
      <c r="C242" s="1585"/>
      <c r="D242" s="1585"/>
      <c r="E242" s="1585"/>
      <c r="F242" s="1585"/>
      <c r="G242" s="1585"/>
      <c r="H242" s="1585"/>
      <c r="I242" s="1585"/>
      <c r="J242" s="1585"/>
      <c r="N242" s="1793"/>
    </row>
    <row r="243" spans="1:14" ht="12" thickBot="1" x14ac:dyDescent="0.25">
      <c r="B243" s="1585"/>
      <c r="C243" s="1585"/>
      <c r="D243" s="1585"/>
      <c r="E243" s="1585"/>
      <c r="F243" s="1585"/>
      <c r="G243" s="1585"/>
      <c r="H243" s="1585"/>
      <c r="I243" s="1585"/>
      <c r="J243" s="1585"/>
      <c r="N243" s="1793"/>
    </row>
    <row r="244" spans="1:14" x14ac:dyDescent="0.2">
      <c r="A244" s="1777"/>
      <c r="B244" s="1585"/>
      <c r="C244" s="1585"/>
      <c r="D244" s="1585"/>
      <c r="E244" s="1585"/>
      <c r="F244" s="1585"/>
      <c r="G244" s="1585"/>
      <c r="H244" s="1585"/>
      <c r="I244" s="1585"/>
      <c r="J244" s="1585"/>
      <c r="N244" s="1793"/>
    </row>
    <row r="245" spans="1:14" x14ac:dyDescent="0.2">
      <c r="A245" s="1771"/>
      <c r="B245" s="1585"/>
      <c r="C245" s="1585"/>
      <c r="D245" s="1585"/>
      <c r="E245" s="1585"/>
      <c r="F245" s="1585"/>
      <c r="G245" s="1585"/>
      <c r="H245" s="1585"/>
      <c r="I245" s="1585"/>
      <c r="J245" s="1585"/>
      <c r="N245" s="1793"/>
    </row>
    <row r="246" spans="1:14" x14ac:dyDescent="0.2">
      <c r="A246" s="1771"/>
      <c r="B246" s="1585"/>
      <c r="C246" s="1585"/>
      <c r="D246" s="1585"/>
      <c r="E246" s="1585"/>
      <c r="F246" s="1585"/>
      <c r="G246" s="1585"/>
      <c r="H246" s="1585"/>
      <c r="I246" s="1585"/>
      <c r="J246" s="1585"/>
      <c r="N246" s="1793"/>
    </row>
    <row r="247" spans="1:14" x14ac:dyDescent="0.2">
      <c r="A247" s="1771"/>
      <c r="B247" s="1585"/>
      <c r="C247" s="1585"/>
      <c r="D247" s="1585"/>
      <c r="E247" s="1585"/>
      <c r="F247" s="1585"/>
      <c r="G247" s="1585"/>
      <c r="H247" s="1585"/>
      <c r="I247" s="1585"/>
      <c r="J247" s="1585"/>
      <c r="N247" s="1793"/>
    </row>
    <row r="248" spans="1:14" x14ac:dyDescent="0.2">
      <c r="A248" s="1771"/>
      <c r="B248" s="1585"/>
      <c r="C248" s="1585"/>
      <c r="D248" s="1585"/>
      <c r="E248" s="1585"/>
      <c r="F248" s="1585"/>
      <c r="G248" s="1585"/>
      <c r="H248" s="1585"/>
      <c r="I248" s="1585"/>
      <c r="J248" s="1585"/>
      <c r="N248" s="1793"/>
    </row>
    <row r="249" spans="1:14" x14ac:dyDescent="0.2">
      <c r="A249" s="1771"/>
      <c r="B249" s="1585"/>
      <c r="C249" s="1585"/>
      <c r="D249" s="1585"/>
      <c r="E249" s="1585"/>
      <c r="F249" s="1585"/>
      <c r="G249" s="1585"/>
      <c r="H249" s="1585"/>
      <c r="I249" s="1585"/>
      <c r="J249" s="1585"/>
      <c r="N249" s="1793"/>
    </row>
    <row r="250" spans="1:14" x14ac:dyDescent="0.2">
      <c r="A250" s="1771"/>
      <c r="B250" s="1585"/>
      <c r="C250" s="1585"/>
      <c r="D250" s="1585"/>
      <c r="E250" s="1585"/>
      <c r="F250" s="1585"/>
      <c r="G250" s="1585"/>
      <c r="H250" s="1585"/>
      <c r="I250" s="1585"/>
      <c r="J250" s="1585"/>
      <c r="N250" s="1793"/>
    </row>
    <row r="251" spans="1:14" x14ac:dyDescent="0.2">
      <c r="A251" s="1771"/>
      <c r="B251" s="1585"/>
      <c r="C251" s="1585"/>
      <c r="D251" s="1585"/>
      <c r="E251" s="1585"/>
      <c r="F251" s="1585"/>
      <c r="G251" s="1585"/>
      <c r="H251" s="1585"/>
      <c r="I251" s="1585"/>
      <c r="J251" s="1585"/>
      <c r="N251" s="1793"/>
    </row>
    <row r="252" spans="1:14" ht="12" thickBot="1" x14ac:dyDescent="0.25">
      <c r="A252" s="1773"/>
      <c r="B252" s="1585"/>
      <c r="C252" s="1585"/>
      <c r="D252" s="1585"/>
      <c r="E252" s="1585"/>
      <c r="F252" s="1585"/>
      <c r="G252" s="1585"/>
      <c r="H252" s="1585"/>
      <c r="I252" s="1585"/>
      <c r="J252" s="1585"/>
      <c r="N252" s="1793"/>
    </row>
    <row r="253" spans="1:14" x14ac:dyDescent="0.2">
      <c r="A253" s="1777"/>
      <c r="B253" s="1585"/>
      <c r="C253" s="1585"/>
      <c r="D253" s="1585"/>
      <c r="E253" s="1585"/>
      <c r="F253" s="1585"/>
      <c r="G253" s="1585"/>
      <c r="H253" s="1585"/>
      <c r="I253" s="1585"/>
      <c r="J253" s="1585"/>
      <c r="N253" s="1793"/>
    </row>
    <row r="254" spans="1:14" x14ac:dyDescent="0.2">
      <c r="A254" s="1771"/>
      <c r="B254" s="1585"/>
      <c r="C254" s="1585"/>
      <c r="D254" s="1585"/>
      <c r="E254" s="1585"/>
      <c r="F254" s="1585"/>
      <c r="G254" s="1585"/>
      <c r="H254" s="1585"/>
      <c r="I254" s="1585"/>
      <c r="J254" s="1585"/>
      <c r="N254" s="1793"/>
    </row>
    <row r="255" spans="1:14" x14ac:dyDescent="0.2">
      <c r="A255" s="1771"/>
      <c r="B255" s="1585"/>
      <c r="C255" s="1585"/>
      <c r="D255" s="1585"/>
      <c r="E255" s="1585"/>
      <c r="F255" s="1585"/>
      <c r="G255" s="1585"/>
      <c r="H255" s="1585"/>
      <c r="I255" s="1585"/>
      <c r="J255" s="1585"/>
      <c r="N255" s="1793"/>
    </row>
    <row r="256" spans="1:14" x14ac:dyDescent="0.2">
      <c r="A256" s="1771"/>
      <c r="B256" s="1585"/>
      <c r="C256" s="1585"/>
      <c r="D256" s="1585"/>
      <c r="E256" s="1585"/>
      <c r="F256" s="1585"/>
      <c r="G256" s="1585"/>
      <c r="H256" s="1585"/>
      <c r="I256" s="1585"/>
      <c r="J256" s="1585"/>
      <c r="N256" s="1793"/>
    </row>
    <row r="257" spans="1:14" x14ac:dyDescent="0.2">
      <c r="A257" s="1771"/>
      <c r="B257" s="1585"/>
      <c r="C257" s="1585"/>
      <c r="D257" s="1585"/>
      <c r="E257" s="1585"/>
      <c r="F257" s="1585"/>
      <c r="G257" s="1585"/>
      <c r="H257" s="1585"/>
      <c r="I257" s="1585"/>
      <c r="J257" s="1585"/>
      <c r="N257" s="1793"/>
    </row>
    <row r="258" spans="1:14" x14ac:dyDescent="0.2">
      <c r="A258" s="1771"/>
      <c r="B258" s="1585"/>
      <c r="C258" s="1585"/>
      <c r="D258" s="1585"/>
      <c r="E258" s="1585"/>
      <c r="F258" s="1585"/>
      <c r="G258" s="1585"/>
      <c r="H258" s="1585"/>
      <c r="I258" s="1585"/>
      <c r="J258" s="1585"/>
      <c r="N258" s="1793"/>
    </row>
    <row r="259" spans="1:14" x14ac:dyDescent="0.2">
      <c r="A259" s="1771"/>
      <c r="B259" s="1585"/>
      <c r="C259" s="1585"/>
      <c r="D259" s="1585"/>
      <c r="E259" s="1585"/>
      <c r="F259" s="1585"/>
      <c r="G259" s="1585"/>
      <c r="H259" s="1585"/>
      <c r="I259" s="1585"/>
      <c r="J259" s="1585"/>
      <c r="N259" s="1793"/>
    </row>
    <row r="260" spans="1:14" x14ac:dyDescent="0.2">
      <c r="A260" s="1771"/>
      <c r="B260" s="1585"/>
      <c r="C260" s="1585"/>
      <c r="D260" s="1585"/>
      <c r="E260" s="1585"/>
      <c r="F260" s="1585"/>
      <c r="G260" s="1585"/>
      <c r="H260" s="1585"/>
      <c r="I260" s="1585"/>
      <c r="J260" s="1585"/>
      <c r="N260" s="1793"/>
    </row>
    <row r="261" spans="1:14" ht="12" thickBot="1" x14ac:dyDescent="0.25">
      <c r="A261" s="1773"/>
      <c r="B261" s="1585"/>
      <c r="C261" s="1585"/>
      <c r="D261" s="1585"/>
      <c r="E261" s="1585"/>
      <c r="F261" s="1585"/>
      <c r="G261" s="1585"/>
      <c r="H261" s="1585"/>
      <c r="I261" s="1585"/>
      <c r="J261" s="1585"/>
      <c r="N261" s="1793"/>
    </row>
    <row r="262" spans="1:14" x14ac:dyDescent="0.2">
      <c r="B262" s="1585"/>
      <c r="C262" s="1585"/>
      <c r="D262" s="1585"/>
      <c r="E262" s="1585"/>
      <c r="F262" s="1585"/>
      <c r="G262" s="1585"/>
      <c r="H262" s="1585"/>
      <c r="I262" s="1585"/>
      <c r="J262" s="1585"/>
      <c r="N262" s="1793"/>
    </row>
    <row r="263" spans="1:14" x14ac:dyDescent="0.2">
      <c r="B263" s="1585"/>
      <c r="C263" s="1585"/>
      <c r="D263" s="1585"/>
      <c r="E263" s="1585"/>
      <c r="F263" s="1585"/>
      <c r="G263" s="1585"/>
      <c r="H263" s="1585"/>
      <c r="I263" s="1585"/>
      <c r="J263" s="1585"/>
      <c r="N263" s="1793"/>
    </row>
    <row r="264" spans="1:14" x14ac:dyDescent="0.2">
      <c r="B264" s="1585"/>
      <c r="C264" s="1585"/>
      <c r="D264" s="1585"/>
      <c r="E264" s="1585"/>
      <c r="F264" s="1585"/>
      <c r="G264" s="1585"/>
      <c r="H264" s="1585"/>
      <c r="I264" s="1585"/>
      <c r="J264" s="1585"/>
      <c r="N264" s="1793"/>
    </row>
    <row r="265" spans="1:14" x14ac:dyDescent="0.2">
      <c r="B265" s="1585"/>
      <c r="C265" s="1585"/>
      <c r="D265" s="1585"/>
      <c r="E265" s="1585"/>
      <c r="F265" s="1585"/>
      <c r="G265" s="1585"/>
      <c r="H265" s="1585"/>
      <c r="I265" s="1585"/>
      <c r="J265" s="1585"/>
      <c r="N265" s="1793"/>
    </row>
    <row r="266" spans="1:14" x14ac:dyDescent="0.2">
      <c r="B266" s="1585"/>
      <c r="C266" s="1585"/>
      <c r="D266" s="1585"/>
      <c r="E266" s="1585"/>
      <c r="F266" s="1585"/>
      <c r="G266" s="1585"/>
      <c r="H266" s="1585"/>
      <c r="I266" s="1585"/>
      <c r="J266" s="1585"/>
      <c r="N266" s="1793"/>
    </row>
    <row r="267" spans="1:14" x14ac:dyDescent="0.2">
      <c r="B267" s="1585"/>
      <c r="C267" s="1585"/>
      <c r="D267" s="1585"/>
      <c r="E267" s="1585"/>
      <c r="F267" s="1585"/>
      <c r="G267" s="1585"/>
      <c r="H267" s="1585"/>
      <c r="I267" s="1585"/>
      <c r="J267" s="1585"/>
      <c r="N267" s="1793"/>
    </row>
    <row r="268" spans="1:14" x14ac:dyDescent="0.2">
      <c r="B268" s="1585"/>
      <c r="C268" s="1585"/>
      <c r="D268" s="1585"/>
      <c r="E268" s="1585"/>
      <c r="F268" s="1585"/>
      <c r="G268" s="1585"/>
      <c r="H268" s="1585"/>
      <c r="I268" s="1585"/>
      <c r="J268" s="1585"/>
      <c r="N268" s="1793"/>
    </row>
    <row r="269" spans="1:14" x14ac:dyDescent="0.2">
      <c r="B269" s="1585"/>
      <c r="C269" s="1585"/>
      <c r="D269" s="1585"/>
      <c r="E269" s="1585"/>
      <c r="F269" s="1585"/>
      <c r="G269" s="1585"/>
      <c r="H269" s="1585"/>
      <c r="I269" s="1585"/>
      <c r="J269" s="1585"/>
      <c r="N269" s="1793"/>
    </row>
    <row r="270" spans="1:14" x14ac:dyDescent="0.2">
      <c r="B270" s="1585"/>
      <c r="C270" s="1585"/>
      <c r="D270" s="1585"/>
      <c r="E270" s="1585"/>
      <c r="F270" s="1585"/>
      <c r="G270" s="1585"/>
      <c r="H270" s="1585"/>
      <c r="I270" s="1585"/>
      <c r="J270" s="1585"/>
      <c r="N270" s="1793"/>
    </row>
    <row r="271" spans="1:14" x14ac:dyDescent="0.2">
      <c r="B271" s="1585"/>
      <c r="C271" s="1585"/>
      <c r="D271" s="1585"/>
      <c r="E271" s="1585"/>
      <c r="F271" s="1585"/>
      <c r="G271" s="1585"/>
      <c r="H271" s="1585"/>
      <c r="I271" s="1585"/>
      <c r="J271" s="1585"/>
      <c r="N271" s="1793"/>
    </row>
    <row r="272" spans="1:14" x14ac:dyDescent="0.2">
      <c r="B272" s="1585"/>
      <c r="C272" s="1585"/>
      <c r="D272" s="1585"/>
      <c r="E272" s="1585"/>
      <c r="F272" s="1585"/>
      <c r="G272" s="1585"/>
      <c r="H272" s="1585"/>
      <c r="I272" s="1585"/>
      <c r="J272" s="1585"/>
      <c r="N272" s="1793"/>
    </row>
    <row r="273" spans="1:14" x14ac:dyDescent="0.2">
      <c r="B273" s="1585"/>
      <c r="C273" s="1585"/>
      <c r="D273" s="1585"/>
      <c r="E273" s="1585"/>
      <c r="F273" s="1585"/>
      <c r="G273" s="1585"/>
      <c r="H273" s="1585"/>
      <c r="I273" s="1585"/>
      <c r="J273" s="1585"/>
      <c r="N273" s="1793"/>
    </row>
    <row r="274" spans="1:14" x14ac:dyDescent="0.2">
      <c r="B274" s="1585"/>
      <c r="C274" s="1585"/>
      <c r="D274" s="1585"/>
      <c r="E274" s="1585"/>
      <c r="F274" s="1585"/>
      <c r="G274" s="1585"/>
      <c r="H274" s="1585"/>
      <c r="I274" s="1585"/>
      <c r="J274" s="1585"/>
      <c r="N274" s="1793"/>
    </row>
    <row r="275" spans="1:14" x14ac:dyDescent="0.2">
      <c r="B275" s="1585"/>
      <c r="C275" s="1585"/>
      <c r="D275" s="1585"/>
      <c r="E275" s="1585"/>
      <c r="F275" s="1585"/>
      <c r="G275" s="1585"/>
      <c r="H275" s="1585"/>
      <c r="I275" s="1585"/>
      <c r="J275" s="1585"/>
      <c r="N275" s="1793"/>
    </row>
    <row r="276" spans="1:14" x14ac:dyDescent="0.2">
      <c r="B276" s="1585"/>
      <c r="C276" s="1585"/>
      <c r="D276" s="1585"/>
      <c r="E276" s="1585"/>
      <c r="F276" s="1585"/>
      <c r="G276" s="1585"/>
      <c r="H276" s="1585"/>
      <c r="I276" s="1585"/>
      <c r="J276" s="1585"/>
      <c r="N276" s="1793"/>
    </row>
    <row r="277" spans="1:14" x14ac:dyDescent="0.2">
      <c r="B277" s="1585"/>
      <c r="C277" s="1585"/>
      <c r="D277" s="1585"/>
      <c r="E277" s="1585"/>
      <c r="F277" s="1585"/>
      <c r="G277" s="1585"/>
      <c r="H277" s="1585"/>
      <c r="I277" s="1585"/>
      <c r="J277" s="1585"/>
      <c r="N277" s="1793"/>
    </row>
    <row r="278" spans="1:14" x14ac:dyDescent="0.2">
      <c r="B278" s="1585"/>
      <c r="C278" s="1585"/>
      <c r="D278" s="1585"/>
      <c r="E278" s="1585"/>
      <c r="F278" s="1585"/>
      <c r="G278" s="1585"/>
      <c r="H278" s="1585"/>
      <c r="I278" s="1585"/>
      <c r="J278" s="1585"/>
      <c r="N278" s="1793"/>
    </row>
    <row r="279" spans="1:14" ht="12" thickBot="1" x14ac:dyDescent="0.25">
      <c r="B279" s="1585"/>
      <c r="C279" s="1585"/>
      <c r="D279" s="1585"/>
      <c r="E279" s="1585"/>
      <c r="F279" s="1585"/>
      <c r="G279" s="1585"/>
      <c r="H279" s="1585"/>
      <c r="I279" s="1585"/>
      <c r="J279" s="1585"/>
      <c r="N279" s="1793"/>
    </row>
    <row r="280" spans="1:14" x14ac:dyDescent="0.2">
      <c r="A280" s="1777"/>
      <c r="B280" s="1585"/>
      <c r="C280" s="1585"/>
      <c r="D280" s="1585"/>
      <c r="E280" s="1585"/>
      <c r="F280" s="1585"/>
      <c r="G280" s="1585"/>
      <c r="H280" s="1585"/>
      <c r="I280" s="1585"/>
      <c r="J280" s="1585"/>
      <c r="N280" s="1793"/>
    </row>
    <row r="281" spans="1:14" x14ac:dyDescent="0.2">
      <c r="A281" s="1771"/>
      <c r="B281" s="1585"/>
      <c r="C281" s="1585"/>
      <c r="D281" s="1585"/>
      <c r="E281" s="1585"/>
      <c r="F281" s="1585"/>
      <c r="G281" s="1585"/>
      <c r="H281" s="1585"/>
      <c r="I281" s="1585"/>
      <c r="J281" s="1585"/>
      <c r="N281" s="1793"/>
    </row>
    <row r="282" spans="1:14" x14ac:dyDescent="0.2">
      <c r="A282" s="1771"/>
      <c r="B282" s="1585"/>
      <c r="C282" s="1585"/>
      <c r="D282" s="1585"/>
      <c r="E282" s="1585"/>
      <c r="F282" s="1585"/>
      <c r="G282" s="1585"/>
      <c r="H282" s="1585"/>
      <c r="I282" s="1585"/>
      <c r="J282" s="1585"/>
      <c r="N282" s="1793"/>
    </row>
    <row r="283" spans="1:14" x14ac:dyDescent="0.2">
      <c r="A283" s="1771"/>
      <c r="B283" s="1585"/>
      <c r="C283" s="1585"/>
      <c r="D283" s="1585"/>
      <c r="E283" s="1585"/>
      <c r="F283" s="1585"/>
      <c r="G283" s="1585"/>
      <c r="H283" s="1585"/>
      <c r="I283" s="1585"/>
      <c r="J283" s="1585"/>
      <c r="N283" s="1793"/>
    </row>
    <row r="284" spans="1:14" x14ac:dyDescent="0.2">
      <c r="A284" s="1771"/>
      <c r="B284" s="1585"/>
      <c r="C284" s="1585"/>
      <c r="D284" s="1585"/>
      <c r="E284" s="1585"/>
      <c r="F284" s="1585"/>
      <c r="G284" s="1585"/>
      <c r="H284" s="1585"/>
      <c r="I284" s="1585"/>
      <c r="J284" s="1585"/>
      <c r="N284" s="1793"/>
    </row>
    <row r="285" spans="1:14" x14ac:dyDescent="0.2">
      <c r="A285" s="1771"/>
      <c r="B285" s="1585"/>
      <c r="C285" s="1585"/>
      <c r="D285" s="1585"/>
      <c r="E285" s="1585"/>
      <c r="F285" s="1585"/>
      <c r="G285" s="1585"/>
      <c r="H285" s="1585"/>
      <c r="I285" s="1585"/>
      <c r="J285" s="1585"/>
      <c r="N285" s="1793"/>
    </row>
    <row r="286" spans="1:14" x14ac:dyDescent="0.2">
      <c r="A286" s="1771"/>
      <c r="B286" s="1585"/>
      <c r="C286" s="1585"/>
      <c r="D286" s="1585"/>
      <c r="E286" s="1585"/>
      <c r="F286" s="1585"/>
      <c r="G286" s="1585"/>
      <c r="H286" s="1585"/>
      <c r="I286" s="1585"/>
      <c r="J286" s="1585"/>
      <c r="N286" s="1793"/>
    </row>
    <row r="287" spans="1:14" x14ac:dyDescent="0.2">
      <c r="A287" s="1771"/>
      <c r="B287" s="1585"/>
      <c r="C287" s="1585"/>
      <c r="D287" s="1585"/>
      <c r="E287" s="1585"/>
      <c r="F287" s="1585"/>
      <c r="G287" s="1585"/>
      <c r="H287" s="1585"/>
      <c r="I287" s="1585"/>
      <c r="J287" s="1585"/>
      <c r="N287" s="1793"/>
    </row>
    <row r="288" spans="1:14" ht="12" thickBot="1" x14ac:dyDescent="0.25">
      <c r="A288" s="1773"/>
      <c r="B288" s="1585"/>
      <c r="C288" s="1585"/>
      <c r="D288" s="1585"/>
      <c r="E288" s="1585"/>
      <c r="F288" s="1585"/>
      <c r="G288" s="1585"/>
      <c r="H288" s="1585"/>
      <c r="I288" s="1585"/>
      <c r="J288" s="1585"/>
      <c r="N288" s="1793"/>
    </row>
    <row r="289" spans="1:14" x14ac:dyDescent="0.2">
      <c r="A289" s="1777"/>
      <c r="B289" s="1585"/>
      <c r="C289" s="1585"/>
      <c r="D289" s="1585"/>
      <c r="E289" s="1585"/>
      <c r="F289" s="1585"/>
      <c r="G289" s="1585"/>
      <c r="H289" s="1585"/>
      <c r="I289" s="1585"/>
      <c r="J289" s="1585"/>
      <c r="N289" s="1793"/>
    </row>
    <row r="290" spans="1:14" x14ac:dyDescent="0.2">
      <c r="A290" s="1771"/>
      <c r="B290" s="1585"/>
      <c r="C290" s="1585"/>
      <c r="D290" s="1585"/>
      <c r="E290" s="1585"/>
      <c r="F290" s="1585"/>
      <c r="G290" s="1585"/>
      <c r="H290" s="1585"/>
      <c r="I290" s="1585"/>
      <c r="J290" s="1585"/>
      <c r="N290" s="1793"/>
    </row>
    <row r="291" spans="1:14" x14ac:dyDescent="0.2">
      <c r="A291" s="1771"/>
      <c r="B291" s="1585"/>
      <c r="C291" s="1585"/>
      <c r="D291" s="1585"/>
      <c r="E291" s="1585"/>
      <c r="F291" s="1585"/>
      <c r="G291" s="1585"/>
      <c r="H291" s="1585"/>
      <c r="I291" s="1585"/>
      <c r="J291" s="1585"/>
      <c r="N291" s="1793"/>
    </row>
    <row r="292" spans="1:14" x14ac:dyDescent="0.2">
      <c r="A292" s="1771"/>
      <c r="B292" s="1585"/>
      <c r="C292" s="1585"/>
      <c r="D292" s="1585"/>
      <c r="E292" s="1585"/>
      <c r="F292" s="1585"/>
      <c r="G292" s="1585"/>
      <c r="H292" s="1585"/>
      <c r="I292" s="1585"/>
      <c r="J292" s="1585"/>
      <c r="N292" s="1793"/>
    </row>
    <row r="293" spans="1:14" x14ac:dyDescent="0.2">
      <c r="A293" s="1771"/>
      <c r="B293" s="1585"/>
      <c r="C293" s="1585"/>
      <c r="D293" s="1585"/>
      <c r="E293" s="1585"/>
      <c r="F293" s="1585"/>
      <c r="G293" s="1585"/>
      <c r="H293" s="1585"/>
      <c r="I293" s="1585"/>
      <c r="J293" s="1585"/>
      <c r="N293" s="1793"/>
    </row>
    <row r="294" spans="1:14" x14ac:dyDescent="0.2">
      <c r="A294" s="1771"/>
      <c r="B294" s="1585"/>
      <c r="C294" s="1585"/>
      <c r="D294" s="1585"/>
      <c r="E294" s="1585"/>
      <c r="F294" s="1585"/>
      <c r="G294" s="1585"/>
      <c r="H294" s="1585"/>
      <c r="I294" s="1585"/>
      <c r="J294" s="1585"/>
      <c r="N294" s="1793"/>
    </row>
    <row r="295" spans="1:14" x14ac:dyDescent="0.2">
      <c r="A295" s="1771"/>
      <c r="B295" s="1585"/>
      <c r="C295" s="1585"/>
      <c r="D295" s="1585"/>
      <c r="E295" s="1585"/>
      <c r="F295" s="1585"/>
      <c r="G295" s="1585"/>
      <c r="H295" s="1585"/>
      <c r="I295" s="1585"/>
      <c r="J295" s="1585"/>
      <c r="N295" s="1793"/>
    </row>
    <row r="296" spans="1:14" x14ac:dyDescent="0.2">
      <c r="A296" s="1771"/>
      <c r="B296" s="1585"/>
      <c r="C296" s="1585"/>
      <c r="D296" s="1585"/>
      <c r="E296" s="1585"/>
      <c r="F296" s="1585"/>
      <c r="G296" s="1585"/>
      <c r="H296" s="1585"/>
      <c r="I296" s="1585"/>
      <c r="J296" s="1585"/>
      <c r="N296" s="1793"/>
    </row>
    <row r="297" spans="1:14" ht="12" thickBot="1" x14ac:dyDescent="0.25">
      <c r="A297" s="1773"/>
      <c r="B297" s="1585"/>
      <c r="C297" s="1585"/>
      <c r="D297" s="1585"/>
      <c r="E297" s="1585"/>
      <c r="F297" s="1585"/>
      <c r="G297" s="1585"/>
      <c r="H297" s="1585"/>
      <c r="I297" s="1585"/>
      <c r="J297" s="1585"/>
      <c r="N297" s="1793"/>
    </row>
    <row r="298" spans="1:14" x14ac:dyDescent="0.2">
      <c r="B298" s="1585"/>
      <c r="C298" s="1585"/>
      <c r="D298" s="1585"/>
      <c r="E298" s="1585"/>
      <c r="F298" s="1585"/>
      <c r="G298" s="1585"/>
      <c r="H298" s="1585"/>
      <c r="I298" s="1585"/>
      <c r="J298" s="1585"/>
      <c r="N298" s="1793"/>
    </row>
    <row r="299" spans="1:14" x14ac:dyDescent="0.2">
      <c r="B299" s="1585"/>
      <c r="C299" s="1585"/>
      <c r="D299" s="1585"/>
      <c r="E299" s="1585"/>
      <c r="F299" s="1585"/>
      <c r="G299" s="1585"/>
      <c r="H299" s="1585"/>
      <c r="I299" s="1585"/>
      <c r="J299" s="1585"/>
      <c r="N299" s="1793"/>
    </row>
    <row r="300" spans="1:14" x14ac:dyDescent="0.2">
      <c r="B300" s="1585"/>
      <c r="C300" s="1585"/>
      <c r="D300" s="1585"/>
      <c r="E300" s="1585"/>
      <c r="F300" s="1585"/>
      <c r="G300" s="1585"/>
      <c r="H300" s="1585"/>
      <c r="I300" s="1585"/>
      <c r="J300" s="1585"/>
      <c r="N300" s="1793"/>
    </row>
    <row r="301" spans="1:14" x14ac:dyDescent="0.2">
      <c r="B301" s="1585"/>
      <c r="C301" s="1585"/>
      <c r="D301" s="1585"/>
      <c r="E301" s="1585"/>
      <c r="F301" s="1585"/>
      <c r="G301" s="1585"/>
      <c r="H301" s="1585"/>
      <c r="I301" s="1585"/>
      <c r="J301" s="1585"/>
      <c r="N301" s="1793"/>
    </row>
    <row r="302" spans="1:14" x14ac:dyDescent="0.2">
      <c r="B302" s="1585"/>
      <c r="C302" s="1585"/>
      <c r="D302" s="1585"/>
      <c r="E302" s="1585"/>
      <c r="F302" s="1585"/>
      <c r="G302" s="1585"/>
      <c r="H302" s="1585"/>
      <c r="I302" s="1585"/>
      <c r="J302" s="1585"/>
      <c r="N302" s="1793"/>
    </row>
    <row r="303" spans="1:14" x14ac:dyDescent="0.2">
      <c r="B303" s="1585"/>
      <c r="C303" s="1585"/>
      <c r="D303" s="1585"/>
      <c r="E303" s="1585"/>
      <c r="F303" s="1585"/>
      <c r="G303" s="1585"/>
      <c r="H303" s="1585"/>
      <c r="I303" s="1585"/>
      <c r="J303" s="1585"/>
      <c r="N303" s="1793"/>
    </row>
    <row r="304" spans="1:14" x14ac:dyDescent="0.2">
      <c r="B304" s="1585"/>
      <c r="C304" s="1585"/>
      <c r="D304" s="1585"/>
      <c r="E304" s="1585"/>
      <c r="F304" s="1585"/>
      <c r="G304" s="1585"/>
      <c r="H304" s="1585"/>
      <c r="I304" s="1585"/>
      <c r="J304" s="1585"/>
      <c r="N304" s="1793"/>
    </row>
    <row r="305" spans="1:14" x14ac:dyDescent="0.2">
      <c r="B305" s="1585"/>
      <c r="C305" s="1585"/>
      <c r="D305" s="1585"/>
      <c r="E305" s="1585"/>
      <c r="F305" s="1585"/>
      <c r="G305" s="1585"/>
      <c r="H305" s="1585"/>
      <c r="I305" s="1585"/>
      <c r="J305" s="1585"/>
      <c r="N305" s="1793"/>
    </row>
    <row r="306" spans="1:14" x14ac:dyDescent="0.2">
      <c r="B306" s="1585"/>
      <c r="C306" s="1585"/>
      <c r="D306" s="1585"/>
      <c r="E306" s="1585"/>
      <c r="F306" s="1585"/>
      <c r="G306" s="1585"/>
      <c r="H306" s="1585"/>
      <c r="I306" s="1585"/>
      <c r="J306" s="1585"/>
      <c r="N306" s="1793"/>
    </row>
    <row r="307" spans="1:14" x14ac:dyDescent="0.2">
      <c r="B307" s="1585"/>
      <c r="C307" s="1585"/>
      <c r="D307" s="1585"/>
      <c r="E307" s="1585"/>
      <c r="F307" s="1585"/>
      <c r="G307" s="1585"/>
      <c r="H307" s="1585"/>
      <c r="I307" s="1585"/>
      <c r="J307" s="1585"/>
      <c r="N307" s="1793"/>
    </row>
    <row r="308" spans="1:14" x14ac:dyDescent="0.2">
      <c r="B308" s="1585"/>
      <c r="C308" s="1585"/>
      <c r="D308" s="1585"/>
      <c r="E308" s="1585"/>
      <c r="F308" s="1585"/>
      <c r="G308" s="1585"/>
      <c r="H308" s="1585"/>
      <c r="I308" s="1585"/>
      <c r="J308" s="1585"/>
      <c r="N308" s="1793"/>
    </row>
    <row r="309" spans="1:14" x14ac:dyDescent="0.2">
      <c r="B309" s="1585"/>
      <c r="C309" s="1585"/>
      <c r="D309" s="1585"/>
      <c r="E309" s="1585"/>
      <c r="F309" s="1585"/>
      <c r="G309" s="1585"/>
      <c r="H309" s="1585"/>
      <c r="I309" s="1585"/>
      <c r="J309" s="1585"/>
      <c r="N309" s="1793"/>
    </row>
    <row r="310" spans="1:14" x14ac:dyDescent="0.2">
      <c r="B310" s="1585"/>
      <c r="C310" s="1585"/>
      <c r="D310" s="1585"/>
      <c r="E310" s="1585"/>
      <c r="F310" s="1585"/>
      <c r="G310" s="1585"/>
      <c r="H310" s="1585"/>
      <c r="I310" s="1585"/>
      <c r="J310" s="1585"/>
      <c r="N310" s="1793"/>
    </row>
    <row r="311" spans="1:14" x14ac:dyDescent="0.2">
      <c r="B311" s="1585"/>
      <c r="C311" s="1585"/>
      <c r="D311" s="1585"/>
      <c r="E311" s="1585"/>
      <c r="F311" s="1585"/>
      <c r="G311" s="1585"/>
      <c r="H311" s="1585"/>
      <c r="I311" s="1585"/>
      <c r="J311" s="1585"/>
      <c r="N311" s="1793"/>
    </row>
    <row r="312" spans="1:14" x14ac:dyDescent="0.2">
      <c r="B312" s="1585"/>
      <c r="C312" s="1585"/>
      <c r="D312" s="1585"/>
      <c r="E312" s="1585"/>
      <c r="F312" s="1585"/>
      <c r="G312" s="1585"/>
      <c r="H312" s="1585"/>
      <c r="I312" s="1585"/>
      <c r="J312" s="1585"/>
      <c r="N312" s="1793"/>
    </row>
    <row r="313" spans="1:14" x14ac:dyDescent="0.2">
      <c r="B313" s="1585"/>
      <c r="C313" s="1585"/>
      <c r="D313" s="1585"/>
      <c r="E313" s="1585"/>
      <c r="F313" s="1585"/>
      <c r="G313" s="1585"/>
      <c r="H313" s="1585"/>
      <c r="I313" s="1585"/>
      <c r="J313" s="1585"/>
      <c r="N313" s="1793"/>
    </row>
    <row r="314" spans="1:14" x14ac:dyDescent="0.2">
      <c r="B314" s="1585"/>
      <c r="C314" s="1585"/>
      <c r="D314" s="1585"/>
      <c r="E314" s="1585"/>
      <c r="F314" s="1585"/>
      <c r="G314" s="1585"/>
      <c r="H314" s="1585"/>
      <c r="I314" s="1585"/>
      <c r="J314" s="1585"/>
      <c r="N314" s="1793"/>
    </row>
    <row r="315" spans="1:14" ht="12" thickBot="1" x14ac:dyDescent="0.25">
      <c r="B315" s="1585"/>
      <c r="C315" s="1585"/>
      <c r="D315" s="1585"/>
      <c r="E315" s="1585"/>
      <c r="F315" s="1585"/>
      <c r="G315" s="1585"/>
      <c r="H315" s="1585"/>
      <c r="I315" s="1585"/>
      <c r="J315" s="1585"/>
      <c r="N315" s="1793"/>
    </row>
    <row r="316" spans="1:14" x14ac:dyDescent="0.2">
      <c r="A316" s="1777"/>
      <c r="B316" s="1585"/>
      <c r="C316" s="1585"/>
      <c r="D316" s="1585"/>
      <c r="E316" s="1585"/>
      <c r="F316" s="1585"/>
      <c r="G316" s="1585"/>
      <c r="H316" s="1585"/>
      <c r="I316" s="1585"/>
      <c r="J316" s="1585"/>
      <c r="N316" s="1793"/>
    </row>
    <row r="317" spans="1:14" x14ac:dyDescent="0.2">
      <c r="A317" s="1771"/>
      <c r="B317" s="1585"/>
      <c r="C317" s="1585"/>
      <c r="D317" s="1585"/>
      <c r="E317" s="1585"/>
      <c r="F317" s="1585"/>
      <c r="G317" s="1585"/>
      <c r="H317" s="1585"/>
      <c r="I317" s="1585"/>
      <c r="J317" s="1585"/>
      <c r="N317" s="1793"/>
    </row>
    <row r="318" spans="1:14" x14ac:dyDescent="0.2">
      <c r="A318" s="1771"/>
      <c r="B318" s="1585"/>
      <c r="C318" s="1585"/>
      <c r="D318" s="1585"/>
      <c r="E318" s="1585"/>
      <c r="F318" s="1585"/>
      <c r="G318" s="1585"/>
      <c r="H318" s="1585"/>
      <c r="I318" s="1585"/>
      <c r="J318" s="1585"/>
      <c r="N318" s="1793"/>
    </row>
    <row r="319" spans="1:14" x14ac:dyDescent="0.2">
      <c r="A319" s="1771"/>
      <c r="B319" s="1585"/>
      <c r="C319" s="1585"/>
      <c r="D319" s="1585"/>
      <c r="E319" s="1585"/>
      <c r="F319" s="1585"/>
      <c r="G319" s="1585"/>
      <c r="H319" s="1585"/>
      <c r="I319" s="1585"/>
      <c r="J319" s="1585"/>
      <c r="N319" s="1793"/>
    </row>
    <row r="320" spans="1:14" x14ac:dyDescent="0.2">
      <c r="A320" s="1771"/>
      <c r="B320" s="1585"/>
      <c r="C320" s="1585"/>
      <c r="D320" s="1585"/>
      <c r="E320" s="1585"/>
      <c r="F320" s="1585"/>
      <c r="G320" s="1585"/>
      <c r="H320" s="1585"/>
      <c r="I320" s="1585"/>
      <c r="J320" s="1585"/>
      <c r="N320" s="1793"/>
    </row>
    <row r="321" spans="1:14" x14ac:dyDescent="0.2">
      <c r="A321" s="1771"/>
      <c r="B321" s="1585"/>
      <c r="C321" s="1585"/>
      <c r="D321" s="1585"/>
      <c r="E321" s="1585"/>
      <c r="F321" s="1585"/>
      <c r="G321" s="1585"/>
      <c r="H321" s="1585"/>
      <c r="I321" s="1585"/>
      <c r="J321" s="1585"/>
      <c r="N321" s="1793"/>
    </row>
    <row r="322" spans="1:14" x14ac:dyDescent="0.2">
      <c r="A322" s="1771"/>
      <c r="B322" s="1585"/>
      <c r="C322" s="1585"/>
      <c r="D322" s="1585"/>
      <c r="E322" s="1585"/>
      <c r="F322" s="1585"/>
      <c r="G322" s="1585"/>
      <c r="H322" s="1585"/>
      <c r="I322" s="1585"/>
      <c r="J322" s="1585"/>
      <c r="N322" s="1793"/>
    </row>
    <row r="323" spans="1:14" x14ac:dyDescent="0.2">
      <c r="A323" s="1771"/>
      <c r="B323" s="1585"/>
      <c r="C323" s="1585"/>
      <c r="D323" s="1585"/>
      <c r="E323" s="1585"/>
      <c r="F323" s="1585"/>
      <c r="G323" s="1585"/>
      <c r="H323" s="1585"/>
      <c r="I323" s="1585"/>
      <c r="J323" s="1585"/>
      <c r="N323" s="1793"/>
    </row>
    <row r="324" spans="1:14" ht="12" thickBot="1" x14ac:dyDescent="0.25">
      <c r="A324" s="1773"/>
      <c r="B324" s="1585"/>
      <c r="C324" s="1585"/>
      <c r="D324" s="1585"/>
      <c r="E324" s="1585"/>
      <c r="F324" s="1585"/>
      <c r="G324" s="1585"/>
      <c r="H324" s="1585"/>
      <c r="I324" s="1585"/>
      <c r="J324" s="1585"/>
      <c r="N324" s="1793"/>
    </row>
    <row r="325" spans="1:14" x14ac:dyDescent="0.2">
      <c r="A325" s="1777"/>
      <c r="B325" s="1585"/>
      <c r="C325" s="1585"/>
      <c r="D325" s="1585"/>
      <c r="E325" s="1585"/>
      <c r="F325" s="1585"/>
      <c r="G325" s="1585"/>
      <c r="H325" s="1585"/>
      <c r="I325" s="1585"/>
      <c r="J325" s="1585"/>
      <c r="N325" s="1793"/>
    </row>
    <row r="326" spans="1:14" x14ac:dyDescent="0.2">
      <c r="A326" s="1771"/>
      <c r="B326" s="1585"/>
      <c r="C326" s="1585"/>
      <c r="D326" s="1585"/>
      <c r="E326" s="1585"/>
      <c r="F326" s="1585"/>
      <c r="G326" s="1585"/>
      <c r="H326" s="1585"/>
      <c r="I326" s="1585"/>
      <c r="J326" s="1585"/>
      <c r="N326" s="1793"/>
    </row>
    <row r="327" spans="1:14" x14ac:dyDescent="0.2">
      <c r="A327" s="1771"/>
      <c r="B327" s="1585"/>
      <c r="C327" s="1585"/>
      <c r="D327" s="1585"/>
      <c r="E327" s="1585"/>
      <c r="F327" s="1585"/>
      <c r="G327" s="1585"/>
      <c r="H327" s="1585"/>
      <c r="I327" s="1585"/>
      <c r="J327" s="1585"/>
      <c r="N327" s="1793"/>
    </row>
    <row r="328" spans="1:14" x14ac:dyDescent="0.2">
      <c r="A328" s="1771"/>
      <c r="B328" s="1585"/>
      <c r="C328" s="1585"/>
      <c r="D328" s="1585"/>
      <c r="E328" s="1585"/>
      <c r="F328" s="1585"/>
      <c r="G328" s="1585"/>
      <c r="H328" s="1585"/>
      <c r="I328" s="1585"/>
      <c r="J328" s="1585"/>
      <c r="N328" s="1793"/>
    </row>
    <row r="329" spans="1:14" x14ac:dyDescent="0.2">
      <c r="A329" s="1771"/>
      <c r="B329" s="1585"/>
      <c r="C329" s="1585"/>
      <c r="D329" s="1585"/>
      <c r="E329" s="1585"/>
      <c r="F329" s="1585"/>
      <c r="G329" s="1585"/>
      <c r="H329" s="1585"/>
      <c r="I329" s="1585"/>
      <c r="J329" s="1585"/>
      <c r="N329" s="1793"/>
    </row>
    <row r="330" spans="1:14" x14ac:dyDescent="0.2">
      <c r="A330" s="1771"/>
      <c r="B330" s="1585"/>
      <c r="C330" s="1585"/>
      <c r="D330" s="1585"/>
      <c r="E330" s="1585"/>
      <c r="F330" s="1585"/>
      <c r="G330" s="1585"/>
      <c r="H330" s="1585"/>
      <c r="I330" s="1585"/>
      <c r="J330" s="1585"/>
      <c r="N330" s="1793"/>
    </row>
    <row r="331" spans="1:14" x14ac:dyDescent="0.2">
      <c r="A331" s="1771"/>
      <c r="B331" s="1585"/>
      <c r="C331" s="1585"/>
      <c r="D331" s="1585"/>
      <c r="E331" s="1585"/>
      <c r="F331" s="1585"/>
      <c r="G331" s="1585"/>
      <c r="H331" s="1585"/>
      <c r="I331" s="1585"/>
      <c r="J331" s="1585"/>
      <c r="N331" s="1793"/>
    </row>
    <row r="332" spans="1:14" x14ac:dyDescent="0.2">
      <c r="A332" s="1771"/>
      <c r="B332" s="1585"/>
      <c r="C332" s="1585"/>
      <c r="D332" s="1585"/>
      <c r="E332" s="1585"/>
      <c r="F332" s="1585"/>
      <c r="G332" s="1585"/>
      <c r="H332" s="1585"/>
      <c r="I332" s="1585"/>
      <c r="J332" s="1585"/>
      <c r="N332" s="1793"/>
    </row>
    <row r="333" spans="1:14" ht="12" thickBot="1" x14ac:dyDescent="0.25">
      <c r="A333" s="1773"/>
      <c r="B333" s="1585"/>
      <c r="C333" s="1585"/>
      <c r="D333" s="1585"/>
      <c r="E333" s="1585"/>
      <c r="F333" s="1585"/>
      <c r="G333" s="1585"/>
      <c r="H333" s="1585"/>
      <c r="I333" s="1585"/>
      <c r="J333" s="1585"/>
      <c r="N333" s="1793"/>
    </row>
    <row r="334" spans="1:14" x14ac:dyDescent="0.2">
      <c r="B334" s="1585"/>
      <c r="C334" s="1585"/>
      <c r="D334" s="1585"/>
      <c r="E334" s="1585"/>
      <c r="F334" s="1585"/>
      <c r="G334" s="1585"/>
      <c r="H334" s="1585"/>
      <c r="I334" s="1585"/>
      <c r="J334" s="1585"/>
      <c r="N334" s="1793"/>
    </row>
    <row r="335" spans="1:14" x14ac:dyDescent="0.2">
      <c r="B335" s="1585"/>
      <c r="C335" s="1585"/>
      <c r="D335" s="1585"/>
      <c r="E335" s="1585"/>
      <c r="F335" s="1585"/>
      <c r="G335" s="1585"/>
      <c r="H335" s="1585"/>
      <c r="I335" s="1585"/>
      <c r="J335" s="1585"/>
      <c r="N335" s="1793"/>
    </row>
    <row r="336" spans="1:14" x14ac:dyDescent="0.2">
      <c r="B336" s="1585"/>
      <c r="C336" s="1585"/>
      <c r="D336" s="1585"/>
      <c r="E336" s="1585"/>
      <c r="F336" s="1585"/>
      <c r="G336" s="1585"/>
      <c r="H336" s="1585"/>
      <c r="I336" s="1585"/>
      <c r="J336" s="1585"/>
      <c r="N336" s="1793"/>
    </row>
    <row r="337" spans="2:14" x14ac:dyDescent="0.2">
      <c r="B337" s="1585"/>
      <c r="C337" s="1585"/>
      <c r="D337" s="1585"/>
      <c r="E337" s="1585"/>
      <c r="F337" s="1585"/>
      <c r="G337" s="1585"/>
      <c r="H337" s="1585"/>
      <c r="I337" s="1585"/>
      <c r="J337" s="1585"/>
      <c r="N337" s="1793"/>
    </row>
    <row r="338" spans="2:14" x14ac:dyDescent="0.2">
      <c r="B338" s="1585"/>
      <c r="C338" s="1585"/>
      <c r="D338" s="1585"/>
      <c r="E338" s="1585"/>
      <c r="F338" s="1585"/>
      <c r="G338" s="1585"/>
      <c r="H338" s="1585"/>
      <c r="I338" s="1585"/>
      <c r="J338" s="1585"/>
      <c r="N338" s="1793"/>
    </row>
    <row r="339" spans="2:14" x14ac:dyDescent="0.2">
      <c r="B339" s="1585"/>
      <c r="C339" s="1585"/>
      <c r="D339" s="1585"/>
      <c r="E339" s="1585"/>
      <c r="F339" s="1585"/>
      <c r="G339" s="1585"/>
      <c r="H339" s="1585"/>
      <c r="I339" s="1585"/>
      <c r="J339" s="1585"/>
      <c r="N339" s="1793"/>
    </row>
    <row r="340" spans="2:14" x14ac:dyDescent="0.2">
      <c r="B340" s="1585"/>
      <c r="C340" s="1585"/>
      <c r="D340" s="1585"/>
      <c r="E340" s="1585"/>
      <c r="F340" s="1585"/>
      <c r="G340" s="1585"/>
      <c r="H340" s="1585"/>
      <c r="I340" s="1585"/>
      <c r="J340" s="1585"/>
      <c r="N340" s="1793"/>
    </row>
    <row r="341" spans="2:14" x14ac:dyDescent="0.2">
      <c r="B341" s="1585"/>
      <c r="C341" s="1585"/>
      <c r="D341" s="1585"/>
      <c r="E341" s="1585"/>
      <c r="F341" s="1585"/>
      <c r="G341" s="1585"/>
      <c r="H341" s="1585"/>
      <c r="I341" s="1585"/>
      <c r="J341" s="1585"/>
      <c r="N341" s="1793"/>
    </row>
    <row r="342" spans="2:14" x14ac:dyDescent="0.2">
      <c r="B342" s="1585"/>
      <c r="C342" s="1585"/>
      <c r="D342" s="1585"/>
      <c r="E342" s="1585"/>
      <c r="F342" s="1585"/>
      <c r="G342" s="1585"/>
      <c r="H342" s="1585"/>
      <c r="I342" s="1585"/>
      <c r="J342" s="1585"/>
      <c r="N342" s="1793"/>
    </row>
    <row r="343" spans="2:14" x14ac:dyDescent="0.2">
      <c r="B343" s="1585"/>
      <c r="C343" s="1585"/>
      <c r="D343" s="1585"/>
      <c r="E343" s="1585"/>
      <c r="F343" s="1585"/>
      <c r="G343" s="1585"/>
      <c r="H343" s="1585"/>
      <c r="I343" s="1585"/>
      <c r="J343" s="1585"/>
      <c r="N343" s="1793"/>
    </row>
    <row r="344" spans="2:14" x14ac:dyDescent="0.2">
      <c r="B344" s="1585"/>
      <c r="C344" s="1585"/>
      <c r="D344" s="1585"/>
      <c r="E344" s="1585"/>
      <c r="F344" s="1585"/>
      <c r="G344" s="1585"/>
      <c r="H344" s="1585"/>
      <c r="I344" s="1585"/>
      <c r="J344" s="1585"/>
      <c r="N344" s="1793"/>
    </row>
    <row r="345" spans="2:14" x14ac:dyDescent="0.2">
      <c r="B345" s="1585"/>
      <c r="C345" s="1585"/>
      <c r="D345" s="1585"/>
      <c r="E345" s="1585"/>
      <c r="F345" s="1585"/>
      <c r="G345" s="1585"/>
      <c r="H345" s="1585"/>
      <c r="I345" s="1585"/>
      <c r="J345" s="1585"/>
      <c r="N345" s="1793"/>
    </row>
    <row r="346" spans="2:14" x14ac:dyDescent="0.2">
      <c r="B346" s="1585"/>
      <c r="C346" s="1585"/>
      <c r="D346" s="1585"/>
      <c r="E346" s="1585"/>
      <c r="F346" s="1585"/>
      <c r="G346" s="1585"/>
      <c r="H346" s="1585"/>
      <c r="I346" s="1585"/>
      <c r="J346" s="1585"/>
      <c r="N346" s="1793"/>
    </row>
    <row r="347" spans="2:14" x14ac:dyDescent="0.2">
      <c r="B347" s="1585"/>
      <c r="C347" s="1585"/>
      <c r="D347" s="1585"/>
      <c r="E347" s="1585"/>
      <c r="F347" s="1585"/>
      <c r="G347" s="1585"/>
      <c r="H347" s="1585"/>
      <c r="I347" s="1585"/>
      <c r="J347" s="1585"/>
      <c r="N347" s="1793"/>
    </row>
    <row r="348" spans="2:14" x14ac:dyDescent="0.2">
      <c r="B348" s="1585"/>
      <c r="C348" s="1585"/>
      <c r="D348" s="1585"/>
      <c r="E348" s="1585"/>
      <c r="F348" s="1585"/>
      <c r="G348" s="1585"/>
      <c r="H348" s="1585"/>
      <c r="I348" s="1585"/>
      <c r="J348" s="1585"/>
      <c r="N348" s="1793"/>
    </row>
    <row r="349" spans="2:14" x14ac:dyDescent="0.2">
      <c r="B349" s="1585"/>
      <c r="C349" s="1585"/>
      <c r="D349" s="1585"/>
      <c r="E349" s="1585"/>
      <c r="F349" s="1585"/>
      <c r="G349" s="1585"/>
      <c r="H349" s="1585"/>
      <c r="I349" s="1585"/>
      <c r="J349" s="1585"/>
      <c r="N349" s="1793"/>
    </row>
    <row r="350" spans="2:14" x14ac:dyDescent="0.2">
      <c r="B350" s="1585"/>
      <c r="C350" s="1585"/>
      <c r="D350" s="1585"/>
      <c r="E350" s="1585"/>
      <c r="F350" s="1585"/>
      <c r="G350" s="1585"/>
      <c r="H350" s="1585"/>
      <c r="I350" s="1585"/>
      <c r="J350" s="1585"/>
      <c r="N350" s="1793"/>
    </row>
    <row r="351" spans="2:14" x14ac:dyDescent="0.2">
      <c r="B351" s="1585"/>
      <c r="C351" s="1585"/>
      <c r="D351" s="1585"/>
      <c r="E351" s="1585"/>
      <c r="F351" s="1585"/>
      <c r="G351" s="1585"/>
      <c r="H351" s="1585"/>
      <c r="I351" s="1585"/>
      <c r="J351" s="1585"/>
      <c r="N351" s="1793"/>
    </row>
    <row r="352" spans="2:14" ht="12" thickBot="1" x14ac:dyDescent="0.25">
      <c r="B352" s="1585"/>
      <c r="C352" s="1585"/>
      <c r="D352" s="1585"/>
      <c r="E352" s="1585"/>
      <c r="F352" s="1585"/>
      <c r="G352" s="1585"/>
      <c r="H352" s="1585"/>
      <c r="I352" s="1585"/>
      <c r="J352" s="1585"/>
      <c r="N352" s="1793"/>
    </row>
    <row r="353" spans="1:14" x14ac:dyDescent="0.2">
      <c r="A353" s="1777"/>
      <c r="B353" s="1585"/>
      <c r="C353" s="1585"/>
      <c r="D353" s="1585"/>
      <c r="E353" s="1585"/>
      <c r="F353" s="1585"/>
      <c r="G353" s="1585"/>
      <c r="H353" s="1585"/>
      <c r="I353" s="1585"/>
      <c r="J353" s="1585"/>
      <c r="N353" s="1793"/>
    </row>
    <row r="354" spans="1:14" x14ac:dyDescent="0.2">
      <c r="A354" s="1771"/>
      <c r="B354" s="1585"/>
      <c r="C354" s="1585"/>
      <c r="D354" s="1585"/>
      <c r="E354" s="1585"/>
      <c r="F354" s="1585"/>
      <c r="G354" s="1585"/>
      <c r="H354" s="1585"/>
      <c r="I354" s="1585"/>
      <c r="J354" s="1585"/>
      <c r="N354" s="1793"/>
    </row>
    <row r="355" spans="1:14" x14ac:dyDescent="0.2">
      <c r="A355" s="1771"/>
      <c r="B355" s="1585"/>
      <c r="C355" s="1585"/>
      <c r="D355" s="1585"/>
      <c r="E355" s="1585"/>
      <c r="F355" s="1585"/>
      <c r="G355" s="1585"/>
      <c r="H355" s="1585"/>
      <c r="I355" s="1585"/>
      <c r="J355" s="1585"/>
      <c r="N355" s="1793"/>
    </row>
    <row r="356" spans="1:14" x14ac:dyDescent="0.2">
      <c r="A356" s="1771"/>
      <c r="B356" s="1585"/>
      <c r="C356" s="1585"/>
      <c r="D356" s="1585"/>
      <c r="E356" s="1585"/>
      <c r="F356" s="1585"/>
      <c r="G356" s="1585"/>
      <c r="H356" s="1585"/>
      <c r="I356" s="1585"/>
      <c r="J356" s="1585"/>
      <c r="N356" s="1793"/>
    </row>
    <row r="357" spans="1:14" x14ac:dyDescent="0.2">
      <c r="A357" s="1771"/>
      <c r="B357" s="1585"/>
      <c r="C357" s="1585"/>
      <c r="D357" s="1585"/>
      <c r="E357" s="1585"/>
      <c r="F357" s="1585"/>
      <c r="G357" s="1585"/>
      <c r="H357" s="1585"/>
      <c r="I357" s="1585"/>
      <c r="J357" s="1585"/>
      <c r="N357" s="1793"/>
    </row>
    <row r="358" spans="1:14" x14ac:dyDescent="0.2">
      <c r="A358" s="1771"/>
      <c r="B358" s="1585"/>
      <c r="C358" s="1585"/>
      <c r="D358" s="1585"/>
      <c r="E358" s="1585"/>
      <c r="F358" s="1585"/>
      <c r="G358" s="1585"/>
      <c r="H358" s="1585"/>
      <c r="I358" s="1585"/>
      <c r="J358" s="1585"/>
      <c r="N358" s="1793"/>
    </row>
    <row r="359" spans="1:14" x14ac:dyDescent="0.2">
      <c r="A359" s="1771"/>
      <c r="B359" s="1585"/>
      <c r="C359" s="1585"/>
      <c r="D359" s="1585"/>
      <c r="E359" s="1585"/>
      <c r="F359" s="1585"/>
      <c r="G359" s="1585"/>
      <c r="H359" s="1585"/>
      <c r="I359" s="1585"/>
      <c r="J359" s="1585"/>
      <c r="N359" s="1793"/>
    </row>
    <row r="360" spans="1:14" x14ac:dyDescent="0.2">
      <c r="A360" s="1771"/>
      <c r="B360" s="1585"/>
      <c r="C360" s="1585"/>
      <c r="D360" s="1585"/>
      <c r="E360" s="1585"/>
      <c r="F360" s="1585"/>
      <c r="G360" s="1585"/>
      <c r="H360" s="1585"/>
      <c r="I360" s="1585"/>
      <c r="J360" s="1585"/>
      <c r="N360" s="1793"/>
    </row>
    <row r="361" spans="1:14" ht="12" thickBot="1" x14ac:dyDescent="0.25">
      <c r="A361" s="1773"/>
      <c r="B361" s="1585"/>
      <c r="C361" s="1585"/>
      <c r="D361" s="1585"/>
      <c r="E361" s="1585"/>
      <c r="F361" s="1585"/>
      <c r="G361" s="1585"/>
      <c r="H361" s="1585"/>
      <c r="I361" s="1585"/>
      <c r="J361" s="1585"/>
      <c r="N361" s="1793"/>
    </row>
    <row r="362" spans="1:14" x14ac:dyDescent="0.2">
      <c r="B362" s="1585"/>
      <c r="C362" s="1585"/>
      <c r="D362" s="1585"/>
      <c r="E362" s="1585"/>
      <c r="F362" s="1585"/>
      <c r="G362" s="1585"/>
      <c r="H362" s="1585"/>
      <c r="I362" s="1585"/>
      <c r="J362" s="1585"/>
      <c r="N362" s="1793"/>
    </row>
    <row r="363" spans="1:14" x14ac:dyDescent="0.2">
      <c r="B363" s="1585"/>
      <c r="C363" s="1585"/>
      <c r="D363" s="1585"/>
      <c r="E363" s="1585"/>
      <c r="F363" s="1585"/>
      <c r="G363" s="1585"/>
      <c r="H363" s="1585"/>
      <c r="I363" s="1585"/>
      <c r="J363" s="1585"/>
      <c r="N363" s="1793"/>
    </row>
    <row r="364" spans="1:14" x14ac:dyDescent="0.2">
      <c r="B364" s="1585"/>
      <c r="C364" s="1585"/>
      <c r="D364" s="1585"/>
      <c r="E364" s="1585"/>
      <c r="F364" s="1585"/>
      <c r="G364" s="1585"/>
      <c r="H364" s="1585"/>
      <c r="I364" s="1585"/>
      <c r="J364" s="1585"/>
      <c r="N364" s="1793"/>
    </row>
    <row r="365" spans="1:14" x14ac:dyDescent="0.2">
      <c r="B365" s="1585"/>
      <c r="C365" s="1585"/>
      <c r="D365" s="1585"/>
      <c r="E365" s="1585"/>
      <c r="F365" s="1585"/>
      <c r="G365" s="1585"/>
      <c r="H365" s="1585"/>
      <c r="I365" s="1585"/>
      <c r="J365" s="1585"/>
      <c r="N365" s="1793"/>
    </row>
    <row r="366" spans="1:14" x14ac:dyDescent="0.2">
      <c r="B366" s="1585"/>
      <c r="C366" s="1585"/>
      <c r="D366" s="1585"/>
      <c r="E366" s="1585"/>
      <c r="F366" s="1585"/>
      <c r="G366" s="1585"/>
      <c r="H366" s="1585"/>
      <c r="I366" s="1585"/>
      <c r="J366" s="1585"/>
      <c r="N366" s="1793"/>
    </row>
    <row r="367" spans="1:14" x14ac:dyDescent="0.2">
      <c r="B367" s="1585"/>
      <c r="C367" s="1585"/>
      <c r="D367" s="1585"/>
      <c r="E367" s="1585"/>
      <c r="F367" s="1585"/>
      <c r="G367" s="1585"/>
      <c r="H367" s="1585"/>
      <c r="I367" s="1585"/>
      <c r="J367" s="1585"/>
      <c r="N367" s="1793"/>
    </row>
    <row r="368" spans="1:14" x14ac:dyDescent="0.2">
      <c r="B368" s="1585"/>
      <c r="C368" s="1585"/>
      <c r="D368" s="1585"/>
      <c r="E368" s="1585"/>
      <c r="F368" s="1585"/>
      <c r="G368" s="1585"/>
      <c r="H368" s="1585"/>
      <c r="I368" s="1585"/>
      <c r="J368" s="1585"/>
      <c r="N368" s="1793"/>
    </row>
    <row r="369" spans="1:14" x14ac:dyDescent="0.2">
      <c r="B369" s="1585"/>
      <c r="C369" s="1585"/>
      <c r="D369" s="1585"/>
      <c r="E369" s="1585"/>
      <c r="F369" s="1585"/>
      <c r="G369" s="1585"/>
      <c r="H369" s="1585"/>
      <c r="I369" s="1585"/>
      <c r="J369" s="1585"/>
      <c r="N369" s="1793"/>
    </row>
    <row r="370" spans="1:14" ht="12" thickBot="1" x14ac:dyDescent="0.25">
      <c r="B370" s="1585"/>
      <c r="C370" s="1585"/>
      <c r="D370" s="1585"/>
      <c r="E370" s="1585"/>
      <c r="F370" s="1585"/>
      <c r="G370" s="1585"/>
      <c r="H370" s="1585"/>
      <c r="I370" s="1585"/>
      <c r="J370" s="1585"/>
      <c r="N370" s="1793"/>
    </row>
    <row r="371" spans="1:14" x14ac:dyDescent="0.2">
      <c r="A371" s="1777"/>
      <c r="B371" s="1585"/>
      <c r="C371" s="1585"/>
      <c r="D371" s="1585"/>
      <c r="E371" s="1585"/>
      <c r="F371" s="1585"/>
      <c r="G371" s="1585"/>
      <c r="H371" s="1585"/>
      <c r="I371" s="1585"/>
      <c r="J371" s="1585"/>
      <c r="N371" s="1793"/>
    </row>
    <row r="372" spans="1:14" x14ac:dyDescent="0.2">
      <c r="A372" s="1771"/>
      <c r="B372" s="1585"/>
      <c r="C372" s="1585"/>
      <c r="D372" s="1585"/>
      <c r="E372" s="1585"/>
      <c r="F372" s="1585"/>
      <c r="G372" s="1585"/>
      <c r="H372" s="1585"/>
      <c r="I372" s="1585"/>
      <c r="J372" s="1585"/>
      <c r="N372" s="1793"/>
    </row>
    <row r="373" spans="1:14" x14ac:dyDescent="0.2">
      <c r="A373" s="1771"/>
      <c r="B373" s="1585"/>
      <c r="C373" s="1585"/>
      <c r="D373" s="1585"/>
      <c r="E373" s="1585"/>
      <c r="F373" s="1585"/>
      <c r="G373" s="1585"/>
      <c r="H373" s="1585"/>
      <c r="I373" s="1585"/>
      <c r="J373" s="1585"/>
      <c r="N373" s="1793"/>
    </row>
    <row r="374" spans="1:14" x14ac:dyDescent="0.2">
      <c r="A374" s="1771"/>
      <c r="B374" s="1585"/>
      <c r="C374" s="1585"/>
      <c r="D374" s="1585"/>
      <c r="E374" s="1585"/>
      <c r="F374" s="1585"/>
      <c r="G374" s="1585"/>
      <c r="H374" s="1585"/>
      <c r="I374" s="1585"/>
      <c r="J374" s="1585"/>
      <c r="N374" s="1793"/>
    </row>
    <row r="375" spans="1:14" x14ac:dyDescent="0.2">
      <c r="A375" s="1771"/>
      <c r="B375" s="1585"/>
      <c r="C375" s="1585"/>
      <c r="D375" s="1585"/>
      <c r="E375" s="1585"/>
      <c r="F375" s="1585"/>
      <c r="G375" s="1585"/>
      <c r="H375" s="1585"/>
      <c r="I375" s="1585"/>
      <c r="J375" s="1585"/>
      <c r="N375" s="1793"/>
    </row>
    <row r="376" spans="1:14" x14ac:dyDescent="0.2">
      <c r="A376" s="1771"/>
      <c r="B376" s="1585"/>
      <c r="C376" s="1585"/>
      <c r="D376" s="1585"/>
      <c r="E376" s="1585"/>
      <c r="F376" s="1585"/>
      <c r="G376" s="1585"/>
      <c r="H376" s="1585"/>
      <c r="I376" s="1585"/>
      <c r="J376" s="1585"/>
      <c r="N376" s="1793"/>
    </row>
    <row r="377" spans="1:14" x14ac:dyDescent="0.2">
      <c r="A377" s="1771"/>
      <c r="B377" s="1585"/>
      <c r="C377" s="1585"/>
      <c r="D377" s="1585"/>
      <c r="E377" s="1585"/>
      <c r="F377" s="1585"/>
      <c r="G377" s="1585"/>
      <c r="H377" s="1585"/>
      <c r="I377" s="1585"/>
      <c r="J377" s="1585"/>
      <c r="N377" s="1793"/>
    </row>
    <row r="378" spans="1:14" x14ac:dyDescent="0.2">
      <c r="A378" s="1771"/>
      <c r="B378" s="1585"/>
      <c r="C378" s="1585"/>
      <c r="D378" s="1585"/>
      <c r="E378" s="1585"/>
      <c r="F378" s="1585"/>
      <c r="G378" s="1585"/>
      <c r="H378" s="1585"/>
      <c r="I378" s="1585"/>
      <c r="J378" s="1585"/>
      <c r="N378" s="1793"/>
    </row>
    <row r="379" spans="1:14" ht="12" thickBot="1" x14ac:dyDescent="0.25">
      <c r="A379" s="1773"/>
      <c r="B379" s="1585"/>
      <c r="C379" s="1585"/>
      <c r="D379" s="1585"/>
      <c r="E379" s="1585"/>
      <c r="F379" s="1585"/>
      <c r="G379" s="1585"/>
      <c r="H379" s="1585"/>
      <c r="I379" s="1585"/>
      <c r="J379" s="1585"/>
      <c r="N379" s="1793"/>
    </row>
    <row r="380" spans="1:14" x14ac:dyDescent="0.2">
      <c r="B380" s="1585"/>
      <c r="C380" s="1585"/>
      <c r="D380" s="1585"/>
      <c r="E380" s="1585"/>
      <c r="F380" s="1585"/>
      <c r="G380" s="1585"/>
      <c r="H380" s="1585"/>
      <c r="I380" s="1585"/>
      <c r="J380" s="1585"/>
      <c r="N380" s="1793"/>
    </row>
    <row r="381" spans="1:14" x14ac:dyDescent="0.2">
      <c r="B381" s="1585"/>
      <c r="C381" s="1585"/>
      <c r="D381" s="1585"/>
      <c r="E381" s="1585"/>
      <c r="F381" s="1585"/>
      <c r="G381" s="1585"/>
      <c r="H381" s="1585"/>
      <c r="I381" s="1585"/>
      <c r="J381" s="1585"/>
      <c r="N381" s="1793"/>
    </row>
    <row r="382" spans="1:14" x14ac:dyDescent="0.2">
      <c r="B382" s="1585"/>
      <c r="C382" s="1585"/>
      <c r="D382" s="1585"/>
      <c r="E382" s="1585"/>
      <c r="F382" s="1585"/>
      <c r="G382" s="1585"/>
      <c r="H382" s="1585"/>
      <c r="I382" s="1585"/>
      <c r="J382" s="1585"/>
      <c r="N382" s="1793"/>
    </row>
    <row r="383" spans="1:14" x14ac:dyDescent="0.2">
      <c r="B383" s="1585"/>
      <c r="C383" s="1585"/>
      <c r="D383" s="1585"/>
      <c r="E383" s="1585"/>
      <c r="F383" s="1585"/>
      <c r="G383" s="1585"/>
      <c r="H383" s="1585"/>
      <c r="I383" s="1585"/>
      <c r="J383" s="1585"/>
      <c r="N383" s="1793"/>
    </row>
    <row r="384" spans="1:14" x14ac:dyDescent="0.2">
      <c r="B384" s="1585"/>
      <c r="C384" s="1585"/>
      <c r="D384" s="1585"/>
      <c r="E384" s="1585"/>
      <c r="F384" s="1585"/>
      <c r="G384" s="1585"/>
      <c r="H384" s="1585"/>
      <c r="I384" s="1585"/>
      <c r="J384" s="1585"/>
      <c r="N384" s="1793"/>
    </row>
    <row r="385" spans="2:14" x14ac:dyDescent="0.2">
      <c r="B385" s="1585"/>
      <c r="C385" s="1585"/>
      <c r="D385" s="1585"/>
      <c r="E385" s="1585"/>
      <c r="F385" s="1585"/>
      <c r="G385" s="1585"/>
      <c r="H385" s="1585"/>
      <c r="I385" s="1585"/>
      <c r="J385" s="1585"/>
      <c r="N385" s="1793"/>
    </row>
    <row r="386" spans="2:14" x14ac:dyDescent="0.2">
      <c r="B386" s="1585"/>
      <c r="C386" s="1585"/>
      <c r="D386" s="1585"/>
      <c r="E386" s="1585"/>
      <c r="F386" s="1585"/>
      <c r="G386" s="1585"/>
      <c r="H386" s="1585"/>
      <c r="I386" s="1585"/>
      <c r="J386" s="1585"/>
      <c r="N386" s="1793"/>
    </row>
    <row r="387" spans="2:14" x14ac:dyDescent="0.2">
      <c r="B387" s="1585"/>
      <c r="C387" s="1585"/>
      <c r="D387" s="1585"/>
      <c r="E387" s="1585"/>
      <c r="F387" s="1585"/>
      <c r="G387" s="1585"/>
      <c r="H387" s="1585"/>
      <c r="I387" s="1585"/>
      <c r="J387" s="1585"/>
      <c r="N387" s="1793"/>
    </row>
    <row r="388" spans="2:14" x14ac:dyDescent="0.2">
      <c r="B388" s="1585"/>
      <c r="C388" s="1585"/>
      <c r="D388" s="1585"/>
      <c r="E388" s="1585"/>
      <c r="F388" s="1585"/>
      <c r="G388" s="1585"/>
      <c r="H388" s="1585"/>
      <c r="I388" s="1585"/>
      <c r="J388" s="1585"/>
      <c r="N388" s="1793"/>
    </row>
    <row r="389" spans="2:14" x14ac:dyDescent="0.2">
      <c r="B389" s="1585"/>
      <c r="C389" s="1585"/>
      <c r="D389" s="1585"/>
      <c r="E389" s="1585"/>
      <c r="F389" s="1585"/>
      <c r="G389" s="1585"/>
      <c r="H389" s="1585"/>
      <c r="I389" s="1585"/>
      <c r="J389" s="1585"/>
      <c r="N389" s="1793"/>
    </row>
    <row r="390" spans="2:14" x14ac:dyDescent="0.2">
      <c r="B390" s="1585"/>
      <c r="C390" s="1585"/>
      <c r="D390" s="1585"/>
      <c r="E390" s="1585"/>
      <c r="F390" s="1585"/>
      <c r="G390" s="1585"/>
      <c r="H390" s="1585"/>
      <c r="I390" s="1585"/>
      <c r="J390" s="1585"/>
      <c r="N390" s="1793"/>
    </row>
    <row r="391" spans="2:14" x14ac:dyDescent="0.2">
      <c r="B391" s="1585"/>
      <c r="C391" s="1585"/>
      <c r="D391" s="1585"/>
      <c r="E391" s="1585"/>
      <c r="F391" s="1585"/>
      <c r="G391" s="1585"/>
      <c r="H391" s="1585"/>
      <c r="I391" s="1585"/>
      <c r="J391" s="1585"/>
      <c r="N391" s="1793"/>
    </row>
    <row r="392" spans="2:14" x14ac:dyDescent="0.2">
      <c r="B392" s="1585"/>
      <c r="C392" s="1585"/>
      <c r="D392" s="1585"/>
      <c r="E392" s="1585"/>
      <c r="F392" s="1585"/>
      <c r="G392" s="1585"/>
      <c r="H392" s="1585"/>
      <c r="I392" s="1585"/>
      <c r="J392" s="1585"/>
      <c r="N392" s="1793"/>
    </row>
    <row r="393" spans="2:14" x14ac:dyDescent="0.2">
      <c r="B393" s="1585"/>
      <c r="C393" s="1585"/>
      <c r="D393" s="1585"/>
      <c r="E393" s="1585"/>
      <c r="F393" s="1585"/>
      <c r="G393" s="1585"/>
      <c r="H393" s="1585"/>
      <c r="I393" s="1585"/>
      <c r="J393" s="1585"/>
      <c r="N393" s="1793"/>
    </row>
    <row r="394" spans="2:14" x14ac:dyDescent="0.2">
      <c r="B394" s="1585"/>
      <c r="C394" s="1585"/>
      <c r="D394" s="1585"/>
      <c r="E394" s="1585"/>
      <c r="F394" s="1585"/>
      <c r="G394" s="1585"/>
      <c r="H394" s="1585"/>
      <c r="I394" s="1585"/>
      <c r="J394" s="1585"/>
      <c r="N394" s="1793"/>
    </row>
    <row r="395" spans="2:14" x14ac:dyDescent="0.2">
      <c r="B395" s="1585"/>
      <c r="C395" s="1585"/>
      <c r="D395" s="1585"/>
      <c r="E395" s="1585"/>
      <c r="F395" s="1585"/>
      <c r="G395" s="1585"/>
      <c r="H395" s="1585"/>
      <c r="I395" s="1585"/>
      <c r="J395" s="1585"/>
      <c r="N395" s="1793"/>
    </row>
    <row r="396" spans="2:14" x14ac:dyDescent="0.2">
      <c r="B396" s="1585"/>
      <c r="C396" s="1585"/>
      <c r="D396" s="1585"/>
      <c r="E396" s="1585"/>
      <c r="F396" s="1585"/>
      <c r="G396" s="1585"/>
      <c r="H396" s="1585"/>
      <c r="I396" s="1585"/>
      <c r="J396" s="1585"/>
      <c r="N396" s="1793"/>
    </row>
    <row r="397" spans="2:14" x14ac:dyDescent="0.2">
      <c r="B397" s="1585"/>
      <c r="C397" s="1585"/>
      <c r="D397" s="1585"/>
      <c r="E397" s="1585"/>
      <c r="F397" s="1585"/>
      <c r="G397" s="1585"/>
      <c r="H397" s="1585"/>
      <c r="I397" s="1585"/>
      <c r="J397" s="1585"/>
      <c r="N397" s="1793"/>
    </row>
    <row r="398" spans="2:14" x14ac:dyDescent="0.2">
      <c r="B398" s="1585"/>
      <c r="C398" s="1585"/>
      <c r="D398" s="1585"/>
      <c r="E398" s="1585"/>
      <c r="F398" s="1585"/>
      <c r="G398" s="1585"/>
      <c r="H398" s="1585"/>
      <c r="I398" s="1585"/>
      <c r="J398" s="1585"/>
      <c r="N398" s="1793"/>
    </row>
    <row r="399" spans="2:14" x14ac:dyDescent="0.2">
      <c r="B399" s="1585"/>
      <c r="C399" s="1585"/>
      <c r="D399" s="1585"/>
      <c r="E399" s="1585"/>
      <c r="F399" s="1585"/>
      <c r="G399" s="1585"/>
      <c r="H399" s="1585"/>
      <c r="I399" s="1585"/>
      <c r="J399" s="1585"/>
      <c r="N399" s="1793"/>
    </row>
    <row r="400" spans="2:14" x14ac:dyDescent="0.2">
      <c r="B400" s="1585"/>
      <c r="C400" s="1585"/>
      <c r="D400" s="1585"/>
      <c r="E400" s="1585"/>
      <c r="F400" s="1585"/>
      <c r="G400" s="1585"/>
      <c r="H400" s="1585"/>
      <c r="I400" s="1585"/>
      <c r="J400" s="1585"/>
      <c r="N400" s="1793"/>
    </row>
    <row r="401" spans="1:14" x14ac:dyDescent="0.2">
      <c r="B401" s="1585"/>
      <c r="C401" s="1585"/>
      <c r="D401" s="1585"/>
      <c r="E401" s="1585"/>
      <c r="F401" s="1585"/>
      <c r="G401" s="1585"/>
      <c r="H401" s="1585"/>
      <c r="I401" s="1585"/>
      <c r="J401" s="1585"/>
      <c r="N401" s="1793"/>
    </row>
    <row r="402" spans="1:14" x14ac:dyDescent="0.2">
      <c r="B402" s="1585"/>
      <c r="C402" s="1585"/>
      <c r="D402" s="1585"/>
      <c r="E402" s="1585"/>
      <c r="F402" s="1585"/>
      <c r="G402" s="1585"/>
      <c r="H402" s="1585"/>
      <c r="I402" s="1585"/>
      <c r="J402" s="1585"/>
      <c r="N402" s="1793"/>
    </row>
    <row r="403" spans="1:14" x14ac:dyDescent="0.2">
      <c r="B403" s="1585"/>
      <c r="C403" s="1585"/>
      <c r="D403" s="1585"/>
      <c r="E403" s="1585"/>
      <c r="F403" s="1585"/>
      <c r="G403" s="1585"/>
      <c r="H403" s="1585"/>
      <c r="I403" s="1585"/>
      <c r="J403" s="1585"/>
      <c r="N403" s="1793"/>
    </row>
    <row r="404" spans="1:14" x14ac:dyDescent="0.2">
      <c r="B404" s="1585"/>
      <c r="C404" s="1585"/>
      <c r="D404" s="1585"/>
      <c r="E404" s="1585"/>
      <c r="F404" s="1585"/>
      <c r="G404" s="1585"/>
      <c r="H404" s="1585"/>
      <c r="I404" s="1585"/>
      <c r="J404" s="1585"/>
      <c r="N404" s="1793"/>
    </row>
    <row r="405" spans="1:14" x14ac:dyDescent="0.2">
      <c r="B405" s="1585"/>
      <c r="C405" s="1585"/>
      <c r="D405" s="1585"/>
      <c r="E405" s="1585"/>
      <c r="F405" s="1585"/>
      <c r="G405" s="1585"/>
      <c r="H405" s="1585"/>
      <c r="I405" s="1585"/>
      <c r="J405" s="1585"/>
      <c r="N405" s="1793"/>
    </row>
    <row r="406" spans="1:14" ht="12" thickBot="1" x14ac:dyDescent="0.25">
      <c r="B406" s="1585"/>
      <c r="C406" s="1585"/>
      <c r="D406" s="1585"/>
      <c r="E406" s="1585"/>
      <c r="F406" s="1585"/>
      <c r="G406" s="1585"/>
      <c r="H406" s="1585"/>
      <c r="I406" s="1585"/>
      <c r="J406" s="1585"/>
      <c r="N406" s="1793"/>
    </row>
    <row r="407" spans="1:14" x14ac:dyDescent="0.2">
      <c r="A407" s="1777"/>
      <c r="B407" s="1585"/>
      <c r="C407" s="1585"/>
      <c r="D407" s="1585"/>
      <c r="E407" s="1585"/>
      <c r="F407" s="1585"/>
      <c r="G407" s="1585"/>
      <c r="H407" s="1585"/>
      <c r="I407" s="1585"/>
      <c r="J407" s="1585"/>
      <c r="N407" s="1793"/>
    </row>
    <row r="408" spans="1:14" x14ac:dyDescent="0.2">
      <c r="A408" s="1771"/>
      <c r="B408" s="1585"/>
      <c r="C408" s="1585"/>
      <c r="D408" s="1585"/>
      <c r="E408" s="1585"/>
      <c r="F408" s="1585"/>
      <c r="G408" s="1585"/>
      <c r="H408" s="1585"/>
      <c r="I408" s="1585"/>
      <c r="J408" s="1585"/>
      <c r="N408" s="1793"/>
    </row>
    <row r="409" spans="1:14" x14ac:dyDescent="0.2">
      <c r="A409" s="1771"/>
      <c r="B409" s="1585"/>
      <c r="C409" s="1585"/>
      <c r="D409" s="1585"/>
      <c r="E409" s="1585"/>
      <c r="F409" s="1585"/>
      <c r="G409" s="1585"/>
      <c r="H409" s="1585"/>
      <c r="I409" s="1585"/>
      <c r="J409" s="1585"/>
      <c r="N409" s="1793"/>
    </row>
    <row r="410" spans="1:14" x14ac:dyDescent="0.2">
      <c r="A410" s="1771"/>
      <c r="B410" s="1585"/>
      <c r="C410" s="1585"/>
      <c r="D410" s="1585"/>
      <c r="E410" s="1585"/>
      <c r="F410" s="1585"/>
      <c r="G410" s="1585"/>
      <c r="H410" s="1585"/>
      <c r="I410" s="1585"/>
      <c r="J410" s="1585"/>
      <c r="N410" s="1793"/>
    </row>
    <row r="411" spans="1:14" x14ac:dyDescent="0.2">
      <c r="A411" s="1771"/>
      <c r="B411" s="1585"/>
      <c r="C411" s="1585"/>
      <c r="D411" s="1585"/>
      <c r="E411" s="1585"/>
      <c r="F411" s="1585"/>
      <c r="G411" s="1585"/>
      <c r="H411" s="1585"/>
      <c r="I411" s="1585"/>
      <c r="J411" s="1585"/>
      <c r="N411" s="1793"/>
    </row>
    <row r="412" spans="1:14" x14ac:dyDescent="0.2">
      <c r="A412" s="1771"/>
      <c r="B412" s="1585"/>
      <c r="C412" s="1585"/>
      <c r="D412" s="1585"/>
      <c r="E412" s="1585"/>
      <c r="F412" s="1585"/>
      <c r="G412" s="1585"/>
      <c r="H412" s="1585"/>
      <c r="I412" s="1585"/>
      <c r="J412" s="1585"/>
      <c r="N412" s="1793"/>
    </row>
    <row r="413" spans="1:14" x14ac:dyDescent="0.2">
      <c r="A413" s="1771"/>
      <c r="B413" s="1585"/>
      <c r="C413" s="1585"/>
      <c r="D413" s="1585"/>
      <c r="E413" s="1585"/>
      <c r="F413" s="1585"/>
      <c r="G413" s="1585"/>
      <c r="H413" s="1585"/>
      <c r="I413" s="1585"/>
      <c r="J413" s="1585"/>
      <c r="N413" s="1793"/>
    </row>
    <row r="414" spans="1:14" x14ac:dyDescent="0.2">
      <c r="A414" s="1771"/>
      <c r="B414" s="1585"/>
      <c r="C414" s="1585"/>
      <c r="D414" s="1585"/>
      <c r="E414" s="1585"/>
      <c r="F414" s="1585"/>
      <c r="G414" s="1585"/>
      <c r="H414" s="1585"/>
      <c r="I414" s="1585"/>
      <c r="J414" s="1585"/>
      <c r="N414" s="1793"/>
    </row>
    <row r="415" spans="1:14" x14ac:dyDescent="0.2">
      <c r="A415" s="1771"/>
      <c r="B415" s="1585"/>
      <c r="C415" s="1585"/>
      <c r="D415" s="1585"/>
      <c r="E415" s="1585"/>
      <c r="F415" s="1585"/>
      <c r="G415" s="1585"/>
      <c r="H415" s="1585"/>
      <c r="I415" s="1585"/>
      <c r="J415" s="1585"/>
      <c r="N415" s="1793"/>
    </row>
    <row r="416" spans="1:14" x14ac:dyDescent="0.2">
      <c r="A416" s="1771"/>
      <c r="B416" s="1585"/>
      <c r="C416" s="1585"/>
      <c r="D416" s="1585"/>
      <c r="E416" s="1585"/>
      <c r="F416" s="1585"/>
      <c r="G416" s="1585"/>
      <c r="H416" s="1585"/>
      <c r="I416" s="1585"/>
      <c r="J416" s="1585"/>
      <c r="N416" s="1793"/>
    </row>
    <row r="417" spans="1:14" x14ac:dyDescent="0.2">
      <c r="A417" s="1771"/>
      <c r="B417" s="1585"/>
      <c r="C417" s="1585"/>
      <c r="D417" s="1585"/>
      <c r="E417" s="1585"/>
      <c r="F417" s="1585"/>
      <c r="G417" s="1585"/>
      <c r="H417" s="1585"/>
      <c r="I417" s="1585"/>
      <c r="J417" s="1585"/>
      <c r="N417" s="1793"/>
    </row>
    <row r="418" spans="1:14" x14ac:dyDescent="0.2">
      <c r="A418" s="1771"/>
      <c r="B418" s="1585"/>
      <c r="C418" s="1585"/>
      <c r="D418" s="1585"/>
      <c r="E418" s="1585"/>
      <c r="F418" s="1585"/>
      <c r="G418" s="1585"/>
      <c r="H418" s="1585"/>
      <c r="I418" s="1585"/>
      <c r="J418" s="1585"/>
      <c r="N418" s="1793"/>
    </row>
    <row r="419" spans="1:14" x14ac:dyDescent="0.2">
      <c r="A419" s="1771"/>
      <c r="B419" s="1585"/>
      <c r="C419" s="1585"/>
      <c r="D419" s="1585"/>
      <c r="E419" s="1585"/>
      <c r="F419" s="1585"/>
      <c r="G419" s="1585"/>
      <c r="H419" s="1585"/>
      <c r="I419" s="1585"/>
      <c r="J419" s="1585"/>
      <c r="N419" s="1793"/>
    </row>
    <row r="420" spans="1:14" ht="12" thickBot="1" x14ac:dyDescent="0.25">
      <c r="A420" s="1773"/>
      <c r="B420" s="1585"/>
      <c r="C420" s="1585"/>
      <c r="D420" s="1585"/>
      <c r="E420" s="1585"/>
      <c r="F420" s="1585"/>
      <c r="G420" s="1585"/>
      <c r="H420" s="1585"/>
      <c r="I420" s="1585"/>
      <c r="J420" s="1585"/>
      <c r="N420" s="1793"/>
    </row>
    <row r="421" spans="1:14" x14ac:dyDescent="0.2">
      <c r="A421" s="1777"/>
      <c r="B421" s="1585"/>
      <c r="C421" s="1585"/>
      <c r="D421" s="1585"/>
      <c r="E421" s="1585"/>
      <c r="F421" s="1585"/>
      <c r="G421" s="1585"/>
      <c r="H421" s="1585"/>
      <c r="I421" s="1585"/>
      <c r="J421" s="1585"/>
      <c r="N421" s="1793"/>
    </row>
    <row r="422" spans="1:14" x14ac:dyDescent="0.2">
      <c r="A422" s="1771"/>
      <c r="B422" s="1585"/>
      <c r="C422" s="1585"/>
      <c r="D422" s="1585"/>
      <c r="E422" s="1585"/>
      <c r="F422" s="1585"/>
      <c r="G422" s="1585"/>
      <c r="H422" s="1585"/>
      <c r="I422" s="1585"/>
      <c r="J422" s="1585"/>
      <c r="N422" s="1793"/>
    </row>
    <row r="423" spans="1:14" x14ac:dyDescent="0.2">
      <c r="A423" s="1771"/>
      <c r="B423" s="1585"/>
      <c r="C423" s="1585"/>
      <c r="D423" s="1585"/>
      <c r="E423" s="1585"/>
      <c r="F423" s="1585"/>
      <c r="G423" s="1585"/>
      <c r="H423" s="1585"/>
      <c r="I423" s="1585"/>
      <c r="J423" s="1585"/>
      <c r="N423" s="1793"/>
    </row>
    <row r="424" spans="1:14" x14ac:dyDescent="0.2">
      <c r="A424" s="1771"/>
      <c r="B424" s="1585"/>
      <c r="C424" s="1585"/>
      <c r="D424" s="1585"/>
      <c r="E424" s="1585"/>
      <c r="F424" s="1585"/>
      <c r="G424" s="1585"/>
      <c r="H424" s="1585"/>
      <c r="I424" s="1585"/>
      <c r="J424" s="1585"/>
      <c r="N424" s="1793"/>
    </row>
    <row r="425" spans="1:14" x14ac:dyDescent="0.2">
      <c r="A425" s="1771"/>
      <c r="B425" s="1585"/>
      <c r="C425" s="1585"/>
      <c r="D425" s="1585"/>
      <c r="E425" s="1585"/>
      <c r="F425" s="1585"/>
      <c r="G425" s="1585"/>
      <c r="H425" s="1585"/>
      <c r="I425" s="1585"/>
      <c r="J425" s="1585"/>
      <c r="N425" s="1793"/>
    </row>
    <row r="426" spans="1:14" x14ac:dyDescent="0.2">
      <c r="A426" s="1771"/>
      <c r="B426" s="1585"/>
      <c r="C426" s="1585"/>
      <c r="D426" s="1585"/>
      <c r="E426" s="1585"/>
      <c r="F426" s="1585"/>
      <c r="G426" s="1585"/>
      <c r="H426" s="1585"/>
      <c r="I426" s="1585"/>
      <c r="J426" s="1585"/>
      <c r="N426" s="1793"/>
    </row>
    <row r="427" spans="1:14" x14ac:dyDescent="0.2">
      <c r="A427" s="1771"/>
      <c r="B427" s="1585"/>
      <c r="C427" s="1585"/>
      <c r="D427" s="1585"/>
      <c r="E427" s="1585"/>
      <c r="F427" s="1585"/>
      <c r="G427" s="1585"/>
      <c r="H427" s="1585"/>
      <c r="I427" s="1585"/>
      <c r="J427" s="1585"/>
      <c r="N427" s="1793"/>
    </row>
    <row r="428" spans="1:14" x14ac:dyDescent="0.2">
      <c r="A428" s="1771"/>
      <c r="B428" s="1585"/>
      <c r="C428" s="1585"/>
      <c r="D428" s="1585"/>
      <c r="E428" s="1585"/>
      <c r="F428" s="1585"/>
      <c r="G428" s="1585"/>
      <c r="H428" s="1585"/>
      <c r="I428" s="1585"/>
      <c r="J428" s="1585"/>
      <c r="N428" s="1793"/>
    </row>
    <row r="429" spans="1:14" x14ac:dyDescent="0.2">
      <c r="A429" s="1771"/>
      <c r="B429" s="1585"/>
      <c r="C429" s="1585"/>
      <c r="D429" s="1585"/>
      <c r="E429" s="1585"/>
      <c r="F429" s="1585"/>
      <c r="G429" s="1585"/>
      <c r="H429" s="1585"/>
      <c r="I429" s="1585"/>
      <c r="J429" s="1585"/>
      <c r="N429" s="1793"/>
    </row>
    <row r="430" spans="1:14" x14ac:dyDescent="0.2">
      <c r="A430" s="1771"/>
      <c r="B430" s="1585"/>
      <c r="C430" s="1585"/>
      <c r="D430" s="1585"/>
      <c r="E430" s="1585"/>
      <c r="F430" s="1585"/>
      <c r="G430" s="1585"/>
      <c r="H430" s="1585"/>
      <c r="I430" s="1585"/>
      <c r="J430" s="1585"/>
      <c r="N430" s="1793"/>
    </row>
    <row r="431" spans="1:14" x14ac:dyDescent="0.2">
      <c r="A431" s="1771"/>
      <c r="B431" s="1585"/>
      <c r="C431" s="1585"/>
      <c r="D431" s="1585"/>
      <c r="E431" s="1585"/>
      <c r="F431" s="1585"/>
      <c r="G431" s="1585"/>
      <c r="H431" s="1585"/>
      <c r="I431" s="1585"/>
      <c r="J431" s="1585"/>
      <c r="N431" s="1793"/>
    </row>
    <row r="432" spans="1:14" x14ac:dyDescent="0.2">
      <c r="A432" s="1771"/>
      <c r="B432" s="1585"/>
      <c r="C432" s="1585"/>
      <c r="D432" s="1585"/>
      <c r="E432" s="1585"/>
      <c r="F432" s="1585"/>
      <c r="G432" s="1585"/>
      <c r="H432" s="1585"/>
      <c r="I432" s="1585"/>
      <c r="J432" s="1585"/>
      <c r="N432" s="1793"/>
    </row>
    <row r="433" spans="1:14" x14ac:dyDescent="0.2">
      <c r="A433" s="1771"/>
      <c r="B433" s="1585"/>
      <c r="C433" s="1585"/>
      <c r="D433" s="1585"/>
      <c r="E433" s="1585"/>
      <c r="F433" s="1585"/>
      <c r="G433" s="1585"/>
      <c r="H433" s="1585"/>
      <c r="I433" s="1585"/>
      <c r="J433" s="1585"/>
      <c r="N433" s="1793"/>
    </row>
    <row r="434" spans="1:14" ht="12" thickBot="1" x14ac:dyDescent="0.25">
      <c r="A434" s="1773"/>
      <c r="B434" s="1585"/>
      <c r="C434" s="1585"/>
      <c r="D434" s="1585"/>
      <c r="E434" s="1585"/>
      <c r="F434" s="1585"/>
      <c r="G434" s="1585"/>
      <c r="H434" s="1585"/>
      <c r="I434" s="1585"/>
      <c r="J434" s="1585"/>
      <c r="N434" s="1793"/>
    </row>
    <row r="435" spans="1:14" x14ac:dyDescent="0.2">
      <c r="B435" s="1585"/>
      <c r="C435" s="1585"/>
      <c r="D435" s="1585"/>
      <c r="E435" s="1585"/>
      <c r="F435" s="1585"/>
      <c r="G435" s="1585"/>
      <c r="H435" s="1585"/>
      <c r="I435" s="1585"/>
      <c r="J435" s="1585"/>
      <c r="N435" s="1793"/>
    </row>
    <row r="436" spans="1:14" x14ac:dyDescent="0.2">
      <c r="B436" s="1585"/>
      <c r="C436" s="1585"/>
      <c r="D436" s="1585"/>
      <c r="E436" s="1585"/>
      <c r="F436" s="1585"/>
      <c r="G436" s="1585"/>
      <c r="H436" s="1585"/>
      <c r="I436" s="1585"/>
      <c r="J436" s="1585"/>
      <c r="N436" s="1793"/>
    </row>
    <row r="437" spans="1:14" x14ac:dyDescent="0.2">
      <c r="B437" s="1585"/>
      <c r="C437" s="1585"/>
      <c r="D437" s="1585"/>
      <c r="E437" s="1585"/>
      <c r="F437" s="1585"/>
      <c r="G437" s="1585"/>
      <c r="H437" s="1585"/>
      <c r="I437" s="1585"/>
      <c r="J437" s="1585"/>
      <c r="N437" s="1793"/>
    </row>
    <row r="438" spans="1:14" x14ac:dyDescent="0.2">
      <c r="B438" s="1585"/>
      <c r="C438" s="1585"/>
      <c r="D438" s="1585"/>
      <c r="E438" s="1585"/>
      <c r="F438" s="1585"/>
      <c r="G438" s="1585"/>
      <c r="H438" s="1585"/>
      <c r="I438" s="1585"/>
      <c r="J438" s="1585"/>
      <c r="N438" s="1793"/>
    </row>
    <row r="439" spans="1:14" x14ac:dyDescent="0.2">
      <c r="B439" s="1585"/>
      <c r="C439" s="1585"/>
      <c r="D439" s="1585"/>
      <c r="E439" s="1585"/>
      <c r="F439" s="1585"/>
      <c r="G439" s="1585"/>
      <c r="H439" s="1585"/>
      <c r="I439" s="1585"/>
      <c r="J439" s="1585"/>
      <c r="N439" s="1793"/>
    </row>
    <row r="440" spans="1:14" x14ac:dyDescent="0.2">
      <c r="B440" s="1585"/>
      <c r="C440" s="1585"/>
      <c r="D440" s="1585"/>
      <c r="E440" s="1585"/>
      <c r="F440" s="1585"/>
      <c r="G440" s="1585"/>
      <c r="H440" s="1585"/>
      <c r="I440" s="1585"/>
      <c r="J440" s="1585"/>
      <c r="N440" s="1793"/>
    </row>
    <row r="441" spans="1:14" x14ac:dyDescent="0.2">
      <c r="B441" s="1585"/>
      <c r="C441" s="1585"/>
      <c r="D441" s="1585"/>
      <c r="E441" s="1585"/>
      <c r="F441" s="1585"/>
      <c r="G441" s="1585"/>
      <c r="H441" s="1585"/>
      <c r="I441" s="1585"/>
      <c r="J441" s="1585"/>
      <c r="N441" s="1793"/>
    </row>
    <row r="442" spans="1:14" x14ac:dyDescent="0.2">
      <c r="B442" s="1585"/>
      <c r="C442" s="1585"/>
      <c r="D442" s="1585"/>
      <c r="E442" s="1585"/>
      <c r="F442" s="1585"/>
      <c r="G442" s="1585"/>
      <c r="H442" s="1585"/>
      <c r="I442" s="1585"/>
      <c r="J442" s="1585"/>
      <c r="N442" s="1793"/>
    </row>
    <row r="443" spans="1:14" ht="12" thickBot="1" x14ac:dyDescent="0.25">
      <c r="B443" s="1585"/>
      <c r="C443" s="1585"/>
      <c r="D443" s="1585"/>
      <c r="E443" s="1585"/>
      <c r="F443" s="1585"/>
      <c r="G443" s="1585"/>
      <c r="H443" s="1585"/>
      <c r="I443" s="1585"/>
      <c r="J443" s="1585"/>
      <c r="N443" s="1793"/>
    </row>
    <row r="444" spans="1:14" x14ac:dyDescent="0.2">
      <c r="A444" s="1777"/>
      <c r="B444" s="1585"/>
      <c r="C444" s="1585"/>
      <c r="D444" s="1585"/>
      <c r="E444" s="1585"/>
      <c r="F444" s="1585"/>
      <c r="G444" s="1585"/>
      <c r="H444" s="1585"/>
      <c r="I444" s="1585"/>
      <c r="J444" s="1585"/>
      <c r="N444" s="1793"/>
    </row>
    <row r="445" spans="1:14" x14ac:dyDescent="0.2">
      <c r="A445" s="1771"/>
      <c r="B445" s="1585"/>
      <c r="C445" s="1585"/>
      <c r="D445" s="1585"/>
      <c r="E445" s="1585"/>
      <c r="F445" s="1585"/>
      <c r="G445" s="1585"/>
      <c r="H445" s="1585"/>
      <c r="I445" s="1585"/>
      <c r="J445" s="1585"/>
      <c r="N445" s="1793"/>
    </row>
    <row r="446" spans="1:14" x14ac:dyDescent="0.2">
      <c r="A446" s="1771"/>
      <c r="B446" s="1585"/>
      <c r="C446" s="1585"/>
      <c r="D446" s="1585"/>
      <c r="E446" s="1585"/>
      <c r="F446" s="1585"/>
      <c r="G446" s="1585"/>
      <c r="H446" s="1585"/>
      <c r="I446" s="1585"/>
      <c r="J446" s="1585"/>
      <c r="N446" s="1793"/>
    </row>
    <row r="447" spans="1:14" x14ac:dyDescent="0.2">
      <c r="A447" s="1771"/>
      <c r="B447" s="1585"/>
      <c r="C447" s="1585"/>
      <c r="D447" s="1585"/>
      <c r="E447" s="1585"/>
      <c r="F447" s="1585"/>
      <c r="G447" s="1585"/>
      <c r="H447" s="1585"/>
      <c r="I447" s="1585"/>
      <c r="J447" s="1585"/>
      <c r="N447" s="1793"/>
    </row>
    <row r="448" spans="1:14" x14ac:dyDescent="0.2">
      <c r="A448" s="1771"/>
      <c r="B448" s="1585"/>
      <c r="C448" s="1585"/>
      <c r="D448" s="1585"/>
      <c r="E448" s="1585"/>
      <c r="F448" s="1585"/>
      <c r="G448" s="1585"/>
      <c r="H448" s="1585"/>
      <c r="I448" s="1585"/>
      <c r="J448" s="1585"/>
      <c r="N448" s="1793"/>
    </row>
    <row r="449" spans="1:14" x14ac:dyDescent="0.2">
      <c r="A449" s="1771"/>
      <c r="B449" s="1585"/>
      <c r="C449" s="1585"/>
      <c r="D449" s="1585"/>
      <c r="E449" s="1585"/>
      <c r="F449" s="1585"/>
      <c r="G449" s="1585"/>
      <c r="H449" s="1585"/>
      <c r="I449" s="1585"/>
      <c r="J449" s="1585"/>
      <c r="N449" s="1793"/>
    </row>
    <row r="450" spans="1:14" x14ac:dyDescent="0.2">
      <c r="A450" s="1771"/>
      <c r="B450" s="1585"/>
      <c r="C450" s="1585"/>
      <c r="D450" s="1585"/>
      <c r="E450" s="1585"/>
      <c r="F450" s="1585"/>
      <c r="G450" s="1585"/>
      <c r="H450" s="1585"/>
      <c r="I450" s="1585"/>
      <c r="J450" s="1585"/>
      <c r="N450" s="1793"/>
    </row>
    <row r="451" spans="1:14" x14ac:dyDescent="0.2">
      <c r="A451" s="1771"/>
      <c r="B451" s="1585"/>
      <c r="C451" s="1585"/>
      <c r="D451" s="1585"/>
      <c r="E451" s="1585"/>
      <c r="F451" s="1585"/>
      <c r="G451" s="1585"/>
      <c r="H451" s="1585"/>
      <c r="I451" s="1585"/>
      <c r="J451" s="1585"/>
      <c r="N451" s="1793"/>
    </row>
    <row r="452" spans="1:14" ht="12" thickBot="1" x14ac:dyDescent="0.25">
      <c r="A452" s="1773"/>
      <c r="B452" s="1585"/>
      <c r="C452" s="1585"/>
      <c r="D452" s="1585"/>
      <c r="E452" s="1585"/>
      <c r="F452" s="1585"/>
      <c r="G452" s="1585"/>
      <c r="H452" s="1585"/>
      <c r="I452" s="1585"/>
      <c r="J452" s="1585"/>
      <c r="N452" s="1793"/>
    </row>
    <row r="453" spans="1:14" x14ac:dyDescent="0.2">
      <c r="B453" s="1585"/>
      <c r="C453" s="1585"/>
      <c r="D453" s="1585"/>
      <c r="E453" s="1585"/>
      <c r="F453" s="1585"/>
      <c r="G453" s="1585"/>
      <c r="H453" s="1585"/>
      <c r="I453" s="1585"/>
      <c r="J453" s="1585"/>
      <c r="N453" s="1793"/>
    </row>
    <row r="454" spans="1:14" x14ac:dyDescent="0.2">
      <c r="B454" s="1585"/>
      <c r="C454" s="1585"/>
      <c r="D454" s="1585"/>
      <c r="E454" s="1585"/>
      <c r="F454" s="1585"/>
      <c r="G454" s="1585"/>
      <c r="H454" s="1585"/>
      <c r="I454" s="1585"/>
      <c r="J454" s="1585"/>
      <c r="N454" s="1793"/>
    </row>
    <row r="455" spans="1:14" x14ac:dyDescent="0.2">
      <c r="B455" s="1585"/>
      <c r="C455" s="1585"/>
      <c r="D455" s="1585"/>
      <c r="E455" s="1585"/>
      <c r="F455" s="1585"/>
      <c r="G455" s="1585"/>
      <c r="H455" s="1585"/>
      <c r="I455" s="1585"/>
      <c r="J455" s="1585"/>
      <c r="N455" s="1793"/>
    </row>
    <row r="456" spans="1:14" x14ac:dyDescent="0.2">
      <c r="B456" s="1585"/>
      <c r="C456" s="1585"/>
      <c r="D456" s="1585"/>
      <c r="E456" s="1585"/>
      <c r="F456" s="1585"/>
      <c r="G456" s="1585"/>
      <c r="H456" s="1585"/>
      <c r="I456" s="1585"/>
      <c r="J456" s="1585"/>
      <c r="N456" s="1793"/>
    </row>
    <row r="457" spans="1:14" x14ac:dyDescent="0.2">
      <c r="B457" s="1585"/>
      <c r="C457" s="1585"/>
      <c r="D457" s="1585"/>
      <c r="E457" s="1585"/>
      <c r="F457" s="1585"/>
      <c r="G457" s="1585"/>
      <c r="H457" s="1585"/>
      <c r="I457" s="1585"/>
      <c r="J457" s="1585"/>
      <c r="N457" s="1793"/>
    </row>
    <row r="458" spans="1:14" x14ac:dyDescent="0.2">
      <c r="B458" s="1585"/>
      <c r="C458" s="1585"/>
      <c r="D458" s="1585"/>
      <c r="E458" s="1585"/>
      <c r="F458" s="1585"/>
      <c r="G458" s="1585"/>
      <c r="H458" s="1585"/>
      <c r="I458" s="1585"/>
      <c r="J458" s="1585"/>
      <c r="N458" s="1793"/>
    </row>
    <row r="459" spans="1:14" x14ac:dyDescent="0.2">
      <c r="B459" s="1585"/>
      <c r="C459" s="1585"/>
      <c r="D459" s="1585"/>
      <c r="E459" s="1585"/>
      <c r="F459" s="1585"/>
      <c r="G459" s="1585"/>
      <c r="H459" s="1585"/>
      <c r="I459" s="1585"/>
      <c r="J459" s="1585"/>
      <c r="N459" s="1793"/>
    </row>
    <row r="460" spans="1:14" x14ac:dyDescent="0.2">
      <c r="B460" s="1585"/>
      <c r="C460" s="1585"/>
      <c r="D460" s="1585"/>
      <c r="E460" s="1585"/>
      <c r="F460" s="1585"/>
      <c r="G460" s="1585"/>
      <c r="H460" s="1585"/>
      <c r="I460" s="1585"/>
      <c r="J460" s="1585"/>
      <c r="N460" s="1793"/>
    </row>
    <row r="461" spans="1:14" x14ac:dyDescent="0.2">
      <c r="B461" s="1585"/>
      <c r="C461" s="1585"/>
      <c r="D461" s="1585"/>
      <c r="E461" s="1585"/>
      <c r="F461" s="1585"/>
      <c r="G461" s="1585"/>
      <c r="H461" s="1585"/>
      <c r="I461" s="1585"/>
      <c r="J461" s="1585"/>
      <c r="N461" s="1793"/>
    </row>
    <row r="462" spans="1:14" x14ac:dyDescent="0.2">
      <c r="B462" s="1585"/>
      <c r="C462" s="1585"/>
      <c r="D462" s="1585"/>
      <c r="E462" s="1585"/>
      <c r="F462" s="1585"/>
      <c r="G462" s="1585"/>
      <c r="H462" s="1585"/>
      <c r="I462" s="1585"/>
      <c r="J462" s="1585"/>
      <c r="N462" s="1793"/>
    </row>
    <row r="463" spans="1:14" x14ac:dyDescent="0.2">
      <c r="B463" s="1585"/>
      <c r="C463" s="1585"/>
      <c r="D463" s="1585"/>
      <c r="E463" s="1585"/>
      <c r="F463" s="1585"/>
      <c r="G463" s="1585"/>
      <c r="H463" s="1585"/>
      <c r="I463" s="1585"/>
      <c r="J463" s="1585"/>
      <c r="N463" s="1793"/>
    </row>
    <row r="464" spans="1:14" x14ac:dyDescent="0.2">
      <c r="B464" s="1585"/>
      <c r="C464" s="1585"/>
      <c r="D464" s="1585"/>
      <c r="E464" s="1585"/>
      <c r="F464" s="1585"/>
      <c r="G464" s="1585"/>
      <c r="H464" s="1585"/>
      <c r="I464" s="1585"/>
      <c r="J464" s="1585"/>
      <c r="N464" s="1793"/>
    </row>
    <row r="465" spans="2:14" x14ac:dyDescent="0.2">
      <c r="B465" s="1585"/>
      <c r="C465" s="1585"/>
      <c r="D465" s="1585"/>
      <c r="E465" s="1585"/>
      <c r="F465" s="1585"/>
      <c r="G465" s="1585"/>
      <c r="H465" s="1585"/>
      <c r="I465" s="1585"/>
      <c r="J465" s="1585"/>
      <c r="N465" s="1793"/>
    </row>
    <row r="466" spans="2:14" x14ac:dyDescent="0.2">
      <c r="B466" s="1585"/>
      <c r="C466" s="1585"/>
      <c r="D466" s="1585"/>
      <c r="E466" s="1585"/>
      <c r="F466" s="1585"/>
      <c r="G466" s="1585"/>
      <c r="H466" s="1585"/>
      <c r="I466" s="1585"/>
      <c r="J466" s="1585"/>
      <c r="N466" s="1793"/>
    </row>
    <row r="467" spans="2:14" x14ac:dyDescent="0.2">
      <c r="B467" s="1585"/>
      <c r="C467" s="1585"/>
      <c r="D467" s="1585"/>
      <c r="E467" s="1585"/>
      <c r="F467" s="1585"/>
      <c r="G467" s="1585"/>
      <c r="H467" s="1585"/>
      <c r="I467" s="1585"/>
      <c r="J467" s="1585"/>
      <c r="N467" s="1793"/>
    </row>
    <row r="468" spans="2:14" x14ac:dyDescent="0.2">
      <c r="B468" s="1585"/>
      <c r="C468" s="1585"/>
      <c r="D468" s="1585"/>
      <c r="E468" s="1585"/>
      <c r="F468" s="1585"/>
      <c r="G468" s="1585"/>
      <c r="H468" s="1585"/>
      <c r="I468" s="1585"/>
      <c r="J468" s="1585"/>
      <c r="N468" s="1793"/>
    </row>
    <row r="469" spans="2:14" x14ac:dyDescent="0.2">
      <c r="B469" s="1585"/>
      <c r="C469" s="1585"/>
      <c r="D469" s="1585"/>
      <c r="E469" s="1585"/>
      <c r="F469" s="1585"/>
      <c r="G469" s="1585"/>
      <c r="H469" s="1585"/>
      <c r="I469" s="1585"/>
      <c r="J469" s="1585"/>
      <c r="N469" s="1793"/>
    </row>
    <row r="470" spans="2:14" x14ac:dyDescent="0.2">
      <c r="B470" s="1585"/>
      <c r="C470" s="1585"/>
      <c r="D470" s="1585"/>
      <c r="E470" s="1585"/>
      <c r="F470" s="1585"/>
      <c r="G470" s="1585"/>
      <c r="H470" s="1585"/>
      <c r="I470" s="1585"/>
      <c r="J470" s="1585"/>
      <c r="N470" s="1793"/>
    </row>
    <row r="471" spans="2:14" x14ac:dyDescent="0.2">
      <c r="B471" s="1585"/>
      <c r="C471" s="1585"/>
      <c r="D471" s="1585"/>
      <c r="E471" s="1585"/>
      <c r="F471" s="1585"/>
      <c r="G471" s="1585"/>
      <c r="H471" s="1585"/>
      <c r="I471" s="1585"/>
      <c r="J471" s="1585"/>
      <c r="N471" s="1793"/>
    </row>
    <row r="472" spans="2:14" x14ac:dyDescent="0.2">
      <c r="B472" s="1585"/>
      <c r="C472" s="1585"/>
      <c r="D472" s="1585"/>
      <c r="E472" s="1585"/>
      <c r="F472" s="1585"/>
      <c r="G472" s="1585"/>
      <c r="H472" s="1585"/>
      <c r="I472" s="1585"/>
      <c r="J472" s="1585"/>
      <c r="N472" s="1793"/>
    </row>
    <row r="473" spans="2:14" x14ac:dyDescent="0.2">
      <c r="B473" s="1585"/>
      <c r="C473" s="1585"/>
      <c r="D473" s="1585"/>
      <c r="E473" s="1585"/>
      <c r="F473" s="1585"/>
      <c r="G473" s="1585"/>
      <c r="H473" s="1585"/>
      <c r="I473" s="1585"/>
      <c r="J473" s="1585"/>
      <c r="N473" s="1793"/>
    </row>
    <row r="474" spans="2:14" x14ac:dyDescent="0.2">
      <c r="B474" s="1585"/>
      <c r="C474" s="1585"/>
      <c r="D474" s="1585"/>
      <c r="E474" s="1585"/>
      <c r="F474" s="1585"/>
      <c r="G474" s="1585"/>
      <c r="H474" s="1585"/>
      <c r="I474" s="1585"/>
      <c r="J474" s="1585"/>
      <c r="N474" s="1793"/>
    </row>
    <row r="475" spans="2:14" x14ac:dyDescent="0.2">
      <c r="B475" s="1585"/>
      <c r="C475" s="1585"/>
      <c r="D475" s="1585"/>
      <c r="E475" s="1585"/>
      <c r="F475" s="1585"/>
      <c r="G475" s="1585"/>
      <c r="H475" s="1585"/>
      <c r="I475" s="1585"/>
      <c r="J475" s="1585"/>
      <c r="N475" s="1793"/>
    </row>
    <row r="476" spans="2:14" x14ac:dyDescent="0.2">
      <c r="B476" s="1585"/>
      <c r="C476" s="1585"/>
      <c r="D476" s="1585"/>
      <c r="E476" s="1585"/>
      <c r="F476" s="1585"/>
      <c r="G476" s="1585"/>
      <c r="H476" s="1585"/>
      <c r="I476" s="1585"/>
      <c r="J476" s="1585"/>
      <c r="N476" s="1793"/>
    </row>
    <row r="477" spans="2:14" x14ac:dyDescent="0.2">
      <c r="B477" s="1585"/>
      <c r="C477" s="1585"/>
      <c r="D477" s="1585"/>
      <c r="E477" s="1585"/>
      <c r="F477" s="1585"/>
      <c r="G477" s="1585"/>
      <c r="H477" s="1585"/>
      <c r="I477" s="1585"/>
      <c r="J477" s="1585"/>
      <c r="N477" s="1793"/>
    </row>
    <row r="478" spans="2:14" x14ac:dyDescent="0.2">
      <c r="B478" s="1585"/>
      <c r="C478" s="1585"/>
      <c r="D478" s="1585"/>
      <c r="E478" s="1585"/>
      <c r="F478" s="1585"/>
      <c r="G478" s="1585"/>
      <c r="H478" s="1585"/>
      <c r="I478" s="1585"/>
      <c r="J478" s="1585"/>
      <c r="N478" s="1793"/>
    </row>
    <row r="479" spans="2:14" x14ac:dyDescent="0.2">
      <c r="B479" s="1585"/>
      <c r="C479" s="1585"/>
      <c r="D479" s="1585"/>
      <c r="E479" s="1585"/>
      <c r="F479" s="1585"/>
      <c r="G479" s="1585"/>
      <c r="H479" s="1585"/>
      <c r="I479" s="1585"/>
      <c r="J479" s="1585"/>
      <c r="N479" s="1793"/>
    </row>
    <row r="480" spans="2:14" x14ac:dyDescent="0.2">
      <c r="B480" s="1585"/>
      <c r="C480" s="1585"/>
      <c r="D480" s="1585"/>
      <c r="E480" s="1585"/>
      <c r="F480" s="1585"/>
      <c r="G480" s="1585"/>
      <c r="H480" s="1585"/>
      <c r="I480" s="1585"/>
      <c r="J480" s="1585"/>
      <c r="N480" s="1793"/>
    </row>
    <row r="481" spans="2:14" x14ac:dyDescent="0.2">
      <c r="B481" s="1585"/>
      <c r="C481" s="1585"/>
      <c r="D481" s="1585"/>
      <c r="E481" s="1585"/>
      <c r="F481" s="1585"/>
      <c r="G481" s="1585"/>
      <c r="H481" s="1585"/>
      <c r="I481" s="1585"/>
      <c r="J481" s="1585"/>
      <c r="N481" s="1793"/>
    </row>
    <row r="482" spans="2:14" x14ac:dyDescent="0.2">
      <c r="B482" s="1585"/>
      <c r="C482" s="1585"/>
      <c r="D482" s="1585"/>
      <c r="E482" s="1585"/>
      <c r="F482" s="1585"/>
      <c r="G482" s="1585"/>
      <c r="H482" s="1585"/>
      <c r="I482" s="1585"/>
      <c r="J482" s="1585"/>
      <c r="N482" s="1793"/>
    </row>
    <row r="483" spans="2:14" x14ac:dyDescent="0.2">
      <c r="B483" s="1585"/>
      <c r="C483" s="1585"/>
      <c r="D483" s="1585"/>
      <c r="E483" s="1585"/>
      <c r="F483" s="1585"/>
      <c r="G483" s="1585"/>
      <c r="H483" s="1585"/>
      <c r="I483" s="1585"/>
      <c r="J483" s="1585"/>
      <c r="N483" s="1793"/>
    </row>
    <row r="484" spans="2:14" x14ac:dyDescent="0.2">
      <c r="B484" s="1585"/>
      <c r="C484" s="1585"/>
      <c r="D484" s="1585"/>
      <c r="E484" s="1585"/>
      <c r="F484" s="1585"/>
      <c r="G484" s="1585"/>
      <c r="H484" s="1585"/>
      <c r="I484" s="1585"/>
      <c r="J484" s="1585"/>
      <c r="N484" s="1793"/>
    </row>
    <row r="485" spans="2:14" x14ac:dyDescent="0.2">
      <c r="B485" s="1585"/>
      <c r="C485" s="1585"/>
      <c r="D485" s="1585"/>
      <c r="E485" s="1585"/>
      <c r="F485" s="1585"/>
      <c r="G485" s="1585"/>
      <c r="H485" s="1585"/>
      <c r="I485" s="1585"/>
      <c r="J485" s="1585"/>
      <c r="N485" s="1793"/>
    </row>
    <row r="486" spans="2:14" x14ac:dyDescent="0.2">
      <c r="B486" s="1585"/>
      <c r="C486" s="1585"/>
      <c r="D486" s="1585"/>
      <c r="E486" s="1585"/>
      <c r="F486" s="1585"/>
      <c r="G486" s="1585"/>
      <c r="H486" s="1585"/>
      <c r="I486" s="1585"/>
      <c r="J486" s="1585"/>
      <c r="N486" s="1793"/>
    </row>
    <row r="487" spans="2:14" x14ac:dyDescent="0.2">
      <c r="B487" s="1585"/>
      <c r="C487" s="1585"/>
      <c r="D487" s="1585"/>
      <c r="E487" s="1585"/>
      <c r="F487" s="1585"/>
      <c r="G487" s="1585"/>
      <c r="H487" s="1585"/>
      <c r="I487" s="1585"/>
      <c r="J487" s="1585"/>
      <c r="N487" s="1793"/>
    </row>
    <row r="488" spans="2:14" x14ac:dyDescent="0.2">
      <c r="B488" s="1585"/>
      <c r="C488" s="1585"/>
      <c r="D488" s="1585"/>
      <c r="E488" s="1585"/>
      <c r="F488" s="1585"/>
      <c r="G488" s="1585"/>
      <c r="H488" s="1585"/>
      <c r="I488" s="1585"/>
      <c r="J488" s="1585"/>
      <c r="N488" s="1793"/>
    </row>
    <row r="489" spans="2:14" x14ac:dyDescent="0.2">
      <c r="B489" s="1585"/>
      <c r="C489" s="1585"/>
      <c r="D489" s="1585"/>
      <c r="E489" s="1585"/>
      <c r="F489" s="1585"/>
      <c r="G489" s="1585"/>
      <c r="H489" s="1585"/>
      <c r="I489" s="1585"/>
      <c r="J489" s="1585"/>
      <c r="N489" s="1793"/>
    </row>
    <row r="490" spans="2:14" x14ac:dyDescent="0.2">
      <c r="B490" s="1585"/>
      <c r="C490" s="1585"/>
      <c r="D490" s="1585"/>
      <c r="E490" s="1585"/>
      <c r="F490" s="1585"/>
      <c r="G490" s="1585"/>
      <c r="H490" s="1585"/>
      <c r="I490" s="1585"/>
      <c r="J490" s="1585"/>
      <c r="N490" s="1793"/>
    </row>
    <row r="491" spans="2:14" x14ac:dyDescent="0.2">
      <c r="B491" s="1585"/>
      <c r="C491" s="1585"/>
      <c r="D491" s="1585"/>
      <c r="E491" s="1585"/>
      <c r="F491" s="1585"/>
      <c r="G491" s="1585"/>
      <c r="H491" s="1585"/>
      <c r="I491" s="1585"/>
      <c r="J491" s="1585"/>
      <c r="N491" s="1793"/>
    </row>
    <row r="492" spans="2:14" x14ac:dyDescent="0.2">
      <c r="B492" s="1585"/>
      <c r="C492" s="1585"/>
      <c r="D492" s="1585"/>
      <c r="E492" s="1585"/>
      <c r="F492" s="1585"/>
      <c r="G492" s="1585"/>
      <c r="H492" s="1585"/>
      <c r="I492" s="1585"/>
      <c r="J492" s="1585"/>
      <c r="N492" s="1793"/>
    </row>
    <row r="493" spans="2:14" x14ac:dyDescent="0.2">
      <c r="B493" s="1585"/>
      <c r="C493" s="1585"/>
      <c r="D493" s="1585"/>
      <c r="E493" s="1585"/>
      <c r="F493" s="1585">
        <v>415162</v>
      </c>
      <c r="G493" s="1585"/>
      <c r="H493" s="1585"/>
      <c r="I493" s="1585"/>
      <c r="J493" s="1585"/>
      <c r="N493" s="1793"/>
    </row>
    <row r="494" spans="2:14" x14ac:dyDescent="0.2">
      <c r="B494" s="1585"/>
      <c r="C494" s="1585"/>
      <c r="D494" s="1585"/>
      <c r="E494" s="1585"/>
      <c r="F494" s="1585"/>
      <c r="G494" s="1585"/>
      <c r="H494" s="1585"/>
      <c r="I494" s="1585"/>
      <c r="J494" s="1585"/>
      <c r="N494" s="1793"/>
    </row>
    <row r="495" spans="2:14" x14ac:dyDescent="0.2">
      <c r="B495" s="1585"/>
      <c r="C495" s="1585"/>
      <c r="D495" s="1585"/>
      <c r="E495" s="1585"/>
      <c r="F495" s="1585"/>
      <c r="G495" s="1585"/>
      <c r="H495" s="1585"/>
      <c r="I495" s="1585"/>
      <c r="J495" s="1585"/>
      <c r="N495" s="1793"/>
    </row>
    <row r="496" spans="2:14" x14ac:dyDescent="0.2">
      <c r="B496" s="1585"/>
      <c r="C496" s="1585"/>
      <c r="D496" s="1585"/>
      <c r="E496" s="1585"/>
      <c r="F496" s="1585"/>
      <c r="G496" s="1585"/>
      <c r="H496" s="1585"/>
      <c r="I496" s="1585"/>
      <c r="J496" s="1585"/>
      <c r="N496" s="1793"/>
    </row>
    <row r="497" spans="2:14" x14ac:dyDescent="0.2">
      <c r="B497" s="1585"/>
      <c r="C497" s="1585"/>
      <c r="D497" s="1585"/>
      <c r="E497" s="1585"/>
      <c r="F497" s="1585"/>
      <c r="G497" s="1585"/>
      <c r="H497" s="1585"/>
      <c r="I497" s="1585"/>
      <c r="J497" s="1585"/>
      <c r="N497" s="1793"/>
    </row>
    <row r="498" spans="2:14" x14ac:dyDescent="0.2">
      <c r="B498" s="1585"/>
      <c r="C498" s="1585"/>
      <c r="D498" s="1585"/>
      <c r="E498" s="1585"/>
      <c r="F498" s="1585"/>
      <c r="G498" s="1585"/>
      <c r="H498" s="1585"/>
      <c r="I498" s="1585"/>
      <c r="J498" s="1585"/>
      <c r="N498" s="1793"/>
    </row>
    <row r="499" spans="2:14" x14ac:dyDescent="0.2">
      <c r="B499" s="1585"/>
      <c r="C499" s="1585"/>
      <c r="D499" s="1585"/>
      <c r="E499" s="1585"/>
      <c r="F499" s="1585"/>
      <c r="G499" s="1585"/>
      <c r="H499" s="1585"/>
      <c r="I499" s="1585"/>
      <c r="J499" s="1585"/>
      <c r="N499" s="1793"/>
    </row>
    <row r="500" spans="2:14" x14ac:dyDescent="0.2">
      <c r="B500" s="1585"/>
      <c r="C500" s="1585"/>
      <c r="D500" s="1585"/>
      <c r="E500" s="1585"/>
      <c r="F500" s="1585"/>
      <c r="G500" s="1585"/>
      <c r="H500" s="1585"/>
      <c r="I500" s="1585"/>
      <c r="J500" s="1585"/>
      <c r="N500" s="1793"/>
    </row>
    <row r="501" spans="2:14" x14ac:dyDescent="0.2">
      <c r="B501" s="1585"/>
      <c r="C501" s="1585"/>
      <c r="D501" s="1585"/>
      <c r="E501" s="1585"/>
      <c r="F501" s="1585"/>
      <c r="G501" s="1585"/>
      <c r="H501" s="1585"/>
      <c r="I501" s="1585"/>
      <c r="J501" s="1585"/>
      <c r="N501" s="1793"/>
    </row>
    <row r="502" spans="2:14" x14ac:dyDescent="0.2">
      <c r="B502" s="1585"/>
      <c r="C502" s="1585"/>
      <c r="D502" s="1585"/>
      <c r="E502" s="1585"/>
      <c r="F502" s="1585"/>
      <c r="G502" s="1585"/>
      <c r="H502" s="1585"/>
      <c r="I502" s="1585"/>
      <c r="J502" s="1585"/>
      <c r="N502" s="1793"/>
    </row>
    <row r="503" spans="2:14" x14ac:dyDescent="0.2">
      <c r="B503" s="1585"/>
      <c r="C503" s="1585"/>
      <c r="D503" s="1585"/>
      <c r="E503" s="1585"/>
      <c r="F503" s="1585"/>
      <c r="G503" s="1585"/>
      <c r="H503" s="1585"/>
      <c r="I503" s="1585"/>
      <c r="J503" s="1585"/>
      <c r="N503" s="1793"/>
    </row>
    <row r="504" spans="2:14" x14ac:dyDescent="0.2">
      <c r="B504" s="1585"/>
      <c r="C504" s="1585"/>
      <c r="D504" s="1585"/>
      <c r="E504" s="1585"/>
      <c r="F504" s="1585"/>
      <c r="G504" s="1585"/>
      <c r="H504" s="1585"/>
      <c r="I504" s="1585"/>
      <c r="J504" s="1585"/>
      <c r="N504" s="1793"/>
    </row>
    <row r="505" spans="2:14" x14ac:dyDescent="0.2">
      <c r="B505" s="1585"/>
      <c r="C505" s="1585"/>
      <c r="D505" s="1585"/>
      <c r="E505" s="1585"/>
      <c r="F505" s="1585"/>
      <c r="G505" s="1585"/>
      <c r="H505" s="1585"/>
      <c r="I505" s="1585"/>
      <c r="J505" s="1585"/>
      <c r="N505" s="1793"/>
    </row>
    <row r="506" spans="2:14" x14ac:dyDescent="0.2">
      <c r="B506" s="1585"/>
      <c r="C506" s="1585"/>
      <c r="D506" s="1585"/>
      <c r="E506" s="1585"/>
      <c r="F506" s="1585"/>
      <c r="G506" s="1585"/>
      <c r="H506" s="1585"/>
      <c r="I506" s="1585"/>
      <c r="J506" s="1585"/>
      <c r="N506" s="1793"/>
    </row>
    <row r="507" spans="2:14" x14ac:dyDescent="0.2">
      <c r="B507" s="1585"/>
      <c r="C507" s="1585"/>
      <c r="D507" s="1585"/>
      <c r="E507" s="1585"/>
      <c r="F507" s="1585"/>
      <c r="G507" s="1585"/>
      <c r="H507" s="1585"/>
      <c r="I507" s="1585"/>
      <c r="J507" s="1585"/>
      <c r="N507" s="1793"/>
    </row>
    <row r="508" spans="2:14" x14ac:dyDescent="0.2">
      <c r="B508" s="1585"/>
      <c r="C508" s="1585"/>
      <c r="D508" s="1585"/>
      <c r="E508" s="1585"/>
      <c r="F508" s="1585"/>
      <c r="G508" s="1585"/>
      <c r="H508" s="1585"/>
      <c r="I508" s="1585"/>
      <c r="J508" s="1585"/>
      <c r="N508" s="1793"/>
    </row>
    <row r="509" spans="2:14" x14ac:dyDescent="0.2">
      <c r="B509" s="1585"/>
      <c r="C509" s="1585"/>
      <c r="D509" s="1585"/>
      <c r="E509" s="1585"/>
      <c r="F509" s="1585"/>
      <c r="G509" s="1585"/>
      <c r="H509" s="1585"/>
      <c r="I509" s="1585"/>
      <c r="J509" s="1585"/>
      <c r="N509" s="1793"/>
    </row>
    <row r="510" spans="2:14" x14ac:dyDescent="0.2">
      <c r="B510" s="1585"/>
      <c r="C510" s="1585"/>
      <c r="D510" s="1585"/>
      <c r="E510" s="1585"/>
      <c r="F510" s="1585"/>
      <c r="G510" s="1585"/>
      <c r="H510" s="1585"/>
      <c r="I510" s="1585"/>
      <c r="J510" s="1585"/>
      <c r="N510" s="1793"/>
    </row>
    <row r="511" spans="2:14" x14ac:dyDescent="0.2">
      <c r="B511" s="1585"/>
      <c r="C511" s="1585"/>
      <c r="D511" s="1585"/>
      <c r="E511" s="1585"/>
      <c r="F511" s="1585"/>
      <c r="G511" s="1585"/>
      <c r="H511" s="1585"/>
      <c r="I511" s="1585"/>
      <c r="J511" s="1585"/>
      <c r="N511" s="1793"/>
    </row>
    <row r="512" spans="2:14" x14ac:dyDescent="0.2">
      <c r="B512" s="1585"/>
      <c r="C512" s="1585"/>
      <c r="D512" s="1585"/>
      <c r="E512" s="1585"/>
      <c r="F512" s="1585"/>
      <c r="G512" s="1585"/>
      <c r="H512" s="1585"/>
      <c r="I512" s="1585"/>
      <c r="J512" s="1585"/>
      <c r="N512" s="1793"/>
    </row>
    <row r="513" spans="1:14" x14ac:dyDescent="0.2">
      <c r="B513" s="1585"/>
      <c r="C513" s="1585"/>
      <c r="D513" s="1585"/>
      <c r="E513" s="1585"/>
      <c r="F513" s="1585"/>
      <c r="G513" s="1585"/>
      <c r="H513" s="1585"/>
      <c r="I513" s="1585"/>
      <c r="J513" s="1585"/>
      <c r="N513" s="1793"/>
    </row>
    <row r="514" spans="1:14" x14ac:dyDescent="0.2">
      <c r="B514" s="1585"/>
      <c r="C514" s="1585"/>
      <c r="D514" s="1585"/>
      <c r="E514" s="1585"/>
      <c r="F514" s="1585"/>
      <c r="G514" s="1585"/>
      <c r="H514" s="1585"/>
      <c r="I514" s="1585"/>
      <c r="J514" s="1585"/>
      <c r="N514" s="1793"/>
    </row>
    <row r="515" spans="1:14" x14ac:dyDescent="0.2">
      <c r="B515" s="1585"/>
      <c r="C515" s="1585"/>
      <c r="D515" s="1585"/>
      <c r="E515" s="1585"/>
      <c r="F515" s="1585"/>
      <c r="G515" s="1585"/>
      <c r="H515" s="1585"/>
      <c r="I515" s="1585"/>
      <c r="J515" s="1585"/>
      <c r="N515" s="1793"/>
    </row>
    <row r="516" spans="1:14" x14ac:dyDescent="0.2">
      <c r="B516" s="1585"/>
      <c r="C516" s="1585"/>
      <c r="D516" s="1585"/>
      <c r="E516" s="1585"/>
      <c r="F516" s="1585"/>
      <c r="G516" s="1585"/>
      <c r="H516" s="1585"/>
      <c r="I516" s="1585"/>
      <c r="J516" s="1585"/>
      <c r="N516" s="1793"/>
    </row>
    <row r="517" spans="1:14" x14ac:dyDescent="0.2">
      <c r="B517" s="1585"/>
      <c r="C517" s="1585"/>
      <c r="D517" s="1585"/>
      <c r="E517" s="1585"/>
      <c r="F517" s="1585"/>
      <c r="G517" s="1585"/>
      <c r="H517" s="1585"/>
      <c r="I517" s="1585"/>
      <c r="J517" s="1585"/>
      <c r="N517" s="1793"/>
    </row>
    <row r="518" spans="1:14" x14ac:dyDescent="0.2">
      <c r="B518" s="1585"/>
      <c r="C518" s="1585"/>
      <c r="D518" s="1585"/>
      <c r="E518" s="1585"/>
      <c r="F518" s="1585"/>
      <c r="G518" s="1585"/>
      <c r="H518" s="1585"/>
      <c r="I518" s="1585"/>
      <c r="J518" s="1585"/>
      <c r="N518" s="1793"/>
    </row>
    <row r="519" spans="1:14" x14ac:dyDescent="0.2">
      <c r="B519" s="1585"/>
      <c r="C519" s="1585"/>
      <c r="D519" s="1585"/>
      <c r="E519" s="1585"/>
      <c r="F519" s="1585"/>
      <c r="G519" s="1585"/>
      <c r="H519" s="1585"/>
      <c r="I519" s="1585"/>
      <c r="J519" s="1585"/>
      <c r="N519" s="1793"/>
    </row>
    <row r="520" spans="1:14" x14ac:dyDescent="0.2">
      <c r="B520" s="1585"/>
      <c r="C520" s="1585"/>
      <c r="D520" s="1585"/>
      <c r="E520" s="1585"/>
      <c r="F520" s="1585"/>
      <c r="G520" s="1585"/>
      <c r="H520" s="1585"/>
      <c r="I520" s="1585"/>
      <c r="J520" s="1585"/>
      <c r="N520" s="1793"/>
    </row>
    <row r="521" spans="1:14" x14ac:dyDescent="0.2">
      <c r="B521" s="1585"/>
      <c r="C521" s="1585"/>
      <c r="D521" s="1585"/>
      <c r="E521" s="1585"/>
      <c r="F521" s="1585"/>
      <c r="G521" s="1585"/>
      <c r="H521" s="1585"/>
      <c r="I521" s="1585"/>
      <c r="J521" s="1585"/>
      <c r="N521" s="1793"/>
    </row>
    <row r="522" spans="1:14" x14ac:dyDescent="0.2">
      <c r="B522" s="1585"/>
      <c r="C522" s="1585"/>
      <c r="D522" s="1585"/>
      <c r="E522" s="1585"/>
      <c r="F522" s="1585"/>
      <c r="G522" s="1585"/>
      <c r="H522" s="1585"/>
      <c r="I522" s="1585"/>
      <c r="J522" s="1585"/>
      <c r="N522" s="1793"/>
    </row>
    <row r="523" spans="1:14" x14ac:dyDescent="0.2">
      <c r="B523" s="1585"/>
      <c r="C523" s="1585"/>
      <c r="D523" s="1585"/>
      <c r="E523" s="1585"/>
      <c r="F523" s="1585"/>
      <c r="G523" s="1585"/>
      <c r="H523" s="1585"/>
      <c r="I523" s="1585"/>
      <c r="J523" s="1585"/>
      <c r="N523" s="1793"/>
    </row>
    <row r="524" spans="1:14" x14ac:dyDescent="0.2">
      <c r="B524" s="1585"/>
      <c r="C524" s="1585"/>
      <c r="D524" s="1585"/>
      <c r="E524" s="1585"/>
      <c r="F524" s="1585"/>
      <c r="G524" s="1585"/>
      <c r="H524" s="1585"/>
      <c r="I524" s="1585"/>
      <c r="J524" s="1585"/>
      <c r="N524" s="1793"/>
    </row>
    <row r="525" spans="1:14" ht="12" thickBot="1" x14ac:dyDescent="0.25">
      <c r="B525" s="1585"/>
      <c r="C525" s="1585"/>
      <c r="D525" s="1585"/>
      <c r="E525" s="1585"/>
      <c r="F525" s="1585"/>
      <c r="G525" s="1585"/>
      <c r="H525" s="1585"/>
      <c r="I525" s="1585"/>
      <c r="J525" s="1585"/>
      <c r="N525" s="1793"/>
    </row>
    <row r="526" spans="1:14" x14ac:dyDescent="0.2">
      <c r="A526" s="1777"/>
      <c r="B526" s="1585"/>
      <c r="C526" s="1585"/>
      <c r="D526" s="1585"/>
      <c r="E526" s="1585"/>
      <c r="F526" s="1585"/>
      <c r="G526" s="1585"/>
      <c r="H526" s="1585"/>
      <c r="I526" s="1585"/>
      <c r="J526" s="1585"/>
      <c r="N526" s="1793"/>
    </row>
    <row r="527" spans="1:14" x14ac:dyDescent="0.2">
      <c r="A527" s="1771"/>
      <c r="B527" s="1585"/>
      <c r="C527" s="1585"/>
      <c r="D527" s="1585"/>
      <c r="E527" s="1585"/>
      <c r="F527" s="1585"/>
      <c r="G527" s="1585"/>
      <c r="H527" s="1585"/>
      <c r="I527" s="1585"/>
      <c r="J527" s="1585"/>
      <c r="N527" s="1793"/>
    </row>
    <row r="528" spans="1:14" x14ac:dyDescent="0.2">
      <c r="A528" s="1771"/>
      <c r="B528" s="1585"/>
      <c r="C528" s="1585"/>
      <c r="D528" s="1585"/>
      <c r="E528" s="1585"/>
      <c r="F528" s="1585"/>
      <c r="G528" s="1585"/>
      <c r="H528" s="1585"/>
      <c r="I528" s="1585"/>
      <c r="J528" s="1585"/>
      <c r="N528" s="1793"/>
    </row>
    <row r="529" spans="1:14" x14ac:dyDescent="0.2">
      <c r="A529" s="1771"/>
      <c r="B529" s="1585"/>
      <c r="C529" s="1585"/>
      <c r="D529" s="1585"/>
      <c r="E529" s="1585"/>
      <c r="F529" s="1585"/>
      <c r="G529" s="1585"/>
      <c r="H529" s="1585"/>
      <c r="I529" s="1585"/>
      <c r="J529" s="1585"/>
      <c r="N529" s="1793"/>
    </row>
    <row r="530" spans="1:14" x14ac:dyDescent="0.2">
      <c r="A530" s="1771"/>
      <c r="B530" s="1585"/>
      <c r="C530" s="1585"/>
      <c r="D530" s="1585"/>
      <c r="E530" s="1585"/>
      <c r="F530" s="1585"/>
      <c r="G530" s="1585"/>
      <c r="H530" s="1585"/>
      <c r="I530" s="1585"/>
      <c r="J530" s="1585"/>
      <c r="N530" s="1793"/>
    </row>
    <row r="531" spans="1:14" x14ac:dyDescent="0.2">
      <c r="A531" s="1771"/>
      <c r="B531" s="1585"/>
      <c r="C531" s="1585"/>
      <c r="D531" s="1585"/>
      <c r="E531" s="1585"/>
      <c r="F531" s="1585"/>
      <c r="G531" s="1585"/>
      <c r="H531" s="1585"/>
      <c r="I531" s="1585"/>
      <c r="J531" s="1585"/>
      <c r="N531" s="1793"/>
    </row>
    <row r="532" spans="1:14" x14ac:dyDescent="0.2">
      <c r="A532" s="1771"/>
      <c r="B532" s="1585"/>
      <c r="C532" s="1585"/>
      <c r="D532" s="1585"/>
      <c r="E532" s="1585"/>
      <c r="F532" s="1585"/>
      <c r="G532" s="1585"/>
      <c r="H532" s="1585"/>
      <c r="I532" s="1585"/>
      <c r="J532" s="1585"/>
      <c r="N532" s="1793"/>
    </row>
    <row r="533" spans="1:14" ht="12" thickBot="1" x14ac:dyDescent="0.25">
      <c r="A533" s="1773"/>
      <c r="B533" s="1585"/>
      <c r="C533" s="1585"/>
      <c r="D533" s="1585"/>
      <c r="E533" s="1585"/>
      <c r="F533" s="1585"/>
      <c r="G533" s="1585"/>
      <c r="H533" s="1585"/>
      <c r="I533" s="1585"/>
      <c r="J533" s="1585"/>
      <c r="N533" s="1793"/>
    </row>
    <row r="534" spans="1:14" x14ac:dyDescent="0.2">
      <c r="A534" s="1777"/>
      <c r="B534" s="1585"/>
      <c r="C534" s="1585"/>
      <c r="D534" s="1585"/>
      <c r="E534" s="1585"/>
      <c r="F534" s="1585"/>
      <c r="G534" s="1585"/>
      <c r="H534" s="1585"/>
      <c r="I534" s="1585"/>
      <c r="J534" s="1585"/>
      <c r="N534" s="1793"/>
    </row>
    <row r="535" spans="1:14" x14ac:dyDescent="0.2">
      <c r="A535" s="1771"/>
      <c r="B535" s="1585"/>
      <c r="C535" s="1585"/>
      <c r="D535" s="1585"/>
      <c r="E535" s="1585"/>
      <c r="F535" s="1585"/>
      <c r="G535" s="1585"/>
      <c r="H535" s="1585"/>
      <c r="I535" s="1585"/>
      <c r="J535" s="1585"/>
      <c r="N535" s="1793"/>
    </row>
    <row r="536" spans="1:14" x14ac:dyDescent="0.2">
      <c r="A536" s="1771"/>
      <c r="B536" s="1585"/>
      <c r="C536" s="1585"/>
      <c r="D536" s="1585"/>
      <c r="E536" s="1585"/>
      <c r="F536" s="1585"/>
      <c r="G536" s="1585"/>
      <c r="H536" s="1585"/>
      <c r="I536" s="1585"/>
      <c r="J536" s="1585"/>
      <c r="N536" s="1793"/>
    </row>
    <row r="537" spans="1:14" ht="12" thickBot="1" x14ac:dyDescent="0.25">
      <c r="A537" s="1773"/>
      <c r="B537" s="1774"/>
      <c r="C537" s="1774"/>
      <c r="D537" s="1774"/>
      <c r="E537" s="1774"/>
      <c r="F537" s="1774"/>
      <c r="G537" s="1774"/>
      <c r="H537" s="1774"/>
      <c r="I537" s="1774"/>
      <c r="J537" s="1796"/>
      <c r="K537" s="1774"/>
      <c r="L537" s="1774"/>
      <c r="M537" s="1774"/>
      <c r="N537" s="1776"/>
    </row>
  </sheetData>
  <mergeCells count="37">
    <mergeCell ref="N31:N39"/>
    <mergeCell ref="N40:N48"/>
    <mergeCell ref="G8:G9"/>
    <mergeCell ref="N22:N30"/>
    <mergeCell ref="C24:C27"/>
    <mergeCell ref="C29:C30"/>
    <mergeCell ref="C15:C18"/>
    <mergeCell ref="C20:C21"/>
    <mergeCell ref="N14:N21"/>
    <mergeCell ref="A22:A30"/>
    <mergeCell ref="A14:A21"/>
    <mergeCell ref="F7:F9"/>
    <mergeCell ref="D7:D9"/>
    <mergeCell ref="E7:E9"/>
    <mergeCell ref="A10:B10"/>
    <mergeCell ref="K1:L1"/>
    <mergeCell ref="K8:K9"/>
    <mergeCell ref="L8:L9"/>
    <mergeCell ref="M8:M9"/>
    <mergeCell ref="I7:I9"/>
    <mergeCell ref="A5:N5"/>
    <mergeCell ref="A6:A9"/>
    <mergeCell ref="B6:B9"/>
    <mergeCell ref="C6:C9"/>
    <mergeCell ref="D6:H6"/>
    <mergeCell ref="K7:M7"/>
    <mergeCell ref="J7:J9"/>
    <mergeCell ref="H8:H9"/>
    <mergeCell ref="G7:H7"/>
    <mergeCell ref="I6:M6"/>
    <mergeCell ref="N6:N9"/>
    <mergeCell ref="A31:A39"/>
    <mergeCell ref="C33:C36"/>
    <mergeCell ref="C38:C39"/>
    <mergeCell ref="A40:A48"/>
    <mergeCell ref="C42:C45"/>
    <mergeCell ref="C47:C48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14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M21" sqref="M21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T517"/>
  <sheetViews>
    <sheetView showGridLines="0" view="pageBreakPreview" zoomScaleNormal="100" zoomScaleSheetLayoutView="100" workbookViewId="0">
      <selection activeCell="O6" sqref="O6"/>
    </sheetView>
  </sheetViews>
  <sheetFormatPr defaultRowHeight="12.75" x14ac:dyDescent="0.2"/>
  <cols>
    <col min="1" max="1" width="3.42578125" style="20" customWidth="1"/>
    <col min="2" max="2" width="51.7109375" style="20" customWidth="1"/>
    <col min="3" max="3" width="11.42578125" style="251" customWidth="1"/>
    <col min="4" max="4" width="11.85546875" style="20" customWidth="1"/>
    <col min="5" max="5" width="12.140625" style="20" hidden="1" customWidth="1"/>
    <col min="6" max="6" width="13.140625" style="20" hidden="1" customWidth="1"/>
    <col min="7" max="7" width="12.5703125" style="20" customWidth="1"/>
    <col min="8" max="8" width="12.7109375" style="20" customWidth="1"/>
    <col min="9" max="9" width="12.42578125" style="20" customWidth="1"/>
    <col min="10" max="10" width="9.85546875" style="20" customWidth="1"/>
    <col min="11" max="11" width="12.28515625" style="20" customWidth="1"/>
    <col min="12" max="12" width="10.42578125" style="20" customWidth="1"/>
    <col min="13" max="13" width="13.5703125" style="20" customWidth="1"/>
    <col min="14" max="14" width="13.140625" style="1076" customWidth="1"/>
    <col min="15" max="16384" width="9.140625" style="20"/>
  </cols>
  <sheetData>
    <row r="1" spans="1:60" ht="21" customHeight="1" x14ac:dyDescent="0.3">
      <c r="A1" s="250"/>
      <c r="K1" s="43" t="s">
        <v>371</v>
      </c>
      <c r="L1" s="43"/>
      <c r="M1" s="3038"/>
      <c r="N1" s="3038"/>
    </row>
    <row r="2" spans="1:60" ht="6" customHeight="1" x14ac:dyDescent="0.2">
      <c r="A2" s="250"/>
      <c r="H2" s="252"/>
      <c r="I2" s="252"/>
      <c r="J2" s="252"/>
      <c r="K2" s="252"/>
      <c r="L2" s="252"/>
      <c r="M2" s="252"/>
      <c r="N2" s="253"/>
    </row>
    <row r="3" spans="1:60" ht="15" customHeight="1" thickBot="1" x14ac:dyDescent="0.25">
      <c r="A3" s="250"/>
      <c r="B3" s="250"/>
      <c r="C3" s="254"/>
      <c r="D3" s="250"/>
      <c r="E3" s="250"/>
      <c r="F3" s="250"/>
      <c r="G3" s="250"/>
      <c r="H3" s="255"/>
      <c r="I3" s="255"/>
      <c r="J3" s="255"/>
      <c r="K3" s="255"/>
      <c r="L3" s="255"/>
      <c r="M3" s="255"/>
      <c r="N3" s="253"/>
    </row>
    <row r="4" spans="1:60" ht="53.25" customHeight="1" x14ac:dyDescent="0.45">
      <c r="A4" s="3243" t="s">
        <v>226</v>
      </c>
      <c r="B4" s="3244"/>
      <c r="C4" s="3244"/>
      <c r="D4" s="3244"/>
      <c r="E4" s="3244"/>
      <c r="F4" s="3244"/>
      <c r="G4" s="3244"/>
      <c r="H4" s="3244"/>
      <c r="I4" s="3244"/>
      <c r="J4" s="3244"/>
      <c r="K4" s="3244"/>
      <c r="L4" s="3244"/>
      <c r="M4" s="3244"/>
      <c r="N4" s="3245"/>
    </row>
    <row r="5" spans="1:60" ht="9.75" customHeight="1" thickBot="1" x14ac:dyDescent="0.5">
      <c r="A5" s="256"/>
      <c r="B5" s="257"/>
      <c r="C5" s="258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9"/>
    </row>
    <row r="6" spans="1:60" ht="48" customHeight="1" x14ac:dyDescent="0.2">
      <c r="A6" s="3246" t="s">
        <v>24</v>
      </c>
      <c r="B6" s="3249" t="s">
        <v>25</v>
      </c>
      <c r="C6" s="3250" t="s">
        <v>26</v>
      </c>
      <c r="D6" s="3010" t="s">
        <v>317</v>
      </c>
      <c r="E6" s="3011"/>
      <c r="F6" s="3011"/>
      <c r="G6" s="3011"/>
      <c r="H6" s="3012"/>
      <c r="I6" s="3010" t="s">
        <v>314</v>
      </c>
      <c r="J6" s="3011"/>
      <c r="K6" s="3011"/>
      <c r="L6" s="3011"/>
      <c r="M6" s="3011"/>
      <c r="N6" s="3253" t="s">
        <v>27</v>
      </c>
    </row>
    <row r="7" spans="1:60" ht="27" customHeight="1" x14ac:dyDescent="0.2">
      <c r="A7" s="3247"/>
      <c r="B7" s="3043"/>
      <c r="C7" s="3251"/>
      <c r="D7" s="3013" t="s">
        <v>0</v>
      </c>
      <c r="E7" s="3042" t="s">
        <v>163</v>
      </c>
      <c r="F7" s="3045" t="s">
        <v>286</v>
      </c>
      <c r="G7" s="3032" t="s">
        <v>260</v>
      </c>
      <c r="H7" s="3033"/>
      <c r="I7" s="3226" t="s">
        <v>311</v>
      </c>
      <c r="J7" s="3256" t="s">
        <v>309</v>
      </c>
      <c r="K7" s="3040" t="s">
        <v>339</v>
      </c>
      <c r="L7" s="3041"/>
      <c r="M7" s="3041"/>
      <c r="N7" s="3254"/>
    </row>
    <row r="8" spans="1:60" ht="48.75" customHeight="1" x14ac:dyDescent="0.2">
      <c r="A8" s="3247"/>
      <c r="B8" s="3043"/>
      <c r="C8" s="3251"/>
      <c r="D8" s="3014"/>
      <c r="E8" s="3043"/>
      <c r="F8" s="3046"/>
      <c r="G8" s="3034" t="s">
        <v>318</v>
      </c>
      <c r="H8" s="3036" t="s">
        <v>221</v>
      </c>
      <c r="I8" s="3227"/>
      <c r="J8" s="3257"/>
      <c r="K8" s="2998" t="s">
        <v>319</v>
      </c>
      <c r="L8" s="3230" t="s">
        <v>310</v>
      </c>
      <c r="M8" s="3232" t="s">
        <v>354</v>
      </c>
      <c r="N8" s="3254"/>
    </row>
    <row r="9" spans="1:60" ht="46.5" customHeight="1" thickBot="1" x14ac:dyDescent="0.25">
      <c r="A9" s="3248"/>
      <c r="B9" s="3235"/>
      <c r="C9" s="3252"/>
      <c r="D9" s="3234"/>
      <c r="E9" s="3235"/>
      <c r="F9" s="3236"/>
      <c r="G9" s="3237"/>
      <c r="H9" s="3238"/>
      <c r="I9" s="3228"/>
      <c r="J9" s="3258"/>
      <c r="K9" s="3229"/>
      <c r="L9" s="3231"/>
      <c r="M9" s="3233"/>
      <c r="N9" s="3255"/>
    </row>
    <row r="10" spans="1:60" s="265" customFormat="1" ht="13.5" customHeight="1" thickBot="1" x14ac:dyDescent="0.25">
      <c r="A10" s="3241">
        <v>1</v>
      </c>
      <c r="B10" s="3242"/>
      <c r="C10" s="260">
        <v>2</v>
      </c>
      <c r="D10" s="261">
        <v>3</v>
      </c>
      <c r="E10" s="262">
        <v>4</v>
      </c>
      <c r="F10" s="262">
        <v>5</v>
      </c>
      <c r="G10" s="262">
        <v>4</v>
      </c>
      <c r="H10" s="260">
        <v>5</v>
      </c>
      <c r="I10" s="261">
        <v>6</v>
      </c>
      <c r="J10" s="262">
        <v>7</v>
      </c>
      <c r="K10" s="262">
        <v>8</v>
      </c>
      <c r="L10" s="263">
        <v>9</v>
      </c>
      <c r="M10" s="263">
        <v>10</v>
      </c>
      <c r="N10" s="264">
        <v>11</v>
      </c>
    </row>
    <row r="11" spans="1:60" s="274" customFormat="1" ht="18" customHeight="1" thickBot="1" x14ac:dyDescent="0.25">
      <c r="A11" s="266"/>
      <c r="B11" s="267" t="s">
        <v>164</v>
      </c>
      <c r="C11" s="268"/>
      <c r="D11" s="50">
        <f t="shared" ref="D11:I11" si="0">D12+D13</f>
        <v>741483266</v>
      </c>
      <c r="E11" s="51">
        <f t="shared" si="0"/>
        <v>187792168</v>
      </c>
      <c r="F11" s="269">
        <f t="shared" si="0"/>
        <v>143745444</v>
      </c>
      <c r="G11" s="54">
        <f t="shared" si="0"/>
        <v>148815083</v>
      </c>
      <c r="H11" s="55">
        <f t="shared" si="0"/>
        <v>261130571</v>
      </c>
      <c r="I11" s="50">
        <f t="shared" si="0"/>
        <v>479466960.67000002</v>
      </c>
      <c r="J11" s="270">
        <f>I11/D11*100</f>
        <v>64.663220689595448</v>
      </c>
      <c r="K11" s="51">
        <f>K12+K13</f>
        <v>147929348.66999999</v>
      </c>
      <c r="L11" s="53">
        <f>K11/G11*100</f>
        <v>99.404808765251289</v>
      </c>
      <c r="M11" s="54">
        <f t="shared" ref="M11:M17" si="1">+K11-G11</f>
        <v>-885734.33000001311</v>
      </c>
      <c r="N11" s="271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</row>
    <row r="12" spans="1:60" s="285" customFormat="1" ht="14.25" customHeight="1" thickTop="1" x14ac:dyDescent="0.2">
      <c r="A12" s="275"/>
      <c r="B12" s="276" t="s">
        <v>165</v>
      </c>
      <c r="C12" s="277"/>
      <c r="D12" s="59">
        <f t="shared" ref="D12:I12" si="2">D402</f>
        <v>0</v>
      </c>
      <c r="E12" s="60">
        <f t="shared" si="2"/>
        <v>0</v>
      </c>
      <c r="F12" s="278">
        <f t="shared" si="2"/>
        <v>0</v>
      </c>
      <c r="G12" s="279">
        <f t="shared" si="2"/>
        <v>0</v>
      </c>
      <c r="H12" s="65">
        <f t="shared" si="2"/>
        <v>0</v>
      </c>
      <c r="I12" s="62">
        <f t="shared" si="2"/>
        <v>0</v>
      </c>
      <c r="J12" s="280">
        <v>0</v>
      </c>
      <c r="K12" s="281">
        <f>K402</f>
        <v>0</v>
      </c>
      <c r="L12" s="282">
        <v>0</v>
      </c>
      <c r="M12" s="279">
        <f t="shared" si="1"/>
        <v>0</v>
      </c>
      <c r="N12" s="283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</row>
    <row r="13" spans="1:60" s="274" customFormat="1" ht="14.25" customHeight="1" thickBot="1" x14ac:dyDescent="0.25">
      <c r="A13" s="286"/>
      <c r="B13" s="287" t="s">
        <v>166</v>
      </c>
      <c r="C13" s="288"/>
      <c r="D13" s="289">
        <f>D55+D69+D85+D99+D115+D131+D145+D157+D166+D178+D190+D202+D211+D223+D232+D244+D255+D264+D273+D282+D291+D300+D325+D334+D343+D377</f>
        <v>741483266</v>
      </c>
      <c r="E13" s="290">
        <f>E55+E69+E85+E99+E115+E131+E145+E157+E166+E178+E190+E202+E211+E223+E232+E244+E255+E273+E282+E291+E300+E325+E334+E343+E377+E264</f>
        <v>187792168</v>
      </c>
      <c r="F13" s="290">
        <f>F55+F69+F85+F99+F115+F131+F145+F157+F166+F178+F190+F202+F211+F223+F232+F244+F255+F273+F282+F291+F300+F325+F334+F343+F377+F264</f>
        <v>143745444</v>
      </c>
      <c r="G13" s="291">
        <f>G55+G69+G85+G99+G115+G131+G145+G157+G166+G178+G190+G202+G211+G223+G232+G244+G255+G264+G273+G282+G291+G300+G325+G334+G343+G377</f>
        <v>148815083</v>
      </c>
      <c r="H13" s="292">
        <f>H55+H69+H85+H99+H115+H131+H145+H157+H166+H178+H190+H202+H211+H223+H232+H244+H255+H264+H273+H282+H291+H300+H325+H334+H343+H377</f>
        <v>261130571</v>
      </c>
      <c r="I13" s="293">
        <f>I55+I69+I85+I99+I115+I131+I145+I157+I166+I178+I190+I202+I211+I223+I232+I244+I255+I264+I273+I282+I291+I300+I325+I334+I343+I377</f>
        <v>479466960.67000002</v>
      </c>
      <c r="J13" s="294">
        <f>I13/D13*100</f>
        <v>64.663220689595448</v>
      </c>
      <c r="K13" s="295">
        <f>K55+K69+K85+K99+K115+K131+K145+K157+K166+K178+K190+K202+K211+K223+K232+K244+K255+K264+K273+K282+K291+K300+K325+K334+K343+K377</f>
        <v>147929348.66999999</v>
      </c>
      <c r="L13" s="67">
        <f>K13/G13*100</f>
        <v>99.404808765251289</v>
      </c>
      <c r="M13" s="296">
        <f t="shared" si="1"/>
        <v>-885734.33000001311</v>
      </c>
      <c r="N13" s="271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</row>
    <row r="14" spans="1:60" ht="13.5" customHeight="1" x14ac:dyDescent="0.2">
      <c r="A14" s="3212"/>
      <c r="B14" s="297" t="s">
        <v>2</v>
      </c>
      <c r="C14" s="298"/>
      <c r="D14" s="299">
        <f t="shared" ref="D14:H14" si="3">+D15+D21</f>
        <v>741483266</v>
      </c>
      <c r="E14" s="300">
        <f t="shared" si="3"/>
        <v>187792168</v>
      </c>
      <c r="F14" s="300">
        <f t="shared" si="3"/>
        <v>143745444</v>
      </c>
      <c r="G14" s="300">
        <f t="shared" si="3"/>
        <v>148815083</v>
      </c>
      <c r="H14" s="301">
        <f t="shared" si="3"/>
        <v>261130571</v>
      </c>
      <c r="I14" s="302">
        <f t="shared" ref="I14" si="4">+I15+I21</f>
        <v>479466960.67000008</v>
      </c>
      <c r="J14" s="303">
        <f>I14/D14*100</f>
        <v>64.663220689595448</v>
      </c>
      <c r="K14" s="302">
        <f t="shared" ref="K14" si="5">+K15+K21</f>
        <v>147929348.66999999</v>
      </c>
      <c r="L14" s="304">
        <f t="shared" ref="L14:L36" si="6">K14/G14*100</f>
        <v>99.404808765251289</v>
      </c>
      <c r="M14" s="305">
        <f t="shared" si="1"/>
        <v>-885734.33000001311</v>
      </c>
      <c r="N14" s="3215"/>
    </row>
    <row r="15" spans="1:60" s="314" customFormat="1" ht="13.5" customHeight="1" x14ac:dyDescent="0.2">
      <c r="A15" s="3213"/>
      <c r="B15" s="306" t="s">
        <v>3</v>
      </c>
      <c r="C15" s="3218"/>
      <c r="D15" s="307">
        <f t="shared" ref="D15:H15" si="7">+D16+D17+D18+D19+D20</f>
        <v>258860163.35999998</v>
      </c>
      <c r="E15" s="308">
        <f t="shared" si="7"/>
        <v>93736131</v>
      </c>
      <c r="F15" s="308">
        <f t="shared" si="7"/>
        <v>37756721.359999999</v>
      </c>
      <c r="G15" s="308">
        <f t="shared" si="7"/>
        <v>42367940</v>
      </c>
      <c r="H15" s="309">
        <f t="shared" si="7"/>
        <v>84999371</v>
      </c>
      <c r="I15" s="310">
        <f>+I16+I17+I18+I19+I20</f>
        <v>173375639.59</v>
      </c>
      <c r="J15" s="311">
        <f>I15/D15*100</f>
        <v>66.976562689132052</v>
      </c>
      <c r="K15" s="310">
        <f t="shared" ref="K15" si="8">+K16+K17+K18+K19+K20</f>
        <v>41882787.229999997</v>
      </c>
      <c r="L15" s="312">
        <f t="shared" si="6"/>
        <v>98.854905926509517</v>
      </c>
      <c r="M15" s="313">
        <f t="shared" si="1"/>
        <v>-485152.77000000328</v>
      </c>
      <c r="N15" s="3216"/>
    </row>
    <row r="16" spans="1:60" ht="13.5" customHeight="1" x14ac:dyDescent="0.2">
      <c r="A16" s="3213"/>
      <c r="B16" s="315" t="s">
        <v>4</v>
      </c>
      <c r="C16" s="3219"/>
      <c r="D16" s="316">
        <f t="shared" ref="D16:I16" si="9">+D40+D309+D363+D395</f>
        <v>111750183.97</v>
      </c>
      <c r="E16" s="317">
        <f t="shared" si="9"/>
        <v>24352195</v>
      </c>
      <c r="F16" s="317">
        <f t="shared" si="9"/>
        <v>16936041.969999999</v>
      </c>
      <c r="G16" s="317">
        <f t="shared" si="9"/>
        <v>25336444</v>
      </c>
      <c r="H16" s="318">
        <f t="shared" si="9"/>
        <v>45125503</v>
      </c>
      <c r="I16" s="319">
        <f t="shared" si="9"/>
        <v>66141358.480000004</v>
      </c>
      <c r="J16" s="320">
        <f t="shared" ref="J16:J36" si="10">I16/D16*100</f>
        <v>59.186800531582165</v>
      </c>
      <c r="K16" s="321">
        <f>+K40+K309+K363+K395</f>
        <v>24853121.509999998</v>
      </c>
      <c r="L16" s="322">
        <f t="shared" si="6"/>
        <v>98.092382301162701</v>
      </c>
      <c r="M16" s="323">
        <f t="shared" si="1"/>
        <v>-483322.49000000209</v>
      </c>
      <c r="N16" s="3216"/>
    </row>
    <row r="17" spans="1:14" ht="12" customHeight="1" x14ac:dyDescent="0.2">
      <c r="A17" s="3213"/>
      <c r="B17" s="324" t="s">
        <v>28</v>
      </c>
      <c r="C17" s="3219"/>
      <c r="D17" s="316">
        <f>++D364</f>
        <v>14587500</v>
      </c>
      <c r="E17" s="317">
        <f t="shared" ref="E17:H17" si="11">++E364</f>
        <v>0</v>
      </c>
      <c r="F17" s="317">
        <f t="shared" si="11"/>
        <v>0</v>
      </c>
      <c r="G17" s="317">
        <f t="shared" si="11"/>
        <v>0</v>
      </c>
      <c r="H17" s="318">
        <f t="shared" si="11"/>
        <v>14587500</v>
      </c>
      <c r="I17" s="319">
        <f>++I364</f>
        <v>0</v>
      </c>
      <c r="J17" s="320">
        <f t="shared" si="10"/>
        <v>0</v>
      </c>
      <c r="K17" s="321">
        <f t="shared" ref="K17" si="12">++K364</f>
        <v>0</v>
      </c>
      <c r="L17" s="325">
        <v>0</v>
      </c>
      <c r="M17" s="323">
        <f t="shared" si="1"/>
        <v>0</v>
      </c>
      <c r="N17" s="3216"/>
    </row>
    <row r="18" spans="1:14" ht="13.5" customHeight="1" x14ac:dyDescent="0.2">
      <c r="A18" s="3213"/>
      <c r="B18" s="315" t="s">
        <v>9</v>
      </c>
      <c r="C18" s="3219"/>
      <c r="D18" s="316">
        <f t="shared" ref="D18:H18" si="13">+D41</f>
        <v>18002944.07</v>
      </c>
      <c r="E18" s="317">
        <f t="shared" si="13"/>
        <v>12350072</v>
      </c>
      <c r="F18" s="317">
        <f t="shared" si="13"/>
        <v>5652872.0700000003</v>
      </c>
      <c r="G18" s="317">
        <f t="shared" si="13"/>
        <v>0</v>
      </c>
      <c r="H18" s="318">
        <f t="shared" si="13"/>
        <v>0</v>
      </c>
      <c r="I18" s="319">
        <f t="shared" ref="I18" si="14">+I41</f>
        <v>18002944.07</v>
      </c>
      <c r="J18" s="320">
        <f t="shared" si="10"/>
        <v>100</v>
      </c>
      <c r="K18" s="321">
        <f t="shared" ref="K18" si="15">+K41</f>
        <v>0</v>
      </c>
      <c r="L18" s="325">
        <v>0</v>
      </c>
      <c r="M18" s="323">
        <f t="shared" ref="M18:M20" si="16">+K18-G18</f>
        <v>0</v>
      </c>
      <c r="N18" s="3216"/>
    </row>
    <row r="19" spans="1:14" ht="13.5" customHeight="1" x14ac:dyDescent="0.2">
      <c r="A19" s="3213"/>
      <c r="B19" s="315" t="s">
        <v>10</v>
      </c>
      <c r="C19" s="3219"/>
      <c r="D19" s="316">
        <f t="shared" ref="D19:H19" si="17">+D365</f>
        <v>39488536</v>
      </c>
      <c r="E19" s="317">
        <f t="shared" si="17"/>
        <v>0</v>
      </c>
      <c r="F19" s="317">
        <f t="shared" si="17"/>
        <v>0</v>
      </c>
      <c r="G19" s="317">
        <f t="shared" si="17"/>
        <v>15660000</v>
      </c>
      <c r="H19" s="318">
        <f t="shared" si="17"/>
        <v>23828536</v>
      </c>
      <c r="I19" s="319">
        <f t="shared" ref="I19" si="18">+I365</f>
        <v>15660000</v>
      </c>
      <c r="J19" s="320">
        <f t="shared" si="10"/>
        <v>39.657079209013979</v>
      </c>
      <c r="K19" s="321">
        <f t="shared" ref="K19" si="19">+K365</f>
        <v>15660000</v>
      </c>
      <c r="L19" s="322">
        <f t="shared" si="6"/>
        <v>100</v>
      </c>
      <c r="M19" s="323">
        <f t="shared" si="16"/>
        <v>0</v>
      </c>
      <c r="N19" s="3216"/>
    </row>
    <row r="20" spans="1:14" ht="13.5" customHeight="1" x14ac:dyDescent="0.2">
      <c r="A20" s="3213"/>
      <c r="B20" s="315" t="s">
        <v>11</v>
      </c>
      <c r="C20" s="3219"/>
      <c r="D20" s="316">
        <f t="shared" ref="D20:H20" si="20">D42</f>
        <v>75030999.319999993</v>
      </c>
      <c r="E20" s="317">
        <f t="shared" si="20"/>
        <v>57033864</v>
      </c>
      <c r="F20" s="317">
        <f t="shared" si="20"/>
        <v>15167807.32</v>
      </c>
      <c r="G20" s="317">
        <f t="shared" si="20"/>
        <v>1371496</v>
      </c>
      <c r="H20" s="318">
        <f t="shared" si="20"/>
        <v>1457832</v>
      </c>
      <c r="I20" s="321">
        <f t="shared" ref="I20" si="21">I42</f>
        <v>73571337.039999992</v>
      </c>
      <c r="J20" s="320">
        <f t="shared" si="10"/>
        <v>98.054587712773639</v>
      </c>
      <c r="K20" s="321">
        <f t="shared" ref="K20" si="22">K42</f>
        <v>1369665.72</v>
      </c>
      <c r="L20" s="322">
        <f t="shared" si="6"/>
        <v>99.866548644691633</v>
      </c>
      <c r="M20" s="323">
        <f t="shared" si="16"/>
        <v>-1830.2800000000279</v>
      </c>
      <c r="N20" s="3216"/>
    </row>
    <row r="21" spans="1:14" s="314" customFormat="1" ht="13.5" customHeight="1" x14ac:dyDescent="0.2">
      <c r="A21" s="3213"/>
      <c r="B21" s="306" t="s">
        <v>12</v>
      </c>
      <c r="C21" s="3219"/>
      <c r="D21" s="307">
        <f>+D22+D24+D25+D23</f>
        <v>482623102.63999999</v>
      </c>
      <c r="E21" s="308">
        <f t="shared" ref="E21:F21" si="23">+E22+E24+E25</f>
        <v>94056037</v>
      </c>
      <c r="F21" s="308">
        <f t="shared" si="23"/>
        <v>105988722.64</v>
      </c>
      <c r="G21" s="308">
        <f>+G22+G24+G25+G23</f>
        <v>106447143</v>
      </c>
      <c r="H21" s="309">
        <f>+H22+H24+H25+H23</f>
        <v>176131200</v>
      </c>
      <c r="I21" s="310">
        <f>+I22+I24+I25+I23</f>
        <v>306091321.08000004</v>
      </c>
      <c r="J21" s="311">
        <f t="shared" si="10"/>
        <v>63.422434484724789</v>
      </c>
      <c r="K21" s="310">
        <f>+K22+K24+K25+K23</f>
        <v>106046561.44</v>
      </c>
      <c r="L21" s="312">
        <f t="shared" si="6"/>
        <v>99.62368030863918</v>
      </c>
      <c r="M21" s="313">
        <f>+K21-G21</f>
        <v>-400581.56000000238</v>
      </c>
      <c r="N21" s="3216"/>
    </row>
    <row r="22" spans="1:14" s="314" customFormat="1" ht="13.5" hidden="1" customHeight="1" x14ac:dyDescent="0.2">
      <c r="A22" s="3213"/>
      <c r="B22" s="315" t="s">
        <v>11</v>
      </c>
      <c r="C22" s="3219"/>
      <c r="D22" s="326">
        <f t="shared" ref="D22:H22" si="24">+D44</f>
        <v>0</v>
      </c>
      <c r="E22" s="327">
        <f t="shared" si="24"/>
        <v>0</v>
      </c>
      <c r="F22" s="327">
        <f t="shared" si="24"/>
        <v>0</v>
      </c>
      <c r="G22" s="327">
        <f t="shared" si="24"/>
        <v>0</v>
      </c>
      <c r="H22" s="328">
        <f t="shared" si="24"/>
        <v>0</v>
      </c>
      <c r="I22" s="329">
        <f t="shared" ref="I22" si="25">+I44</f>
        <v>0</v>
      </c>
      <c r="J22" s="329" t="e">
        <f t="shared" si="10"/>
        <v>#DIV/0!</v>
      </c>
      <c r="K22" s="329">
        <f t="shared" ref="K22" si="26">+K44</f>
        <v>0</v>
      </c>
      <c r="L22" s="327" t="e">
        <f t="shared" si="6"/>
        <v>#DIV/0!</v>
      </c>
      <c r="M22" s="327">
        <f t="shared" ref="M22" si="27">+K22-G22*0.5</f>
        <v>0</v>
      </c>
      <c r="N22" s="3216"/>
    </row>
    <row r="23" spans="1:14" s="314" customFormat="1" ht="13.5" customHeight="1" x14ac:dyDescent="0.2">
      <c r="A23" s="3213"/>
      <c r="B23" s="315" t="s">
        <v>358</v>
      </c>
      <c r="C23" s="3219"/>
      <c r="D23" s="326">
        <f>+D367</f>
        <v>0</v>
      </c>
      <c r="E23" s="326">
        <f t="shared" ref="E23:H23" si="28">+E367</f>
        <v>0</v>
      </c>
      <c r="F23" s="326">
        <f t="shared" si="28"/>
        <v>0</v>
      </c>
      <c r="G23" s="329">
        <f t="shared" si="28"/>
        <v>0</v>
      </c>
      <c r="H23" s="328">
        <f t="shared" si="28"/>
        <v>0</v>
      </c>
      <c r="I23" s="330">
        <f>+I367</f>
        <v>1023120</v>
      </c>
      <c r="J23" s="331">
        <f t="shared" ref="J23:L23" si="29">+J367</f>
        <v>0</v>
      </c>
      <c r="K23" s="321">
        <f t="shared" si="29"/>
        <v>1023120</v>
      </c>
      <c r="L23" s="332">
        <f t="shared" si="29"/>
        <v>0</v>
      </c>
      <c r="M23" s="323">
        <f t="shared" ref="M23:M28" si="30">+K23-G23</f>
        <v>1023120</v>
      </c>
      <c r="N23" s="3216"/>
    </row>
    <row r="24" spans="1:14" ht="13.5" customHeight="1" x14ac:dyDescent="0.2">
      <c r="A24" s="3213"/>
      <c r="B24" s="333" t="s">
        <v>13</v>
      </c>
      <c r="C24" s="3219"/>
      <c r="D24" s="316">
        <f t="shared" ref="D24:I24" si="31">+D311+D397</f>
        <v>14714497</v>
      </c>
      <c r="E24" s="317">
        <f t="shared" si="31"/>
        <v>5789091</v>
      </c>
      <c r="F24" s="317">
        <f t="shared" si="31"/>
        <v>8925406</v>
      </c>
      <c r="G24" s="317">
        <f t="shared" si="31"/>
        <v>0</v>
      </c>
      <c r="H24" s="318">
        <f t="shared" si="31"/>
        <v>0</v>
      </c>
      <c r="I24" s="319">
        <f t="shared" si="31"/>
        <v>14714497</v>
      </c>
      <c r="J24" s="320">
        <f t="shared" si="10"/>
        <v>100</v>
      </c>
      <c r="K24" s="321">
        <f>+K311+K397</f>
        <v>0</v>
      </c>
      <c r="L24" s="325">
        <v>0</v>
      </c>
      <c r="M24" s="323">
        <f t="shared" si="30"/>
        <v>0</v>
      </c>
      <c r="N24" s="3216"/>
    </row>
    <row r="25" spans="1:14" ht="13.5" customHeight="1" x14ac:dyDescent="0.2">
      <c r="A25" s="3213"/>
      <c r="B25" s="333" t="s">
        <v>14</v>
      </c>
      <c r="C25" s="3219"/>
      <c r="D25" s="316">
        <f t="shared" ref="D25:I25" si="32">+D45+D368</f>
        <v>467908605.63999999</v>
      </c>
      <c r="E25" s="317">
        <f t="shared" si="32"/>
        <v>88266946</v>
      </c>
      <c r="F25" s="317">
        <f t="shared" si="32"/>
        <v>97063316.640000001</v>
      </c>
      <c r="G25" s="317">
        <f t="shared" si="32"/>
        <v>106447143</v>
      </c>
      <c r="H25" s="318">
        <f t="shared" si="32"/>
        <v>176131200</v>
      </c>
      <c r="I25" s="321">
        <f t="shared" si="32"/>
        <v>290353704.08000004</v>
      </c>
      <c r="J25" s="320">
        <f t="shared" si="10"/>
        <v>62.0535080099366</v>
      </c>
      <c r="K25" s="321">
        <f>+K45+K368</f>
        <v>105023441.44</v>
      </c>
      <c r="L25" s="322">
        <f t="shared" si="6"/>
        <v>98.662527222548377</v>
      </c>
      <c r="M25" s="323">
        <f t="shared" si="30"/>
        <v>-1423701.5600000024</v>
      </c>
      <c r="N25" s="3216"/>
    </row>
    <row r="26" spans="1:14" x14ac:dyDescent="0.2">
      <c r="A26" s="3213"/>
      <c r="B26" s="334" t="s">
        <v>16</v>
      </c>
      <c r="C26" s="27"/>
      <c r="D26" s="335">
        <f>+D27+D33</f>
        <v>630574563.95000005</v>
      </c>
      <c r="E26" s="336">
        <f>+E27+E33</f>
        <v>129345971</v>
      </c>
      <c r="F26" s="336">
        <f>+F27+F33</f>
        <v>138584425.94999999</v>
      </c>
      <c r="G26" s="336">
        <f>+G27+G33</f>
        <v>133018076</v>
      </c>
      <c r="H26" s="337">
        <f>+H27+H33</f>
        <v>229626091</v>
      </c>
      <c r="I26" s="338">
        <f t="shared" ref="I26" si="33">+I27+I33</f>
        <v>403704239.94999999</v>
      </c>
      <c r="J26" s="339">
        <f t="shared" si="10"/>
        <v>64.021649941149676</v>
      </c>
      <c r="K26" s="338">
        <f t="shared" ref="K26" si="34">+K27+K33</f>
        <v>135773843</v>
      </c>
      <c r="L26" s="340">
        <f t="shared" si="6"/>
        <v>102.07172369565774</v>
      </c>
      <c r="M26" s="336">
        <f t="shared" si="30"/>
        <v>2755767</v>
      </c>
      <c r="N26" s="3216"/>
    </row>
    <row r="27" spans="1:14" ht="13.5" customHeight="1" x14ac:dyDescent="0.2">
      <c r="A27" s="3213"/>
      <c r="B27" s="341" t="s">
        <v>17</v>
      </c>
      <c r="C27" s="3220"/>
      <c r="D27" s="342">
        <f>+D28+D29+D30+D31+D32</f>
        <v>147951460.94999999</v>
      </c>
      <c r="E27" s="343">
        <f t="shared" ref="E27:H27" si="35">+E28+E29+E30+E31</f>
        <v>71495192</v>
      </c>
      <c r="F27" s="343">
        <f t="shared" si="35"/>
        <v>31899167.949999999</v>
      </c>
      <c r="G27" s="343">
        <f>+G28+G29+G30+G31+G32</f>
        <v>14611478</v>
      </c>
      <c r="H27" s="344">
        <f t="shared" si="35"/>
        <v>29945623</v>
      </c>
      <c r="I27" s="345">
        <f t="shared" ref="I27" si="36">+I28+I29+I30+I31</f>
        <v>117161544.95</v>
      </c>
      <c r="J27" s="346">
        <f t="shared" si="10"/>
        <v>79.18917744894361</v>
      </c>
      <c r="K27" s="345">
        <f t="shared" ref="K27" si="37">+K28+K29+K30+K31</f>
        <v>13767185</v>
      </c>
      <c r="L27" s="347">
        <f t="shared" si="6"/>
        <v>94.221713915594307</v>
      </c>
      <c r="M27" s="343">
        <f t="shared" si="30"/>
        <v>-844293</v>
      </c>
      <c r="N27" s="3216"/>
    </row>
    <row r="28" spans="1:14" ht="13.5" customHeight="1" x14ac:dyDescent="0.2">
      <c r="A28" s="3213"/>
      <c r="B28" s="324" t="s">
        <v>28</v>
      </c>
      <c r="C28" s="3221"/>
      <c r="D28" s="316">
        <f t="shared" ref="D28:H28" si="38">+D371</f>
        <v>14587500</v>
      </c>
      <c r="E28" s="317">
        <f t="shared" si="38"/>
        <v>0</v>
      </c>
      <c r="F28" s="317">
        <f t="shared" si="38"/>
        <v>0</v>
      </c>
      <c r="G28" s="317">
        <f t="shared" si="38"/>
        <v>0</v>
      </c>
      <c r="H28" s="318">
        <f t="shared" si="38"/>
        <v>14587500</v>
      </c>
      <c r="I28" s="348">
        <f t="shared" ref="I28" si="39">+I371</f>
        <v>0</v>
      </c>
      <c r="J28" s="349">
        <f t="shared" si="10"/>
        <v>0</v>
      </c>
      <c r="K28" s="350">
        <f t="shared" ref="K28" si="40">+K371</f>
        <v>0</v>
      </c>
      <c r="L28" s="327">
        <v>0</v>
      </c>
      <c r="M28" s="317">
        <f t="shared" si="30"/>
        <v>0</v>
      </c>
      <c r="N28" s="3216"/>
    </row>
    <row r="29" spans="1:14" ht="12" customHeight="1" x14ac:dyDescent="0.2">
      <c r="A29" s="3213"/>
      <c r="B29" s="351" t="s">
        <v>9</v>
      </c>
      <c r="C29" s="3221"/>
      <c r="D29" s="316">
        <f t="shared" ref="D29:H29" si="41">+D48</f>
        <v>18002944</v>
      </c>
      <c r="E29" s="317">
        <f t="shared" si="41"/>
        <v>12350072</v>
      </c>
      <c r="F29" s="317">
        <f t="shared" si="41"/>
        <v>3663008</v>
      </c>
      <c r="G29" s="317">
        <f t="shared" si="41"/>
        <v>1989864</v>
      </c>
      <c r="H29" s="318">
        <f t="shared" si="41"/>
        <v>0</v>
      </c>
      <c r="I29" s="319">
        <f t="shared" ref="I29" si="42">+I48</f>
        <v>18002944</v>
      </c>
      <c r="J29" s="322">
        <f t="shared" si="10"/>
        <v>100</v>
      </c>
      <c r="K29" s="321">
        <f t="shared" ref="K29" si="43">+K48</f>
        <v>1989864</v>
      </c>
      <c r="L29" s="322">
        <f t="shared" si="6"/>
        <v>100</v>
      </c>
      <c r="M29" s="317">
        <f t="shared" ref="M29:M32" si="44">+K29-G29</f>
        <v>0</v>
      </c>
      <c r="N29" s="3216"/>
    </row>
    <row r="30" spans="1:14" ht="12.75" customHeight="1" x14ac:dyDescent="0.2">
      <c r="A30" s="3213"/>
      <c r="B30" s="351" t="s">
        <v>29</v>
      </c>
      <c r="C30" s="3221"/>
      <c r="D30" s="316">
        <f t="shared" ref="D30:H30" si="45">+D372</f>
        <v>39488536</v>
      </c>
      <c r="E30" s="317">
        <f t="shared" si="45"/>
        <v>14488536</v>
      </c>
      <c r="F30" s="317">
        <f t="shared" si="45"/>
        <v>6250000</v>
      </c>
      <c r="G30" s="317">
        <f t="shared" si="45"/>
        <v>6250000</v>
      </c>
      <c r="H30" s="318">
        <f t="shared" si="45"/>
        <v>12500000</v>
      </c>
      <c r="I30" s="319">
        <f t="shared" ref="I30" si="46">+I372</f>
        <v>26988536</v>
      </c>
      <c r="J30" s="322">
        <f t="shared" si="10"/>
        <v>68.34524328782409</v>
      </c>
      <c r="K30" s="321">
        <f t="shared" ref="K30" si="47">+K372</f>
        <v>6250000</v>
      </c>
      <c r="L30" s="322">
        <f t="shared" si="6"/>
        <v>100</v>
      </c>
      <c r="M30" s="317">
        <f t="shared" si="44"/>
        <v>0</v>
      </c>
      <c r="N30" s="3216"/>
    </row>
    <row r="31" spans="1:14" ht="12.75" customHeight="1" x14ac:dyDescent="0.2">
      <c r="A31" s="3213"/>
      <c r="B31" s="315" t="s">
        <v>11</v>
      </c>
      <c r="C31" s="3221"/>
      <c r="D31" s="316">
        <f t="shared" ref="D31:H31" si="48">D49</f>
        <v>75030999.950000003</v>
      </c>
      <c r="E31" s="317">
        <f t="shared" si="48"/>
        <v>44656584</v>
      </c>
      <c r="F31" s="317">
        <f t="shared" si="48"/>
        <v>21986159.949999999</v>
      </c>
      <c r="G31" s="317">
        <f t="shared" si="48"/>
        <v>5530133</v>
      </c>
      <c r="H31" s="318">
        <f t="shared" si="48"/>
        <v>2858123</v>
      </c>
      <c r="I31" s="321">
        <f t="shared" ref="I31" si="49">I49</f>
        <v>72170064.950000003</v>
      </c>
      <c r="J31" s="322">
        <f t="shared" si="10"/>
        <v>96.186996039095177</v>
      </c>
      <c r="K31" s="321">
        <f t="shared" ref="K31" si="50">K49</f>
        <v>5527321</v>
      </c>
      <c r="L31" s="322">
        <f t="shared" si="6"/>
        <v>99.94915131335901</v>
      </c>
      <c r="M31" s="317">
        <f t="shared" si="44"/>
        <v>-2812</v>
      </c>
      <c r="N31" s="3216"/>
    </row>
    <row r="32" spans="1:14" ht="24.75" customHeight="1" x14ac:dyDescent="0.2">
      <c r="A32" s="3213"/>
      <c r="B32" s="333" t="s">
        <v>308</v>
      </c>
      <c r="C32" s="3221"/>
      <c r="D32" s="316">
        <f>D50</f>
        <v>841481</v>
      </c>
      <c r="E32" s="317"/>
      <c r="F32" s="317"/>
      <c r="G32" s="317">
        <f>+G50</f>
        <v>841481</v>
      </c>
      <c r="H32" s="318"/>
      <c r="I32" s="352"/>
      <c r="J32" s="322"/>
      <c r="K32" s="321"/>
      <c r="L32" s="322"/>
      <c r="M32" s="317">
        <f t="shared" si="44"/>
        <v>-841481</v>
      </c>
      <c r="N32" s="3216"/>
    </row>
    <row r="33" spans="1:14" ht="12.75" customHeight="1" x14ac:dyDescent="0.2">
      <c r="A33" s="3213"/>
      <c r="B33" s="353" t="s">
        <v>12</v>
      </c>
      <c r="C33" s="3221"/>
      <c r="D33" s="307">
        <f>+D35+D36+D34</f>
        <v>482623103</v>
      </c>
      <c r="E33" s="308">
        <f t="shared" ref="E33:F33" si="51">+E35+E36</f>
        <v>57850779</v>
      </c>
      <c r="F33" s="308">
        <f t="shared" si="51"/>
        <v>106685258</v>
      </c>
      <c r="G33" s="308">
        <f>+G35+G36+G34</f>
        <v>118406598</v>
      </c>
      <c r="H33" s="309">
        <f>+H35+H36+H34</f>
        <v>199680468</v>
      </c>
      <c r="I33" s="354">
        <f>+I35+I36+I34</f>
        <v>286542695</v>
      </c>
      <c r="J33" s="355">
        <f t="shared" si="10"/>
        <v>59.371939142333183</v>
      </c>
      <c r="K33" s="356">
        <f>+K35+K36+K34</f>
        <v>122006658</v>
      </c>
      <c r="L33" s="355">
        <f t="shared" si="6"/>
        <v>103.04042178460359</v>
      </c>
      <c r="M33" s="308">
        <f>+K33-G33</f>
        <v>3600060</v>
      </c>
      <c r="N33" s="3216"/>
    </row>
    <row r="34" spans="1:14" ht="12.75" customHeight="1" x14ac:dyDescent="0.2">
      <c r="A34" s="3213"/>
      <c r="B34" s="315" t="s">
        <v>358</v>
      </c>
      <c r="C34" s="3221"/>
      <c r="D34" s="326">
        <f>+D374</f>
        <v>0</v>
      </c>
      <c r="E34" s="326">
        <f t="shared" ref="E34:H34" si="52">+E374</f>
        <v>0</v>
      </c>
      <c r="F34" s="326">
        <f t="shared" si="52"/>
        <v>0</v>
      </c>
      <c r="G34" s="329">
        <f t="shared" si="52"/>
        <v>0</v>
      </c>
      <c r="H34" s="328">
        <f t="shared" si="52"/>
        <v>0</v>
      </c>
      <c r="I34" s="330">
        <f>+I374</f>
        <v>1023120</v>
      </c>
      <c r="J34" s="331">
        <f t="shared" ref="J34:M34" si="53">+J374</f>
        <v>0</v>
      </c>
      <c r="K34" s="321">
        <f t="shared" si="53"/>
        <v>1023120</v>
      </c>
      <c r="L34" s="332">
        <f t="shared" si="53"/>
        <v>0</v>
      </c>
      <c r="M34" s="323">
        <f t="shared" si="53"/>
        <v>1023120</v>
      </c>
      <c r="N34" s="3216"/>
    </row>
    <row r="35" spans="1:14" ht="13.5" customHeight="1" x14ac:dyDescent="0.2">
      <c r="A35" s="3213"/>
      <c r="B35" s="333" t="s">
        <v>13</v>
      </c>
      <c r="C35" s="3221"/>
      <c r="D35" s="316">
        <f t="shared" ref="D35:I35" si="54">+D314+D400</f>
        <v>14714497</v>
      </c>
      <c r="E35" s="317">
        <f t="shared" si="54"/>
        <v>842747</v>
      </c>
      <c r="F35" s="317">
        <f t="shared" si="54"/>
        <v>1907886</v>
      </c>
      <c r="G35" s="317">
        <f t="shared" si="54"/>
        <v>8635187</v>
      </c>
      <c r="H35" s="318">
        <f t="shared" si="54"/>
        <v>3328677</v>
      </c>
      <c r="I35" s="319">
        <f t="shared" si="54"/>
        <v>14439930</v>
      </c>
      <c r="J35" s="322">
        <f t="shared" si="10"/>
        <v>98.13403747338424</v>
      </c>
      <c r="K35" s="321">
        <f>+K314+K400</f>
        <v>11689297</v>
      </c>
      <c r="L35" s="322">
        <f t="shared" si="6"/>
        <v>135.36819758506678</v>
      </c>
      <c r="M35" s="323">
        <f>+K35-G35</f>
        <v>3054110</v>
      </c>
      <c r="N35" s="3216"/>
    </row>
    <row r="36" spans="1:14" ht="13.5" thickBot="1" x14ac:dyDescent="0.25">
      <c r="A36" s="3214"/>
      <c r="B36" s="357" t="s">
        <v>14</v>
      </c>
      <c r="C36" s="3222"/>
      <c r="D36" s="358">
        <f t="shared" ref="D36:I36" si="55">+D53+D375</f>
        <v>467908606</v>
      </c>
      <c r="E36" s="359">
        <f t="shared" si="55"/>
        <v>57008032</v>
      </c>
      <c r="F36" s="359">
        <f t="shared" si="55"/>
        <v>104777372</v>
      </c>
      <c r="G36" s="359">
        <f t="shared" si="55"/>
        <v>109771411</v>
      </c>
      <c r="H36" s="360">
        <f t="shared" si="55"/>
        <v>196351791</v>
      </c>
      <c r="I36" s="361">
        <f t="shared" si="55"/>
        <v>271079645</v>
      </c>
      <c r="J36" s="362">
        <f t="shared" si="10"/>
        <v>57.934314847801701</v>
      </c>
      <c r="K36" s="361">
        <f>+K53+K375</f>
        <v>109294241</v>
      </c>
      <c r="L36" s="362">
        <f t="shared" si="6"/>
        <v>99.565305760713969</v>
      </c>
      <c r="M36" s="363">
        <f>+K36-G36</f>
        <v>-477170</v>
      </c>
      <c r="N36" s="3217"/>
    </row>
    <row r="37" spans="1:14" ht="18" customHeight="1" x14ac:dyDescent="0.2">
      <c r="A37" s="3175" t="s">
        <v>30</v>
      </c>
      <c r="B37" s="364" t="s">
        <v>31</v>
      </c>
      <c r="C37" s="365"/>
      <c r="D37" s="366"/>
      <c r="E37" s="367"/>
      <c r="F37" s="367"/>
      <c r="G37" s="367"/>
      <c r="H37" s="368"/>
      <c r="I37" s="369"/>
      <c r="J37" s="370"/>
      <c r="K37" s="367"/>
      <c r="L37" s="371"/>
      <c r="M37" s="372"/>
      <c r="N37" s="3223"/>
    </row>
    <row r="38" spans="1:14" ht="13.5" customHeight="1" x14ac:dyDescent="0.2">
      <c r="A38" s="3177"/>
      <c r="B38" s="373" t="s">
        <v>2</v>
      </c>
      <c r="C38" s="374"/>
      <c r="D38" s="375">
        <f t="shared" ref="D38:I38" si="56">+D39+D43</f>
        <v>514928339.12</v>
      </c>
      <c r="E38" s="376">
        <f t="shared" si="56"/>
        <v>180806293</v>
      </c>
      <c r="F38" s="376">
        <f>+F39+F43</f>
        <v>133038937.12</v>
      </c>
      <c r="G38" s="376">
        <f t="shared" si="56"/>
        <v>96610341</v>
      </c>
      <c r="H38" s="377">
        <f t="shared" si="56"/>
        <v>104472768</v>
      </c>
      <c r="I38" s="378">
        <f t="shared" si="56"/>
        <v>409569837.30000001</v>
      </c>
      <c r="J38" s="379">
        <f>I38/D38*100</f>
        <v>79.539191414468448</v>
      </c>
      <c r="K38" s="376">
        <f>+K39+K43</f>
        <v>95724607.179999992</v>
      </c>
      <c r="L38" s="380">
        <f>K38/G38*100</f>
        <v>99.08318942793089</v>
      </c>
      <c r="M38" s="381">
        <f>+K38-G38</f>
        <v>-885733.82000000775</v>
      </c>
      <c r="N38" s="3224"/>
    </row>
    <row r="39" spans="1:14" s="314" customFormat="1" ht="13.5" customHeight="1" x14ac:dyDescent="0.2">
      <c r="A39" s="3177"/>
      <c r="B39" s="382" t="s">
        <v>17</v>
      </c>
      <c r="C39" s="3239"/>
      <c r="D39" s="383">
        <f t="shared" ref="D39:I39" si="57">+D40+D41+D42</f>
        <v>193179733.47999999</v>
      </c>
      <c r="E39" s="384">
        <f t="shared" si="57"/>
        <v>92539347</v>
      </c>
      <c r="F39" s="384">
        <f>+F40+F41+F42</f>
        <v>35975620.480000004</v>
      </c>
      <c r="G39" s="384">
        <f t="shared" si="57"/>
        <v>26703198</v>
      </c>
      <c r="H39" s="385">
        <f t="shared" si="57"/>
        <v>37961568</v>
      </c>
      <c r="I39" s="386">
        <f t="shared" si="57"/>
        <v>154733013.22</v>
      </c>
      <c r="J39" s="387">
        <f t="shared" ref="J39:J53" si="58">I39/D39*100</f>
        <v>80.097953565102927</v>
      </c>
      <c r="K39" s="384">
        <f>+K40+K41+K42</f>
        <v>26218045.739999998</v>
      </c>
      <c r="L39" s="388">
        <f t="shared" ref="L39:L53" si="59">K39/G39*100</f>
        <v>98.183167948647949</v>
      </c>
      <c r="M39" s="389">
        <f>+K39-G39</f>
        <v>-485152.26000000164</v>
      </c>
      <c r="N39" s="3224"/>
    </row>
    <row r="40" spans="1:14" ht="13.5" customHeight="1" x14ac:dyDescent="0.2">
      <c r="A40" s="3177"/>
      <c r="B40" s="390" t="s">
        <v>4</v>
      </c>
      <c r="C40" s="3239"/>
      <c r="D40" s="391">
        <f>+D159+D168+D57+D71+D87+D180+D192+D204+D101+D213+D225+D234+D246++D257+D117+D133+D266+D147+D275+D284+D293</f>
        <v>100145790.09</v>
      </c>
      <c r="E40" s="392">
        <f t="shared" ref="E40:I40" si="60">+E159+E168+E57+E71+E87+E180+E192+E204+E101+E213+E225+E234+E246++E257+E117+E133+E266+E147+E275+E284+E293</f>
        <v>23155411</v>
      </c>
      <c r="F40" s="392">
        <f t="shared" si="60"/>
        <v>15154941.09</v>
      </c>
      <c r="G40" s="392">
        <f t="shared" si="60"/>
        <v>25331702</v>
      </c>
      <c r="H40" s="393">
        <f t="shared" si="60"/>
        <v>36503736</v>
      </c>
      <c r="I40" s="394">
        <f t="shared" si="60"/>
        <v>63158732.110000007</v>
      </c>
      <c r="J40" s="395">
        <f t="shared" si="58"/>
        <v>63.066786984495202</v>
      </c>
      <c r="K40" s="392">
        <f>+K159+K168+K57+K71+K87+K180+K192+K204+K101+K213+K225+K234+K246++K257+K117+K133+K266+K147+K275+K284+K293</f>
        <v>24848380.02</v>
      </c>
      <c r="L40" s="396">
        <f t="shared" si="59"/>
        <v>98.092027215542004</v>
      </c>
      <c r="M40" s="397">
        <f>+K40-G40</f>
        <v>-483321.98000000045</v>
      </c>
      <c r="N40" s="3224"/>
    </row>
    <row r="41" spans="1:14" ht="13.5" customHeight="1" x14ac:dyDescent="0.2">
      <c r="A41" s="3177"/>
      <c r="B41" s="398" t="s">
        <v>9</v>
      </c>
      <c r="C41" s="3239"/>
      <c r="D41" s="391">
        <f t="shared" ref="D41:I41" si="61">+D169+D181+D193+D214+D72+D235+D118+D102</f>
        <v>18002944.07</v>
      </c>
      <c r="E41" s="392">
        <f t="shared" si="61"/>
        <v>12350072</v>
      </c>
      <c r="F41" s="392">
        <f t="shared" si="61"/>
        <v>5652872.0700000003</v>
      </c>
      <c r="G41" s="392">
        <f t="shared" si="61"/>
        <v>0</v>
      </c>
      <c r="H41" s="393">
        <f t="shared" si="61"/>
        <v>0</v>
      </c>
      <c r="I41" s="394">
        <f t="shared" si="61"/>
        <v>18002944.07</v>
      </c>
      <c r="J41" s="395">
        <f t="shared" si="58"/>
        <v>100</v>
      </c>
      <c r="K41" s="399">
        <f>+K169+K181+K193+K214+K72+K235+K118+K102</f>
        <v>0</v>
      </c>
      <c r="L41" s="400">
        <v>0</v>
      </c>
      <c r="M41" s="397">
        <f t="shared" ref="M41:M42" si="62">+K41-G41</f>
        <v>0</v>
      </c>
      <c r="N41" s="3224"/>
    </row>
    <row r="42" spans="1:14" ht="13.5" customHeight="1" x14ac:dyDescent="0.2">
      <c r="A42" s="3177"/>
      <c r="B42" s="398" t="s">
        <v>11</v>
      </c>
      <c r="C42" s="3239"/>
      <c r="D42" s="391">
        <f t="shared" ref="D42:K42" si="63">D58+D73+D88+D103+D119+D134+D148</f>
        <v>75030999.319999993</v>
      </c>
      <c r="E42" s="392">
        <f t="shared" si="63"/>
        <v>57033864</v>
      </c>
      <c r="F42" s="392">
        <f t="shared" si="63"/>
        <v>15167807.32</v>
      </c>
      <c r="G42" s="392">
        <f t="shared" si="63"/>
        <v>1371496</v>
      </c>
      <c r="H42" s="393">
        <f>H58+H73+H88+H103+H119+H134+H148</f>
        <v>1457832</v>
      </c>
      <c r="I42" s="394">
        <f>I58+I73+I88+I103+I119+I134+I148</f>
        <v>73571337.039999992</v>
      </c>
      <c r="J42" s="395">
        <f t="shared" si="58"/>
        <v>98.054587712773639</v>
      </c>
      <c r="K42" s="392">
        <f t="shared" si="63"/>
        <v>1369665.72</v>
      </c>
      <c r="L42" s="396">
        <f t="shared" si="59"/>
        <v>99.866548644691633</v>
      </c>
      <c r="M42" s="397">
        <f t="shared" si="62"/>
        <v>-1830.2800000000279</v>
      </c>
      <c r="N42" s="3224"/>
    </row>
    <row r="43" spans="1:14" s="314" customFormat="1" ht="13.5" customHeight="1" x14ac:dyDescent="0.2">
      <c r="A43" s="3177"/>
      <c r="B43" s="401" t="s">
        <v>12</v>
      </c>
      <c r="C43" s="3239"/>
      <c r="D43" s="383">
        <f t="shared" ref="D43:I43" si="64">+D44+D45</f>
        <v>321748605.63999999</v>
      </c>
      <c r="E43" s="384">
        <f t="shared" si="64"/>
        <v>88266946</v>
      </c>
      <c r="F43" s="384">
        <f t="shared" si="64"/>
        <v>97063316.640000001</v>
      </c>
      <c r="G43" s="384">
        <f t="shared" si="64"/>
        <v>69907143</v>
      </c>
      <c r="H43" s="385">
        <f t="shared" si="64"/>
        <v>66511200</v>
      </c>
      <c r="I43" s="386">
        <f t="shared" si="64"/>
        <v>254836824.08000001</v>
      </c>
      <c r="J43" s="387">
        <f t="shared" si="58"/>
        <v>79.203707370571593</v>
      </c>
      <c r="K43" s="384">
        <f>+K44+K45</f>
        <v>69506561.439999998</v>
      </c>
      <c r="L43" s="388">
        <f t="shared" si="59"/>
        <v>99.426980501835132</v>
      </c>
      <c r="M43" s="389">
        <f>+K43-G43</f>
        <v>-400581.56000000238</v>
      </c>
      <c r="N43" s="3224"/>
    </row>
    <row r="44" spans="1:14" s="314" customFormat="1" ht="13.5" hidden="1" customHeight="1" x14ac:dyDescent="0.2">
      <c r="A44" s="3177"/>
      <c r="B44" s="398" t="s">
        <v>11</v>
      </c>
      <c r="C44" s="3239"/>
      <c r="D44" s="402">
        <f t="shared" ref="D44:I44" si="65">+D60+D75+D90+D105+D121+D136</f>
        <v>0</v>
      </c>
      <c r="E44" s="403">
        <f t="shared" si="65"/>
        <v>0</v>
      </c>
      <c r="F44" s="403">
        <f t="shared" si="65"/>
        <v>0</v>
      </c>
      <c r="G44" s="403">
        <f t="shared" si="65"/>
        <v>0</v>
      </c>
      <c r="H44" s="404">
        <f t="shared" si="65"/>
        <v>0</v>
      </c>
      <c r="I44" s="405">
        <f t="shared" si="65"/>
        <v>0</v>
      </c>
      <c r="J44" s="406" t="e">
        <f t="shared" si="58"/>
        <v>#DIV/0!</v>
      </c>
      <c r="K44" s="403">
        <f>+K60+K75+K90+K105+K121+K136</f>
        <v>0</v>
      </c>
      <c r="L44" s="405" t="e">
        <f t="shared" si="59"/>
        <v>#DIV/0!</v>
      </c>
      <c r="M44" s="407">
        <f t="shared" ref="M44:M52" si="66">+K44-G44*0.5</f>
        <v>0</v>
      </c>
      <c r="N44" s="3224"/>
    </row>
    <row r="45" spans="1:14" ht="13.5" customHeight="1" x14ac:dyDescent="0.2">
      <c r="A45" s="3177"/>
      <c r="B45" s="390" t="s">
        <v>14</v>
      </c>
      <c r="C45" s="3239"/>
      <c r="D45" s="408">
        <f t="shared" ref="D45:I45" si="67">+D161+D171+D61+D76+D91+D183+D195+D206+D106+D216+D227+D237+D248+D259+D122+D137+D268+D150+D277+D286+D295+D302</f>
        <v>321748605.63999999</v>
      </c>
      <c r="E45" s="409">
        <f t="shared" si="67"/>
        <v>88266946</v>
      </c>
      <c r="F45" s="409">
        <f t="shared" si="67"/>
        <v>97063316.640000001</v>
      </c>
      <c r="G45" s="409">
        <f t="shared" si="67"/>
        <v>69907143</v>
      </c>
      <c r="H45" s="410">
        <f t="shared" si="67"/>
        <v>66511200</v>
      </c>
      <c r="I45" s="411">
        <f t="shared" si="67"/>
        <v>254836824.08000001</v>
      </c>
      <c r="J45" s="412">
        <f t="shared" si="58"/>
        <v>79.203707370571593</v>
      </c>
      <c r="K45" s="409">
        <f>+K161+K171+K61+K76+K91+K183+K195+K206+K106+K216+K227+K237+K248+K259+K122+K137+K268+K150+K277+K286+K295+K302</f>
        <v>69506561.439999998</v>
      </c>
      <c r="L45" s="413">
        <f t="shared" si="59"/>
        <v>99.426980501835132</v>
      </c>
      <c r="M45" s="397">
        <f t="shared" ref="M45" si="68">+K45-G45</f>
        <v>-400581.56000000238</v>
      </c>
      <c r="N45" s="3224"/>
    </row>
    <row r="46" spans="1:14" ht="13.5" customHeight="1" x14ac:dyDescent="0.2">
      <c r="A46" s="3177"/>
      <c r="B46" s="334" t="s">
        <v>16</v>
      </c>
      <c r="C46" s="414"/>
      <c r="D46" s="415">
        <f t="shared" ref="D46:I46" si="69">+D47+D51</f>
        <v>415624030.94999999</v>
      </c>
      <c r="E46" s="416">
        <f t="shared" si="69"/>
        <v>114014688</v>
      </c>
      <c r="F46" s="416">
        <f t="shared" si="69"/>
        <v>130426539.95</v>
      </c>
      <c r="G46" s="416">
        <f>+G47+G51</f>
        <v>81592889</v>
      </c>
      <c r="H46" s="417">
        <f t="shared" si="69"/>
        <v>89589914</v>
      </c>
      <c r="I46" s="28">
        <f t="shared" si="69"/>
        <v>326577254.94999999</v>
      </c>
      <c r="J46" s="29">
        <f t="shared" si="58"/>
        <v>78.575161836416427</v>
      </c>
      <c r="K46" s="416">
        <f>+K47+K51</f>
        <v>82136027</v>
      </c>
      <c r="L46" s="380">
        <f t="shared" si="59"/>
        <v>100.6656683035209</v>
      </c>
      <c r="M46" s="418">
        <f>+K46-G46</f>
        <v>543138</v>
      </c>
      <c r="N46" s="3224"/>
    </row>
    <row r="47" spans="1:14" ht="13.5" customHeight="1" x14ac:dyDescent="0.2">
      <c r="A47" s="3177"/>
      <c r="B47" s="419" t="s">
        <v>17</v>
      </c>
      <c r="C47" s="3239"/>
      <c r="D47" s="420">
        <f>+D48+D49+D50</f>
        <v>93875424.950000003</v>
      </c>
      <c r="E47" s="421">
        <f t="shared" ref="E47:I47" si="70">+E48+E49+E50</f>
        <v>57006656</v>
      </c>
      <c r="F47" s="422">
        <f t="shared" si="70"/>
        <v>25649167.949999999</v>
      </c>
      <c r="G47" s="423">
        <f>+G48+G49+G50</f>
        <v>8361478</v>
      </c>
      <c r="H47" s="423">
        <f t="shared" si="70"/>
        <v>2858123</v>
      </c>
      <c r="I47" s="424">
        <f t="shared" si="70"/>
        <v>91014489.950000003</v>
      </c>
      <c r="J47" s="425">
        <f t="shared" si="58"/>
        <v>96.952413263083713</v>
      </c>
      <c r="K47" s="422">
        <f>+K48+K49+K50</f>
        <v>8358666</v>
      </c>
      <c r="L47" s="388">
        <f t="shared" si="59"/>
        <v>99.966369582028435</v>
      </c>
      <c r="M47" s="426">
        <f>+K47-G47</f>
        <v>-2812</v>
      </c>
      <c r="N47" s="3224"/>
    </row>
    <row r="48" spans="1:14" ht="13.5" customHeight="1" x14ac:dyDescent="0.2">
      <c r="A48" s="3177"/>
      <c r="B48" s="427" t="s">
        <v>9</v>
      </c>
      <c r="C48" s="3239"/>
      <c r="D48" s="408">
        <f t="shared" ref="D48:I48" si="71">+D174+D186+D198+D219+D240+D79+D125+D109</f>
        <v>18002944</v>
      </c>
      <c r="E48" s="409">
        <f t="shared" si="71"/>
        <v>12350072</v>
      </c>
      <c r="F48" s="409">
        <f t="shared" si="71"/>
        <v>3663008</v>
      </c>
      <c r="G48" s="409">
        <f t="shared" si="71"/>
        <v>1989864</v>
      </c>
      <c r="H48" s="410">
        <f t="shared" si="71"/>
        <v>0</v>
      </c>
      <c r="I48" s="428">
        <f t="shared" si="71"/>
        <v>18002944</v>
      </c>
      <c r="J48" s="429">
        <f t="shared" si="58"/>
        <v>100</v>
      </c>
      <c r="K48" s="409">
        <f>+K174+K186+K198+K219+K240+K79+K125+K109</f>
        <v>1989864</v>
      </c>
      <c r="L48" s="396">
        <f t="shared" si="59"/>
        <v>100</v>
      </c>
      <c r="M48" s="397">
        <f t="shared" ref="M48:M50" si="72">+K48-G48</f>
        <v>0</v>
      </c>
      <c r="N48" s="3224"/>
    </row>
    <row r="49" spans="1:14" ht="13.5" customHeight="1" x14ac:dyDescent="0.2">
      <c r="A49" s="3177"/>
      <c r="B49" s="398" t="s">
        <v>11</v>
      </c>
      <c r="C49" s="3239"/>
      <c r="D49" s="408">
        <f t="shared" ref="D49:I49" si="73">D64+D80+D94+D110+D126+D140+D153</f>
        <v>75030999.950000003</v>
      </c>
      <c r="E49" s="409">
        <f t="shared" si="73"/>
        <v>44656584</v>
      </c>
      <c r="F49" s="409">
        <f t="shared" si="73"/>
        <v>21986159.949999999</v>
      </c>
      <c r="G49" s="409">
        <f t="shared" si="73"/>
        <v>5530133</v>
      </c>
      <c r="H49" s="410">
        <f t="shared" si="73"/>
        <v>2858123</v>
      </c>
      <c r="I49" s="411">
        <f t="shared" si="73"/>
        <v>72170064.950000003</v>
      </c>
      <c r="J49" s="429">
        <f t="shared" si="58"/>
        <v>96.186996039095177</v>
      </c>
      <c r="K49" s="409">
        <f>K64+K80+K94+K110+K126+K140+K153</f>
        <v>5527321</v>
      </c>
      <c r="L49" s="396">
        <f t="shared" si="59"/>
        <v>99.94915131335901</v>
      </c>
      <c r="M49" s="397">
        <f t="shared" si="72"/>
        <v>-2812</v>
      </c>
      <c r="N49" s="3224"/>
    </row>
    <row r="50" spans="1:14" ht="25.5" x14ac:dyDescent="0.2">
      <c r="A50" s="3177"/>
      <c r="B50" s="430" t="s">
        <v>308</v>
      </c>
      <c r="C50" s="3239"/>
      <c r="D50" s="431">
        <f>+D251</f>
        <v>841481</v>
      </c>
      <c r="E50" s="409">
        <f>+E251</f>
        <v>0</v>
      </c>
      <c r="F50" s="409">
        <f t="shared" ref="F50:K50" si="74">+F251</f>
        <v>0</v>
      </c>
      <c r="G50" s="409">
        <f t="shared" si="74"/>
        <v>841481</v>
      </c>
      <c r="H50" s="428">
        <f t="shared" si="74"/>
        <v>0</v>
      </c>
      <c r="I50" s="408">
        <f t="shared" si="74"/>
        <v>841481</v>
      </c>
      <c r="J50" s="429">
        <f t="shared" si="58"/>
        <v>100</v>
      </c>
      <c r="K50" s="409">
        <f t="shared" si="74"/>
        <v>841481</v>
      </c>
      <c r="L50" s="396">
        <f t="shared" si="59"/>
        <v>100</v>
      </c>
      <c r="M50" s="397">
        <f t="shared" si="72"/>
        <v>0</v>
      </c>
      <c r="N50" s="3224"/>
    </row>
    <row r="51" spans="1:14" ht="12" customHeight="1" x14ac:dyDescent="0.2">
      <c r="A51" s="3177"/>
      <c r="B51" s="432" t="s">
        <v>12</v>
      </c>
      <c r="C51" s="3239"/>
      <c r="D51" s="424">
        <f t="shared" ref="D51:I51" si="75">+D52+D53</f>
        <v>321748606</v>
      </c>
      <c r="E51" s="422">
        <f t="shared" si="75"/>
        <v>57008032</v>
      </c>
      <c r="F51" s="422">
        <f t="shared" si="75"/>
        <v>104777372</v>
      </c>
      <c r="G51" s="422">
        <f t="shared" si="75"/>
        <v>73231411</v>
      </c>
      <c r="H51" s="433">
        <f t="shared" si="75"/>
        <v>86731791</v>
      </c>
      <c r="I51" s="423">
        <f t="shared" si="75"/>
        <v>235562765</v>
      </c>
      <c r="J51" s="425">
        <f t="shared" si="58"/>
        <v>73.213297775717479</v>
      </c>
      <c r="K51" s="422">
        <f>+K52+K53</f>
        <v>73777361</v>
      </c>
      <c r="L51" s="396">
        <f t="shared" si="59"/>
        <v>100.7455134245604</v>
      </c>
      <c r="M51" s="426">
        <f>+K51-G51</f>
        <v>545950</v>
      </c>
      <c r="N51" s="3224"/>
    </row>
    <row r="52" spans="1:14" ht="12" hidden="1" customHeight="1" x14ac:dyDescent="0.2">
      <c r="A52" s="3177"/>
      <c r="B52" s="398" t="s">
        <v>11</v>
      </c>
      <c r="C52" s="3239"/>
      <c r="D52" s="402">
        <f t="shared" ref="D52:I52" si="76">+D66+D82+D96+D112+D128+D142</f>
        <v>0</v>
      </c>
      <c r="E52" s="403">
        <f t="shared" si="76"/>
        <v>0</v>
      </c>
      <c r="F52" s="403">
        <f t="shared" si="76"/>
        <v>0</v>
      </c>
      <c r="G52" s="403">
        <f t="shared" si="76"/>
        <v>0</v>
      </c>
      <c r="H52" s="404">
        <f t="shared" si="76"/>
        <v>0</v>
      </c>
      <c r="I52" s="405">
        <f t="shared" si="76"/>
        <v>0</v>
      </c>
      <c r="J52" s="406" t="e">
        <f t="shared" si="58"/>
        <v>#DIV/0!</v>
      </c>
      <c r="K52" s="403">
        <f>+K66+K82+K96+K112+K128+K142</f>
        <v>0</v>
      </c>
      <c r="L52" s="434" t="e">
        <f t="shared" si="59"/>
        <v>#DIV/0!</v>
      </c>
      <c r="M52" s="407">
        <f t="shared" si="66"/>
        <v>0</v>
      </c>
      <c r="N52" s="3224"/>
    </row>
    <row r="53" spans="1:14" ht="13.5" customHeight="1" thickBot="1" x14ac:dyDescent="0.25">
      <c r="A53" s="3178"/>
      <c r="B53" s="435" t="s">
        <v>14</v>
      </c>
      <c r="C53" s="3240"/>
      <c r="D53" s="436">
        <f t="shared" ref="D53:I53" si="77">+D164+D176+D67+D83+D97+D188+D200+D209+D113+D221+D230++D242+D253+D262+D129+D143+D271+D155+D280+D289+D298+D305</f>
        <v>321748606</v>
      </c>
      <c r="E53" s="437">
        <f t="shared" si="77"/>
        <v>57008032</v>
      </c>
      <c r="F53" s="437">
        <f t="shared" si="77"/>
        <v>104777372</v>
      </c>
      <c r="G53" s="437">
        <f t="shared" si="77"/>
        <v>73231411</v>
      </c>
      <c r="H53" s="438">
        <f t="shared" si="77"/>
        <v>86731791</v>
      </c>
      <c r="I53" s="439">
        <f t="shared" si="77"/>
        <v>235562765</v>
      </c>
      <c r="J53" s="440">
        <f t="shared" si="58"/>
        <v>73.213297775717479</v>
      </c>
      <c r="K53" s="437">
        <f>+K164+K176+K67+K83+K97+K188+K200+K209+K113+K221+K230++K242+K253+K262+K129+K143+K271+K155+K280+K289+K298+K305</f>
        <v>73777361</v>
      </c>
      <c r="L53" s="396">
        <f t="shared" si="59"/>
        <v>100.7455134245604</v>
      </c>
      <c r="M53" s="441">
        <f>+K53-G53</f>
        <v>545950</v>
      </c>
      <c r="N53" s="3225"/>
    </row>
    <row r="54" spans="1:14" ht="27.75" customHeight="1" x14ac:dyDescent="0.2">
      <c r="A54" s="3116" t="s">
        <v>32</v>
      </c>
      <c r="B54" s="442" t="s">
        <v>240</v>
      </c>
      <c r="C54" s="443" t="s">
        <v>168</v>
      </c>
      <c r="D54" s="444"/>
      <c r="E54" s="445"/>
      <c r="F54" s="445"/>
      <c r="G54" s="445"/>
      <c r="H54" s="446"/>
      <c r="I54" s="444"/>
      <c r="J54" s="447"/>
      <c r="K54" s="445"/>
      <c r="L54" s="448"/>
      <c r="M54" s="449"/>
      <c r="N54" s="450" t="s">
        <v>36</v>
      </c>
    </row>
    <row r="55" spans="1:14" ht="15" customHeight="1" x14ac:dyDescent="0.2">
      <c r="A55" s="3117"/>
      <c r="B55" s="334" t="s">
        <v>2</v>
      </c>
      <c r="C55" s="27"/>
      <c r="D55" s="451">
        <f t="shared" ref="D55:I55" si="78">+D56+D59</f>
        <v>24394674.75</v>
      </c>
      <c r="E55" s="416">
        <f t="shared" si="78"/>
        <v>9637704</v>
      </c>
      <c r="F55" s="416">
        <f t="shared" si="78"/>
        <v>14695970.75</v>
      </c>
      <c r="G55" s="416">
        <f t="shared" si="78"/>
        <v>1000</v>
      </c>
      <c r="H55" s="416">
        <f t="shared" si="78"/>
        <v>60000</v>
      </c>
      <c r="I55" s="451">
        <f t="shared" si="78"/>
        <v>24334249.75</v>
      </c>
      <c r="J55" s="452">
        <f>I55/D55*100</f>
        <v>99.752302497904793</v>
      </c>
      <c r="K55" s="416">
        <f>+K56+K59</f>
        <v>575</v>
      </c>
      <c r="L55" s="452">
        <f>K55/G55*100</f>
        <v>57.499999999999993</v>
      </c>
      <c r="M55" s="453">
        <f>+K55-G55</f>
        <v>-425</v>
      </c>
      <c r="N55" s="3138" t="s">
        <v>37</v>
      </c>
    </row>
    <row r="56" spans="1:14" ht="12.75" customHeight="1" x14ac:dyDescent="0.2">
      <c r="A56" s="3206"/>
      <c r="B56" s="454" t="s">
        <v>17</v>
      </c>
      <c r="C56" s="3086" t="s">
        <v>38</v>
      </c>
      <c r="D56" s="455">
        <f t="shared" ref="D56:I56" si="79">+D57+D58</f>
        <v>12834007.799999999</v>
      </c>
      <c r="E56" s="456">
        <f t="shared" si="79"/>
        <v>9273374</v>
      </c>
      <c r="F56" s="456">
        <f t="shared" si="79"/>
        <v>3499633.8</v>
      </c>
      <c r="G56" s="456">
        <f t="shared" si="79"/>
        <v>1000</v>
      </c>
      <c r="H56" s="456">
        <f t="shared" si="79"/>
        <v>60000</v>
      </c>
      <c r="I56" s="455">
        <f t="shared" si="79"/>
        <v>12773582.799999999</v>
      </c>
      <c r="J56" s="457">
        <f t="shared" ref="J56:J67" si="80">I56/D56*100</f>
        <v>99.529180588467455</v>
      </c>
      <c r="K56" s="456">
        <f>+K57+K58</f>
        <v>575</v>
      </c>
      <c r="L56" s="458">
        <f t="shared" ref="L56:L117" si="81">K56/G56*100</f>
        <v>57.499999999999993</v>
      </c>
      <c r="M56" s="459">
        <f>+K56-G56</f>
        <v>-425</v>
      </c>
      <c r="N56" s="3138"/>
    </row>
    <row r="57" spans="1:14" ht="12.75" customHeight="1" x14ac:dyDescent="0.2">
      <c r="A57" s="3135"/>
      <c r="B57" s="460" t="s">
        <v>4</v>
      </c>
      <c r="C57" s="3087"/>
      <c r="D57" s="461">
        <f>+E57+F57+G57+H57</f>
        <v>1273339.8600000001</v>
      </c>
      <c r="E57" s="462">
        <v>923</v>
      </c>
      <c r="F57" s="463">
        <v>1211416.8600000001</v>
      </c>
      <c r="G57" s="463">
        <v>1000</v>
      </c>
      <c r="H57" s="463">
        <v>60000</v>
      </c>
      <c r="I57" s="464">
        <f>E57+F57+K57</f>
        <v>1212914.8600000001</v>
      </c>
      <c r="J57" s="465">
        <f t="shared" si="80"/>
        <v>95.254605475085029</v>
      </c>
      <c r="K57" s="463">
        <v>575</v>
      </c>
      <c r="L57" s="466">
        <f t="shared" si="81"/>
        <v>57.499999999999993</v>
      </c>
      <c r="M57" s="467">
        <f>+K57-G57</f>
        <v>-425</v>
      </c>
      <c r="N57" s="3138"/>
    </row>
    <row r="58" spans="1:14" s="472" customFormat="1" ht="12.75" customHeight="1" x14ac:dyDescent="0.2">
      <c r="A58" s="3135"/>
      <c r="B58" s="460" t="s">
        <v>11</v>
      </c>
      <c r="C58" s="3087"/>
      <c r="D58" s="461">
        <f>++E58+F58+G58+H58</f>
        <v>11560667.939999999</v>
      </c>
      <c r="E58" s="463">
        <f>186148+298000+8788303</f>
        <v>9272451</v>
      </c>
      <c r="F58" s="463">
        <v>2288216.94</v>
      </c>
      <c r="G58" s="463">
        <v>0</v>
      </c>
      <c r="H58" s="468">
        <v>0</v>
      </c>
      <c r="I58" s="464">
        <f>E58+F58+K58</f>
        <v>11560667.939999999</v>
      </c>
      <c r="J58" s="469">
        <f t="shared" si="80"/>
        <v>100</v>
      </c>
      <c r="K58" s="470">
        <v>0</v>
      </c>
      <c r="L58" s="471">
        <v>0</v>
      </c>
      <c r="M58" s="467">
        <f>+K58-G58</f>
        <v>0</v>
      </c>
      <c r="N58" s="3138"/>
    </row>
    <row r="59" spans="1:14" ht="12.75" customHeight="1" x14ac:dyDescent="0.2">
      <c r="A59" s="3135"/>
      <c r="B59" s="473" t="s">
        <v>12</v>
      </c>
      <c r="C59" s="3087"/>
      <c r="D59" s="474">
        <f>+D61+D60</f>
        <v>11560666.949999999</v>
      </c>
      <c r="E59" s="475">
        <f>+E60+E61</f>
        <v>364330</v>
      </c>
      <c r="F59" s="475">
        <f>+F60+F61</f>
        <v>11196336.949999999</v>
      </c>
      <c r="G59" s="475">
        <f>+G60+G61</f>
        <v>0</v>
      </c>
      <c r="H59" s="476">
        <f>+H60+H61</f>
        <v>0</v>
      </c>
      <c r="I59" s="474">
        <f>+I60+I61</f>
        <v>11560666.949999999</v>
      </c>
      <c r="J59" s="31">
        <f t="shared" si="80"/>
        <v>100</v>
      </c>
      <c r="K59" s="477">
        <f>+K60+K61</f>
        <v>0</v>
      </c>
      <c r="L59" s="478">
        <v>0</v>
      </c>
      <c r="M59" s="479">
        <f>+K59-G59</f>
        <v>0</v>
      </c>
      <c r="N59" s="3138"/>
    </row>
    <row r="60" spans="1:14" ht="12.75" hidden="1" customHeight="1" x14ac:dyDescent="0.2">
      <c r="A60" s="3135"/>
      <c r="B60" s="460" t="s">
        <v>11</v>
      </c>
      <c r="C60" s="3087"/>
      <c r="D60" s="480">
        <v>0</v>
      </c>
      <c r="E60" s="470">
        <v>0</v>
      </c>
      <c r="F60" s="470">
        <v>0</v>
      </c>
      <c r="G60" s="470">
        <v>0</v>
      </c>
      <c r="H60" s="468">
        <v>0</v>
      </c>
      <c r="I60" s="481">
        <v>0</v>
      </c>
      <c r="J60" s="482" t="e">
        <f t="shared" si="80"/>
        <v>#DIV/0!</v>
      </c>
      <c r="K60" s="470">
        <v>0</v>
      </c>
      <c r="L60" s="471" t="e">
        <f t="shared" si="81"/>
        <v>#DIV/0!</v>
      </c>
      <c r="M60" s="483">
        <f t="shared" ref="M60:M66" si="82">+K60-G60*0.5</f>
        <v>0</v>
      </c>
      <c r="N60" s="3138"/>
    </row>
    <row r="61" spans="1:14" ht="12.75" customHeight="1" x14ac:dyDescent="0.2">
      <c r="A61" s="3135"/>
      <c r="B61" s="460" t="s">
        <v>14</v>
      </c>
      <c r="C61" s="3087"/>
      <c r="D61" s="461">
        <f>+E61+F61+G61+H61</f>
        <v>11560666.949999999</v>
      </c>
      <c r="E61" s="463">
        <v>364330</v>
      </c>
      <c r="F61" s="463">
        <v>11196336.949999999</v>
      </c>
      <c r="G61" s="463">
        <v>0</v>
      </c>
      <c r="H61" s="468">
        <v>0</v>
      </c>
      <c r="I61" s="464">
        <f>E61+F61+K61</f>
        <v>11560666.949999999</v>
      </c>
      <c r="J61" s="469">
        <f>I61/D61*100</f>
        <v>100</v>
      </c>
      <c r="K61" s="470">
        <v>0</v>
      </c>
      <c r="L61" s="471">
        <v>0</v>
      </c>
      <c r="M61" s="467">
        <f>+K61-G61</f>
        <v>0</v>
      </c>
      <c r="N61" s="3198"/>
    </row>
    <row r="62" spans="1:14" ht="12.75" customHeight="1" x14ac:dyDescent="0.2">
      <c r="A62" s="3207"/>
      <c r="B62" s="334" t="s">
        <v>16</v>
      </c>
      <c r="C62" s="27"/>
      <c r="D62" s="415">
        <f t="shared" ref="D62:I62" si="83">+D65+D63</f>
        <v>23121334.949999999</v>
      </c>
      <c r="E62" s="416">
        <f t="shared" si="83"/>
        <v>6768575</v>
      </c>
      <c r="F62" s="416">
        <f>+F65+F63</f>
        <v>11377725.949999999</v>
      </c>
      <c r="G62" s="416">
        <f t="shared" si="83"/>
        <v>4975034</v>
      </c>
      <c r="H62" s="484">
        <f t="shared" si="83"/>
        <v>0</v>
      </c>
      <c r="I62" s="415">
        <f t="shared" si="83"/>
        <v>23121334.949999999</v>
      </c>
      <c r="J62" s="29">
        <f t="shared" si="80"/>
        <v>100</v>
      </c>
      <c r="K62" s="416">
        <f>+K65+K63</f>
        <v>4975034</v>
      </c>
      <c r="L62" s="485">
        <f t="shared" si="81"/>
        <v>100</v>
      </c>
      <c r="M62" s="453">
        <f>+K62-G62</f>
        <v>0</v>
      </c>
      <c r="N62" s="3088" t="s">
        <v>39</v>
      </c>
    </row>
    <row r="63" spans="1:14" ht="12.75" customHeight="1" thickBot="1" x14ac:dyDescent="0.25">
      <c r="A63" s="3207"/>
      <c r="B63" s="486" t="s">
        <v>17</v>
      </c>
      <c r="C63" s="3140" t="s">
        <v>34</v>
      </c>
      <c r="D63" s="487">
        <f t="shared" ref="D63:I63" si="84">D64</f>
        <v>11560667.949999999</v>
      </c>
      <c r="E63" s="488">
        <f t="shared" si="84"/>
        <v>6768575</v>
      </c>
      <c r="F63" s="488">
        <f>F64</f>
        <v>2504335.9500000002</v>
      </c>
      <c r="G63" s="488">
        <f t="shared" si="84"/>
        <v>2287757</v>
      </c>
      <c r="H63" s="489">
        <f t="shared" si="84"/>
        <v>0</v>
      </c>
      <c r="I63" s="490">
        <f t="shared" si="84"/>
        <v>11560667.949999999</v>
      </c>
      <c r="J63" s="465">
        <f t="shared" si="80"/>
        <v>100</v>
      </c>
      <c r="K63" s="475">
        <f>K64</f>
        <v>2287757</v>
      </c>
      <c r="L63" s="491">
        <f t="shared" si="81"/>
        <v>100</v>
      </c>
      <c r="M63" s="492">
        <f>+K63-G63</f>
        <v>0</v>
      </c>
      <c r="N63" s="3089"/>
    </row>
    <row r="64" spans="1:14" ht="12.75" customHeight="1" x14ac:dyDescent="0.2">
      <c r="A64" s="3207"/>
      <c r="B64" s="493" t="s">
        <v>11</v>
      </c>
      <c r="C64" s="3210"/>
      <c r="D64" s="461">
        <f>++E64+F64+G64+H64</f>
        <v>11560667.949999999</v>
      </c>
      <c r="E64" s="463">
        <v>6768575</v>
      </c>
      <c r="F64" s="463">
        <v>2504335.9500000002</v>
      </c>
      <c r="G64" s="463">
        <v>2287757</v>
      </c>
      <c r="H64" s="494">
        <v>0</v>
      </c>
      <c r="I64" s="464">
        <f>E64+F64+K64</f>
        <v>11560667.949999999</v>
      </c>
      <c r="J64" s="465">
        <f t="shared" si="80"/>
        <v>100</v>
      </c>
      <c r="K64" s="463">
        <v>2287757</v>
      </c>
      <c r="L64" s="491">
        <f t="shared" si="81"/>
        <v>100</v>
      </c>
      <c r="M64" s="467">
        <f>+K64-G64</f>
        <v>0</v>
      </c>
      <c r="N64" s="3083"/>
    </row>
    <row r="65" spans="1:14" ht="12.75" customHeight="1" x14ac:dyDescent="0.2">
      <c r="A65" s="3207"/>
      <c r="B65" s="495" t="s">
        <v>12</v>
      </c>
      <c r="C65" s="3086"/>
      <c r="D65" s="474">
        <f>+D67+D66</f>
        <v>11560667</v>
      </c>
      <c r="E65" s="475">
        <f>+E67+E66</f>
        <v>0</v>
      </c>
      <c r="F65" s="475">
        <f>+F67+F66</f>
        <v>8873390</v>
      </c>
      <c r="G65" s="475">
        <f>+G66+G67</f>
        <v>2687277</v>
      </c>
      <c r="H65" s="496">
        <f>+H66+H67</f>
        <v>0</v>
      </c>
      <c r="I65" s="474">
        <f>+I66+I67</f>
        <v>11560667</v>
      </c>
      <c r="J65" s="31">
        <f t="shared" si="80"/>
        <v>100</v>
      </c>
      <c r="K65" s="475">
        <f>+K67+K66</f>
        <v>2687277</v>
      </c>
      <c r="L65" s="497">
        <f t="shared" si="81"/>
        <v>100</v>
      </c>
      <c r="M65" s="479">
        <f>+K65-G65</f>
        <v>0</v>
      </c>
      <c r="N65" s="3084"/>
    </row>
    <row r="66" spans="1:14" ht="12.75" hidden="1" customHeight="1" x14ac:dyDescent="0.2">
      <c r="A66" s="3207"/>
      <c r="B66" s="493" t="s">
        <v>11</v>
      </c>
      <c r="C66" s="3086"/>
      <c r="D66" s="480">
        <v>0</v>
      </c>
      <c r="E66" s="470">
        <v>0</v>
      </c>
      <c r="F66" s="470">
        <v>0</v>
      </c>
      <c r="G66" s="470">
        <v>0</v>
      </c>
      <c r="H66" s="494">
        <v>0</v>
      </c>
      <c r="I66" s="481">
        <v>0</v>
      </c>
      <c r="J66" s="470" t="e">
        <f t="shared" si="80"/>
        <v>#DIV/0!</v>
      </c>
      <c r="K66" s="470">
        <v>0</v>
      </c>
      <c r="L66" s="498" t="e">
        <f t="shared" si="81"/>
        <v>#DIV/0!</v>
      </c>
      <c r="M66" s="483">
        <f t="shared" si="82"/>
        <v>0</v>
      </c>
      <c r="N66" s="3084"/>
    </row>
    <row r="67" spans="1:14" ht="12.75" customHeight="1" thickBot="1" x14ac:dyDescent="0.25">
      <c r="A67" s="3208"/>
      <c r="B67" s="499" t="s">
        <v>14</v>
      </c>
      <c r="C67" s="3211"/>
      <c r="D67" s="500">
        <f>++E67+F67+G67+H67</f>
        <v>11560667</v>
      </c>
      <c r="E67" s="501">
        <v>0</v>
      </c>
      <c r="F67" s="502">
        <v>8873390</v>
      </c>
      <c r="G67" s="502">
        <v>2687277</v>
      </c>
      <c r="H67" s="503">
        <v>0</v>
      </c>
      <c r="I67" s="504">
        <f>E67+F67+K67</f>
        <v>11560667</v>
      </c>
      <c r="J67" s="505">
        <f t="shared" si="80"/>
        <v>100</v>
      </c>
      <c r="K67" s="502">
        <v>2687277</v>
      </c>
      <c r="L67" s="506">
        <f t="shared" si="81"/>
        <v>100</v>
      </c>
      <c r="M67" s="507">
        <f>+K67-G67</f>
        <v>0</v>
      </c>
      <c r="N67" s="3089"/>
    </row>
    <row r="68" spans="1:14" s="511" customFormat="1" ht="25.5" x14ac:dyDescent="0.2">
      <c r="A68" s="3134" t="s">
        <v>35</v>
      </c>
      <c r="B68" s="508" t="s">
        <v>241</v>
      </c>
      <c r="C68" s="443" t="s">
        <v>168</v>
      </c>
      <c r="D68" s="444"/>
      <c r="E68" s="445"/>
      <c r="F68" s="445"/>
      <c r="G68" s="445"/>
      <c r="H68" s="509"/>
      <c r="I68" s="444"/>
      <c r="J68" s="447"/>
      <c r="K68" s="445"/>
      <c r="L68" s="510"/>
      <c r="M68" s="449"/>
      <c r="N68" s="450" t="s">
        <v>36</v>
      </c>
    </row>
    <row r="69" spans="1:14" s="511" customFormat="1" ht="12" customHeight="1" x14ac:dyDescent="0.2">
      <c r="A69" s="3135"/>
      <c r="B69" s="512" t="s">
        <v>2</v>
      </c>
      <c r="C69" s="27"/>
      <c r="D69" s="513">
        <f t="shared" ref="D69:H69" si="85">+D70+D74</f>
        <v>29082939.560000002</v>
      </c>
      <c r="E69" s="514">
        <f>+E70+E74</f>
        <v>15914185</v>
      </c>
      <c r="F69" s="514">
        <f>+F70+F74</f>
        <v>13156684.560000001</v>
      </c>
      <c r="G69" s="514">
        <f t="shared" si="85"/>
        <v>12070</v>
      </c>
      <c r="H69" s="515">
        <f t="shared" si="85"/>
        <v>0</v>
      </c>
      <c r="I69" s="513">
        <f>+I74+I70</f>
        <v>29082939.560000002</v>
      </c>
      <c r="J69" s="516">
        <f>I69/D69*100</f>
        <v>100</v>
      </c>
      <c r="K69" s="514">
        <f>+K70+K74</f>
        <v>12070</v>
      </c>
      <c r="L69" s="517">
        <f t="shared" si="81"/>
        <v>100</v>
      </c>
      <c r="M69" s="518">
        <f>+K69-G69</f>
        <v>0</v>
      </c>
      <c r="N69" s="3174" t="s">
        <v>37</v>
      </c>
    </row>
    <row r="70" spans="1:14" s="511" customFormat="1" ht="12" customHeight="1" x14ac:dyDescent="0.2">
      <c r="A70" s="3135"/>
      <c r="B70" s="486" t="s">
        <v>17</v>
      </c>
      <c r="C70" s="3086" t="s">
        <v>38</v>
      </c>
      <c r="D70" s="519">
        <f>+D71+D73+D72</f>
        <v>14696626.020000001</v>
      </c>
      <c r="E70" s="475">
        <f>+E73+E71+E72</f>
        <v>8601389</v>
      </c>
      <c r="F70" s="475">
        <f>+F71+F73+F72</f>
        <v>6083167.0200000005</v>
      </c>
      <c r="G70" s="520">
        <f>+G71+G73+G72</f>
        <v>12070</v>
      </c>
      <c r="H70" s="496">
        <f>+H71+H73</f>
        <v>0</v>
      </c>
      <c r="I70" s="519">
        <f>+I71+I73+I72</f>
        <v>14696626.020000001</v>
      </c>
      <c r="J70" s="31">
        <f t="shared" ref="J70:J82" si="86">I70/D70*100</f>
        <v>100</v>
      </c>
      <c r="K70" s="520">
        <f>+K71+K73+K72</f>
        <v>12070</v>
      </c>
      <c r="L70" s="497">
        <f t="shared" si="81"/>
        <v>100</v>
      </c>
      <c r="M70" s="521">
        <f>+K70-G70</f>
        <v>0</v>
      </c>
      <c r="N70" s="3170"/>
    </row>
    <row r="71" spans="1:14" s="511" customFormat="1" ht="12.75" customHeight="1" x14ac:dyDescent="0.2">
      <c r="A71" s="3135"/>
      <c r="B71" s="493" t="s">
        <v>4</v>
      </c>
      <c r="C71" s="3087"/>
      <c r="D71" s="461">
        <f>+E71+F71+G71+H71</f>
        <v>95217.99</v>
      </c>
      <c r="E71" s="462">
        <v>5076</v>
      </c>
      <c r="F71" s="462">
        <v>78071.990000000005</v>
      </c>
      <c r="G71" s="462">
        <v>12070</v>
      </c>
      <c r="H71" s="494">
        <v>0</v>
      </c>
      <c r="I71" s="464">
        <f>E71+F71+K71</f>
        <v>95217.99</v>
      </c>
      <c r="J71" s="465">
        <f t="shared" si="86"/>
        <v>100</v>
      </c>
      <c r="K71" s="463">
        <v>12070</v>
      </c>
      <c r="L71" s="466">
        <f t="shared" si="81"/>
        <v>100</v>
      </c>
      <c r="M71" s="467">
        <f>+K71-G71</f>
        <v>0</v>
      </c>
      <c r="N71" s="3170"/>
    </row>
    <row r="72" spans="1:14" s="511" customFormat="1" ht="12.75" customHeight="1" x14ac:dyDescent="0.2">
      <c r="A72" s="3135"/>
      <c r="B72" s="493" t="s">
        <v>9</v>
      </c>
      <c r="C72" s="3087"/>
      <c r="D72" s="461">
        <f>+E72+F72+G72+H72</f>
        <v>215095</v>
      </c>
      <c r="E72" s="462">
        <v>110000</v>
      </c>
      <c r="F72" s="462">
        <v>105095</v>
      </c>
      <c r="G72" s="462">
        <v>0</v>
      </c>
      <c r="H72" s="522">
        <v>0</v>
      </c>
      <c r="I72" s="464">
        <f>E72+F72+K72</f>
        <v>215095</v>
      </c>
      <c r="J72" s="469">
        <f>I72/D72*100</f>
        <v>100</v>
      </c>
      <c r="K72" s="482">
        <v>0</v>
      </c>
      <c r="L72" s="471">
        <v>0</v>
      </c>
      <c r="M72" s="467">
        <f>+K72-G72</f>
        <v>0</v>
      </c>
      <c r="N72" s="3170"/>
    </row>
    <row r="73" spans="1:14" s="523" customFormat="1" ht="12.75" customHeight="1" x14ac:dyDescent="0.2">
      <c r="A73" s="3135"/>
      <c r="B73" s="493" t="s">
        <v>11</v>
      </c>
      <c r="C73" s="3087"/>
      <c r="D73" s="461">
        <f>++E73+F73+G73+H73</f>
        <v>14386313.030000001</v>
      </c>
      <c r="E73" s="463">
        <f>118878+77968+8289467</f>
        <v>8486313</v>
      </c>
      <c r="F73" s="462">
        <f>5139320.03+760680</f>
        <v>5900000.0300000003</v>
      </c>
      <c r="G73" s="462">
        <v>0</v>
      </c>
      <c r="H73" s="522">
        <v>0</v>
      </c>
      <c r="I73" s="464">
        <f>E73+F73+K73</f>
        <v>14386313.030000001</v>
      </c>
      <c r="J73" s="465">
        <f t="shared" si="86"/>
        <v>100</v>
      </c>
      <c r="K73" s="482">
        <v>0</v>
      </c>
      <c r="L73" s="483">
        <v>0</v>
      </c>
      <c r="M73" s="467">
        <f>+K73-G73</f>
        <v>0</v>
      </c>
      <c r="N73" s="3170"/>
    </row>
    <row r="74" spans="1:14" s="511" customFormat="1" ht="12.75" customHeight="1" x14ac:dyDescent="0.2">
      <c r="A74" s="3135"/>
      <c r="B74" s="495" t="s">
        <v>12</v>
      </c>
      <c r="C74" s="3087"/>
      <c r="D74" s="474">
        <f>+D76+D75</f>
        <v>14386313.539999999</v>
      </c>
      <c r="E74" s="475">
        <f>+E76+E75</f>
        <v>7312796</v>
      </c>
      <c r="F74" s="475">
        <f>+F76+F75</f>
        <v>7073517.54</v>
      </c>
      <c r="G74" s="475">
        <f>+G75+G76</f>
        <v>0</v>
      </c>
      <c r="H74" s="524">
        <f>+H76+H75</f>
        <v>0</v>
      </c>
      <c r="I74" s="474">
        <f>+I75+I76</f>
        <v>14386313.539999999</v>
      </c>
      <c r="J74" s="31">
        <f t="shared" si="86"/>
        <v>100</v>
      </c>
      <c r="K74" s="477">
        <f>+K76+K75</f>
        <v>0</v>
      </c>
      <c r="L74" s="478">
        <v>0</v>
      </c>
      <c r="M74" s="479">
        <f t="shared" ref="M74:M122" si="87">+K74-G74*0.5</f>
        <v>0</v>
      </c>
      <c r="N74" s="3170"/>
    </row>
    <row r="75" spans="1:14" s="511" customFormat="1" ht="12.75" hidden="1" customHeight="1" x14ac:dyDescent="0.25">
      <c r="A75" s="3135"/>
      <c r="B75" s="493" t="s">
        <v>11</v>
      </c>
      <c r="C75" s="3090"/>
      <c r="D75" s="525">
        <f>+E75+F75+G75+H75</f>
        <v>0</v>
      </c>
      <c r="E75" s="526">
        <v>0</v>
      </c>
      <c r="F75" s="527">
        <v>0</v>
      </c>
      <c r="G75" s="527">
        <v>0</v>
      </c>
      <c r="H75" s="522">
        <v>0</v>
      </c>
      <c r="I75" s="481">
        <f>E75+F75+K75</f>
        <v>0</v>
      </c>
      <c r="J75" s="465" t="e">
        <f t="shared" si="86"/>
        <v>#DIV/0!</v>
      </c>
      <c r="K75" s="482">
        <v>0</v>
      </c>
      <c r="L75" s="483" t="e">
        <f t="shared" si="81"/>
        <v>#DIV/0!</v>
      </c>
      <c r="M75" s="483">
        <f t="shared" si="87"/>
        <v>0</v>
      </c>
      <c r="N75" s="3170"/>
    </row>
    <row r="76" spans="1:14" s="511" customFormat="1" ht="12.75" customHeight="1" x14ac:dyDescent="0.2">
      <c r="A76" s="3135"/>
      <c r="B76" s="460" t="s">
        <v>14</v>
      </c>
      <c r="C76" s="528"/>
      <c r="D76" s="529">
        <f>++E76+F76+G76+H76</f>
        <v>14386313.539999999</v>
      </c>
      <c r="E76" s="530">
        <f>118878+77968+7115950</f>
        <v>7312796</v>
      </c>
      <c r="F76" s="530">
        <f>6312837.19+760680.35</f>
        <v>7073517.54</v>
      </c>
      <c r="G76" s="530">
        <v>0</v>
      </c>
      <c r="H76" s="522">
        <v>0</v>
      </c>
      <c r="I76" s="464">
        <f>E76+F76+K76</f>
        <v>14386313.539999999</v>
      </c>
      <c r="J76" s="469">
        <f t="shared" si="86"/>
        <v>100</v>
      </c>
      <c r="K76" s="482">
        <v>0</v>
      </c>
      <c r="L76" s="471">
        <v>0</v>
      </c>
      <c r="M76" s="467">
        <f t="shared" ref="M76:M81" si="88">+K76-G76</f>
        <v>0</v>
      </c>
      <c r="N76" s="3170"/>
    </row>
    <row r="77" spans="1:14" s="511" customFormat="1" ht="12.75" customHeight="1" thickBot="1" x14ac:dyDescent="0.25">
      <c r="A77" s="3207"/>
      <c r="B77" s="334" t="s">
        <v>16</v>
      </c>
      <c r="C77" s="531"/>
      <c r="D77" s="415">
        <f t="shared" ref="D77:H77" si="89">+D81+D78</f>
        <v>28987722</v>
      </c>
      <c r="E77" s="416">
        <f t="shared" si="89"/>
        <v>11587261</v>
      </c>
      <c r="F77" s="416">
        <f>+F81+F78</f>
        <v>15879100</v>
      </c>
      <c r="G77" s="416">
        <f t="shared" si="89"/>
        <v>1521361</v>
      </c>
      <c r="H77" s="484">
        <f t="shared" si="89"/>
        <v>0</v>
      </c>
      <c r="I77" s="415">
        <f>+I81+I78</f>
        <v>28982098</v>
      </c>
      <c r="J77" s="29">
        <f t="shared" si="86"/>
        <v>99.980598682435271</v>
      </c>
      <c r="K77" s="416">
        <f>+K81+K78</f>
        <v>1515737</v>
      </c>
      <c r="L77" s="532">
        <f t="shared" si="81"/>
        <v>99.63033099967727</v>
      </c>
      <c r="M77" s="453">
        <f t="shared" si="88"/>
        <v>-5624</v>
      </c>
      <c r="N77" s="3087" t="s">
        <v>39</v>
      </c>
    </row>
    <row r="78" spans="1:14" s="511" customFormat="1" ht="12.75" customHeight="1" x14ac:dyDescent="0.2">
      <c r="A78" s="3205"/>
      <c r="B78" s="454" t="s">
        <v>17</v>
      </c>
      <c r="C78" s="3203" t="s">
        <v>34</v>
      </c>
      <c r="D78" s="455">
        <f t="shared" ref="D78:I78" si="90">D80+D79</f>
        <v>14601408</v>
      </c>
      <c r="E78" s="456">
        <f t="shared" si="90"/>
        <v>8596313</v>
      </c>
      <c r="F78" s="456">
        <f>F80+F79</f>
        <v>5244415</v>
      </c>
      <c r="G78" s="456">
        <f t="shared" si="90"/>
        <v>760680</v>
      </c>
      <c r="H78" s="533">
        <f t="shared" si="90"/>
        <v>0</v>
      </c>
      <c r="I78" s="455">
        <f t="shared" si="90"/>
        <v>14598596</v>
      </c>
      <c r="J78" s="31">
        <f t="shared" si="86"/>
        <v>99.98074158327745</v>
      </c>
      <c r="K78" s="456">
        <f>K80+K79</f>
        <v>757868</v>
      </c>
      <c r="L78" s="478">
        <f t="shared" si="81"/>
        <v>99.630330756691379</v>
      </c>
      <c r="M78" s="459">
        <f t="shared" si="88"/>
        <v>-2812</v>
      </c>
      <c r="N78" s="3087"/>
    </row>
    <row r="79" spans="1:14" s="511" customFormat="1" ht="12.75" customHeight="1" thickBot="1" x14ac:dyDescent="0.25">
      <c r="A79" s="3119"/>
      <c r="B79" s="460" t="s">
        <v>9</v>
      </c>
      <c r="C79" s="3203"/>
      <c r="D79" s="461">
        <f>+E79+F79+G79+H79</f>
        <v>215095</v>
      </c>
      <c r="E79" s="462">
        <v>110000</v>
      </c>
      <c r="F79" s="462">
        <v>105095</v>
      </c>
      <c r="G79" s="462">
        <v>0</v>
      </c>
      <c r="H79" s="534">
        <v>0</v>
      </c>
      <c r="I79" s="464">
        <f>E79+F79+K79</f>
        <v>215095</v>
      </c>
      <c r="J79" s="465">
        <f t="shared" si="86"/>
        <v>100</v>
      </c>
      <c r="K79" s="462">
        <v>0</v>
      </c>
      <c r="L79" s="483">
        <v>0</v>
      </c>
      <c r="M79" s="467">
        <f t="shared" si="88"/>
        <v>0</v>
      </c>
      <c r="N79" s="3087"/>
    </row>
    <row r="80" spans="1:14" s="536" customFormat="1" ht="12.75" customHeight="1" x14ac:dyDescent="0.2">
      <c r="A80" s="3118"/>
      <c r="B80" s="460" t="s">
        <v>11</v>
      </c>
      <c r="C80" s="3203"/>
      <c r="D80" s="461">
        <f>+E80+F80+G80+H80</f>
        <v>14386313</v>
      </c>
      <c r="E80" s="462">
        <v>8486313</v>
      </c>
      <c r="F80" s="462">
        <v>5139320</v>
      </c>
      <c r="G80" s="462">
        <v>760680</v>
      </c>
      <c r="H80" s="535">
        <v>0</v>
      </c>
      <c r="I80" s="464">
        <f>E80+F80+K80</f>
        <v>14383501</v>
      </c>
      <c r="J80" s="469">
        <f t="shared" si="86"/>
        <v>99.980453643682026</v>
      </c>
      <c r="K80" s="462">
        <v>757868</v>
      </c>
      <c r="L80" s="483">
        <f t="shared" si="81"/>
        <v>99.630330756691379</v>
      </c>
      <c r="M80" s="467">
        <f t="shared" si="88"/>
        <v>-2812</v>
      </c>
      <c r="N80" s="3087"/>
    </row>
    <row r="81" spans="1:14" s="511" customFormat="1" ht="12.75" customHeight="1" x14ac:dyDescent="0.2">
      <c r="A81" s="3164"/>
      <c r="B81" s="473" t="s">
        <v>12</v>
      </c>
      <c r="C81" s="3203"/>
      <c r="D81" s="474">
        <f>+D83+D82</f>
        <v>14386314</v>
      </c>
      <c r="E81" s="475">
        <f>+E82+E83</f>
        <v>2990948</v>
      </c>
      <c r="F81" s="475">
        <f>+F83+F82</f>
        <v>10634685</v>
      </c>
      <c r="G81" s="475">
        <f>+G83+G82</f>
        <v>760681</v>
      </c>
      <c r="H81" s="533">
        <f>+H83+H82</f>
        <v>0</v>
      </c>
      <c r="I81" s="474">
        <f>+I82+I83</f>
        <v>14383502</v>
      </c>
      <c r="J81" s="31">
        <f t="shared" si="86"/>
        <v>99.980453645040697</v>
      </c>
      <c r="K81" s="475">
        <f>+K83+K82</f>
        <v>757869</v>
      </c>
      <c r="L81" s="478">
        <f t="shared" si="81"/>
        <v>99.630331242662834</v>
      </c>
      <c r="M81" s="479">
        <f t="shared" si="88"/>
        <v>-2812</v>
      </c>
      <c r="N81" s="3087"/>
    </row>
    <row r="82" spans="1:14" s="511" customFormat="1" ht="12.75" hidden="1" customHeight="1" x14ac:dyDescent="0.2">
      <c r="A82" s="3205"/>
      <c r="B82" s="460" t="s">
        <v>11</v>
      </c>
      <c r="C82" s="3203"/>
      <c r="D82" s="480">
        <f>+E82+F82+G82+H82</f>
        <v>0</v>
      </c>
      <c r="E82" s="482">
        <v>0</v>
      </c>
      <c r="F82" s="482">
        <v>0</v>
      </c>
      <c r="G82" s="482">
        <v>0</v>
      </c>
      <c r="H82" s="535">
        <v>0</v>
      </c>
      <c r="I82" s="481">
        <f>E82+F82+K82</f>
        <v>0</v>
      </c>
      <c r="J82" s="465" t="e">
        <f t="shared" si="86"/>
        <v>#DIV/0!</v>
      </c>
      <c r="K82" s="482">
        <v>0</v>
      </c>
      <c r="L82" s="483" t="e">
        <f t="shared" si="81"/>
        <v>#DIV/0!</v>
      </c>
      <c r="M82" s="483">
        <f t="shared" si="87"/>
        <v>0</v>
      </c>
      <c r="N82" s="3087"/>
    </row>
    <row r="83" spans="1:14" s="511" customFormat="1" ht="12.75" customHeight="1" thickBot="1" x14ac:dyDescent="0.25">
      <c r="A83" s="3119"/>
      <c r="B83" s="537" t="s">
        <v>14</v>
      </c>
      <c r="C83" s="3209"/>
      <c r="D83" s="500">
        <f>+E83+F83+G83+H83</f>
        <v>14386314</v>
      </c>
      <c r="E83" s="502">
        <v>2990948</v>
      </c>
      <c r="F83" s="502">
        <v>10634685</v>
      </c>
      <c r="G83" s="502">
        <v>760681</v>
      </c>
      <c r="H83" s="538">
        <v>0</v>
      </c>
      <c r="I83" s="504">
        <f>E83+F83+K83</f>
        <v>14383502</v>
      </c>
      <c r="J83" s="539">
        <f>I83/D83*100</f>
        <v>99.980453645040697</v>
      </c>
      <c r="K83" s="502">
        <v>757869</v>
      </c>
      <c r="L83" s="540">
        <f t="shared" si="81"/>
        <v>99.630331242662834</v>
      </c>
      <c r="M83" s="467">
        <f>+K83-G83</f>
        <v>-2812</v>
      </c>
      <c r="N83" s="3090"/>
    </row>
    <row r="84" spans="1:14" ht="27.75" customHeight="1" thickBot="1" x14ac:dyDescent="0.25">
      <c r="A84" s="3188" t="s">
        <v>40</v>
      </c>
      <c r="B84" s="541" t="s">
        <v>242</v>
      </c>
      <c r="C84" s="542" t="s">
        <v>168</v>
      </c>
      <c r="D84" s="444" t="s">
        <v>42</v>
      </c>
      <c r="E84" s="445"/>
      <c r="F84" s="445"/>
      <c r="G84" s="445"/>
      <c r="H84" s="446"/>
      <c r="I84" s="444"/>
      <c r="J84" s="445"/>
      <c r="K84" s="445"/>
      <c r="L84" s="449"/>
      <c r="M84" s="449"/>
      <c r="N84" s="450" t="s">
        <v>36</v>
      </c>
    </row>
    <row r="85" spans="1:14" x14ac:dyDescent="0.2">
      <c r="A85" s="3117"/>
      <c r="B85" s="334" t="s">
        <v>2</v>
      </c>
      <c r="C85" s="531"/>
      <c r="D85" s="513">
        <f t="shared" ref="D85:I85" si="91">+D86+D89</f>
        <v>25426957.829999998</v>
      </c>
      <c r="E85" s="514">
        <f t="shared" si="91"/>
        <v>14675830</v>
      </c>
      <c r="F85" s="514">
        <f>+F86+F89</f>
        <v>10732095.83</v>
      </c>
      <c r="G85" s="514">
        <f t="shared" si="91"/>
        <v>2032</v>
      </c>
      <c r="H85" s="514">
        <f t="shared" si="91"/>
        <v>17000</v>
      </c>
      <c r="I85" s="513">
        <f t="shared" si="91"/>
        <v>25409957.829999998</v>
      </c>
      <c r="J85" s="516">
        <f t="shared" ref="J85:J147" si="92">I85/D85*100</f>
        <v>99.933141824855113</v>
      </c>
      <c r="K85" s="514">
        <f>+K86+K89</f>
        <v>2032</v>
      </c>
      <c r="L85" s="543">
        <f t="shared" si="81"/>
        <v>100</v>
      </c>
      <c r="M85" s="453">
        <f>+K85-G85</f>
        <v>0</v>
      </c>
      <c r="N85" s="3174" t="s">
        <v>37</v>
      </c>
    </row>
    <row r="86" spans="1:14" x14ac:dyDescent="0.2">
      <c r="A86" s="3117"/>
      <c r="B86" s="454" t="s">
        <v>17</v>
      </c>
      <c r="C86" s="3203" t="s">
        <v>38</v>
      </c>
      <c r="D86" s="544">
        <f t="shared" ref="D86:I86" si="93">+D87+D88</f>
        <v>13109611.16</v>
      </c>
      <c r="E86" s="521">
        <f t="shared" si="93"/>
        <v>9918160</v>
      </c>
      <c r="F86" s="521">
        <f>+F87+F88</f>
        <v>3172419.1599999997</v>
      </c>
      <c r="G86" s="521">
        <f t="shared" si="93"/>
        <v>2032</v>
      </c>
      <c r="H86" s="521">
        <f t="shared" si="93"/>
        <v>17000</v>
      </c>
      <c r="I86" s="544">
        <f t="shared" si="93"/>
        <v>13092611.16</v>
      </c>
      <c r="J86" s="31">
        <f t="shared" si="92"/>
        <v>99.870324147737733</v>
      </c>
      <c r="K86" s="521">
        <f>+K87+K88</f>
        <v>2032</v>
      </c>
      <c r="L86" s="545">
        <f t="shared" si="81"/>
        <v>100</v>
      </c>
      <c r="M86" s="459">
        <f>+K86-G86</f>
        <v>0</v>
      </c>
      <c r="N86" s="3170"/>
    </row>
    <row r="87" spans="1:14" ht="11.25" customHeight="1" thickBot="1" x14ac:dyDescent="0.25">
      <c r="A87" s="3190"/>
      <c r="B87" s="460" t="s">
        <v>4</v>
      </c>
      <c r="C87" s="3204"/>
      <c r="D87" s="461">
        <f>+E87+F87+G87+H87</f>
        <v>792265.48</v>
      </c>
      <c r="E87" s="462">
        <v>21848</v>
      </c>
      <c r="F87" s="462">
        <v>751385.48</v>
      </c>
      <c r="G87" s="462">
        <v>2032</v>
      </c>
      <c r="H87" s="462">
        <v>17000</v>
      </c>
      <c r="I87" s="464">
        <f>E87+F87+K87</f>
        <v>775265.48</v>
      </c>
      <c r="J87" s="465">
        <f t="shared" si="92"/>
        <v>97.854254611724343</v>
      </c>
      <c r="K87" s="463">
        <v>2032</v>
      </c>
      <c r="L87" s="466">
        <f t="shared" si="81"/>
        <v>100</v>
      </c>
      <c r="M87" s="467">
        <f>+K87-G87</f>
        <v>0</v>
      </c>
      <c r="N87" s="3170"/>
    </row>
    <row r="88" spans="1:14" s="472" customFormat="1" ht="11.25" customHeight="1" x14ac:dyDescent="0.2">
      <c r="A88" s="3116"/>
      <c r="B88" s="460" t="s">
        <v>11</v>
      </c>
      <c r="C88" s="3204"/>
      <c r="D88" s="461">
        <f>++E88+F88+G88+H88</f>
        <v>12317345.68</v>
      </c>
      <c r="E88" s="463">
        <f>83204+290875+9522233</f>
        <v>9896312</v>
      </c>
      <c r="F88" s="462">
        <f>1802247.72+618785.96</f>
        <v>2421033.6799999997</v>
      </c>
      <c r="G88" s="462">
        <v>0</v>
      </c>
      <c r="H88" s="535">
        <v>0</v>
      </c>
      <c r="I88" s="464">
        <f>E88+F88+K88</f>
        <v>12317345.68</v>
      </c>
      <c r="J88" s="469">
        <f t="shared" si="92"/>
        <v>100</v>
      </c>
      <c r="K88" s="463">
        <v>0</v>
      </c>
      <c r="L88" s="471">
        <v>0</v>
      </c>
      <c r="M88" s="467">
        <f>+K88-G88</f>
        <v>0</v>
      </c>
      <c r="N88" s="3170"/>
    </row>
    <row r="89" spans="1:14" x14ac:dyDescent="0.2">
      <c r="A89" s="3117"/>
      <c r="B89" s="473" t="s">
        <v>12</v>
      </c>
      <c r="C89" s="3204"/>
      <c r="D89" s="474">
        <f>+D91+D90</f>
        <v>12317346.67</v>
      </c>
      <c r="E89" s="475">
        <f>+E91+E90</f>
        <v>4757670</v>
      </c>
      <c r="F89" s="475">
        <f>+F91+F90</f>
        <v>7559676.6699999999</v>
      </c>
      <c r="G89" s="475">
        <f>+G90+G91</f>
        <v>0</v>
      </c>
      <c r="H89" s="476">
        <f>+H91+H90</f>
        <v>0</v>
      </c>
      <c r="I89" s="474">
        <f>+I90+I91</f>
        <v>12317346.67</v>
      </c>
      <c r="J89" s="31">
        <f t="shared" si="92"/>
        <v>100</v>
      </c>
      <c r="K89" s="475">
        <f>+K91+K90</f>
        <v>0</v>
      </c>
      <c r="L89" s="478">
        <v>0</v>
      </c>
      <c r="M89" s="479">
        <f>+K89-G89</f>
        <v>0</v>
      </c>
      <c r="N89" s="3170"/>
    </row>
    <row r="90" spans="1:14" ht="12.75" hidden="1" customHeight="1" x14ac:dyDescent="0.2">
      <c r="A90" s="3117"/>
      <c r="B90" s="460" t="s">
        <v>11</v>
      </c>
      <c r="C90" s="3204"/>
      <c r="D90" s="480">
        <f>+E90+F90+G90+H90</f>
        <v>0</v>
      </c>
      <c r="E90" s="470">
        <v>0</v>
      </c>
      <c r="F90" s="482">
        <v>0</v>
      </c>
      <c r="G90" s="482">
        <v>0</v>
      </c>
      <c r="H90" s="535">
        <v>0</v>
      </c>
      <c r="I90" s="481">
        <f>E90+F90+K90</f>
        <v>0</v>
      </c>
      <c r="J90" s="465" t="e">
        <f t="shared" si="92"/>
        <v>#DIV/0!</v>
      </c>
      <c r="K90" s="470">
        <v>0</v>
      </c>
      <c r="L90" s="483" t="e">
        <f t="shared" si="81"/>
        <v>#DIV/0!</v>
      </c>
      <c r="M90" s="483">
        <f t="shared" si="87"/>
        <v>0</v>
      </c>
      <c r="N90" s="3170"/>
    </row>
    <row r="91" spans="1:14" ht="13.5" customHeight="1" x14ac:dyDescent="0.2">
      <c r="A91" s="3117"/>
      <c r="B91" s="460" t="s">
        <v>14</v>
      </c>
      <c r="C91" s="3204"/>
      <c r="D91" s="461">
        <f>++E91+F91+G91+H91</f>
        <v>12317346.67</v>
      </c>
      <c r="E91" s="463">
        <f>83205+290875+4383590</f>
        <v>4757670</v>
      </c>
      <c r="F91" s="462">
        <v>7559676.6699999999</v>
      </c>
      <c r="G91" s="462">
        <v>0</v>
      </c>
      <c r="H91" s="535">
        <v>0</v>
      </c>
      <c r="I91" s="464">
        <f>E91+F91+K91</f>
        <v>12317346.67</v>
      </c>
      <c r="J91" s="469">
        <f t="shared" si="92"/>
        <v>100</v>
      </c>
      <c r="K91" s="463">
        <v>0</v>
      </c>
      <c r="L91" s="471">
        <v>0</v>
      </c>
      <c r="M91" s="467">
        <f>+K91-G91</f>
        <v>0</v>
      </c>
      <c r="N91" s="3170"/>
    </row>
    <row r="92" spans="1:14" x14ac:dyDescent="0.2">
      <c r="A92" s="3118"/>
      <c r="B92" s="334" t="s">
        <v>16</v>
      </c>
      <c r="C92" s="531"/>
      <c r="D92" s="415">
        <f t="shared" ref="D92:I92" si="94">+D95+D93</f>
        <v>24634693</v>
      </c>
      <c r="E92" s="416">
        <f t="shared" si="94"/>
        <v>8021359</v>
      </c>
      <c r="F92" s="416">
        <f>+F95+F93</f>
        <v>15384264</v>
      </c>
      <c r="G92" s="416">
        <f t="shared" si="94"/>
        <v>1229070</v>
      </c>
      <c r="H92" s="484">
        <f t="shared" si="94"/>
        <v>0</v>
      </c>
      <c r="I92" s="415">
        <f t="shared" si="94"/>
        <v>24634693</v>
      </c>
      <c r="J92" s="29">
        <f t="shared" si="92"/>
        <v>100</v>
      </c>
      <c r="K92" s="416">
        <f>+K95+K93</f>
        <v>1229070</v>
      </c>
      <c r="L92" s="452">
        <f t="shared" si="81"/>
        <v>100</v>
      </c>
      <c r="M92" s="453">
        <f>+K92-G92</f>
        <v>0</v>
      </c>
      <c r="N92" s="3087" t="s">
        <v>39</v>
      </c>
    </row>
    <row r="93" spans="1:14" x14ac:dyDescent="0.2">
      <c r="A93" s="3118"/>
      <c r="B93" s="454" t="s">
        <v>17</v>
      </c>
      <c r="C93" s="3203" t="s">
        <v>34</v>
      </c>
      <c r="D93" s="546">
        <f t="shared" ref="D93:I93" si="95">D94</f>
        <v>12317346</v>
      </c>
      <c r="E93" s="492">
        <f t="shared" si="95"/>
        <v>4714241</v>
      </c>
      <c r="F93" s="492">
        <f>F94</f>
        <v>6988570</v>
      </c>
      <c r="G93" s="492">
        <f t="shared" si="95"/>
        <v>614535</v>
      </c>
      <c r="H93" s="489">
        <f t="shared" si="95"/>
        <v>0</v>
      </c>
      <c r="I93" s="546">
        <f t="shared" si="95"/>
        <v>12317346</v>
      </c>
      <c r="J93" s="31">
        <f t="shared" si="92"/>
        <v>100</v>
      </c>
      <c r="K93" s="547">
        <f>K94</f>
        <v>614535</v>
      </c>
      <c r="L93" s="545">
        <f t="shared" si="81"/>
        <v>100</v>
      </c>
      <c r="M93" s="459">
        <f>+K93-G93</f>
        <v>0</v>
      </c>
      <c r="N93" s="3087"/>
    </row>
    <row r="94" spans="1:14" s="472" customFormat="1" x14ac:dyDescent="0.2">
      <c r="A94" s="3118"/>
      <c r="B94" s="460" t="s">
        <v>11</v>
      </c>
      <c r="C94" s="3203"/>
      <c r="D94" s="461">
        <f>++E94+F94+G94+H94</f>
        <v>12317346</v>
      </c>
      <c r="E94" s="462">
        <v>4714241</v>
      </c>
      <c r="F94" s="462">
        <v>6988570</v>
      </c>
      <c r="G94" s="462">
        <v>614535</v>
      </c>
      <c r="H94" s="535">
        <v>0</v>
      </c>
      <c r="I94" s="464">
        <f>E94+F94+K94</f>
        <v>12317346</v>
      </c>
      <c r="J94" s="465">
        <f t="shared" si="92"/>
        <v>100</v>
      </c>
      <c r="K94" s="463">
        <v>614535</v>
      </c>
      <c r="L94" s="466">
        <f t="shared" si="81"/>
        <v>100</v>
      </c>
      <c r="M94" s="467">
        <f>+K94-G94</f>
        <v>0</v>
      </c>
      <c r="N94" s="3087"/>
    </row>
    <row r="95" spans="1:14" x14ac:dyDescent="0.2">
      <c r="A95" s="3118"/>
      <c r="B95" s="473" t="s">
        <v>12</v>
      </c>
      <c r="C95" s="3203"/>
      <c r="D95" s="474">
        <f>+D97+D96</f>
        <v>12317347</v>
      </c>
      <c r="E95" s="475">
        <f>+E97+E96</f>
        <v>3307118</v>
      </c>
      <c r="F95" s="475">
        <f>+F97+F96</f>
        <v>8395694</v>
      </c>
      <c r="G95" s="475">
        <f>+G96+G97</f>
        <v>614535</v>
      </c>
      <c r="H95" s="476">
        <f>+H97+H96</f>
        <v>0</v>
      </c>
      <c r="I95" s="474">
        <f>+I96+I97</f>
        <v>12317347</v>
      </c>
      <c r="J95" s="31">
        <f t="shared" si="92"/>
        <v>100</v>
      </c>
      <c r="K95" s="475">
        <f>+K97+K96</f>
        <v>614535</v>
      </c>
      <c r="L95" s="545">
        <f t="shared" si="81"/>
        <v>100</v>
      </c>
      <c r="M95" s="479">
        <f>+K95-G95</f>
        <v>0</v>
      </c>
      <c r="N95" s="3087"/>
    </row>
    <row r="96" spans="1:14" ht="12.75" hidden="1" customHeight="1" x14ac:dyDescent="0.2">
      <c r="A96" s="3118"/>
      <c r="B96" s="460" t="s">
        <v>11</v>
      </c>
      <c r="C96" s="3086"/>
      <c r="D96" s="480">
        <f>+E96+F96+G96+H96</f>
        <v>0</v>
      </c>
      <c r="E96" s="482">
        <v>0</v>
      </c>
      <c r="F96" s="482">
        <v>0</v>
      </c>
      <c r="G96" s="482">
        <v>0</v>
      </c>
      <c r="H96" s="535">
        <v>0</v>
      </c>
      <c r="I96" s="481">
        <f>E96+F96+K96</f>
        <v>0</v>
      </c>
      <c r="J96" s="465" t="e">
        <f t="shared" si="92"/>
        <v>#DIV/0!</v>
      </c>
      <c r="K96" s="470">
        <v>0</v>
      </c>
      <c r="L96" s="466" t="e">
        <f t="shared" si="81"/>
        <v>#DIV/0!</v>
      </c>
      <c r="M96" s="483">
        <f t="shared" si="87"/>
        <v>0</v>
      </c>
      <c r="N96" s="3087"/>
    </row>
    <row r="97" spans="1:14" ht="12" customHeight="1" thickBot="1" x14ac:dyDescent="0.25">
      <c r="A97" s="3119"/>
      <c r="B97" s="537" t="s">
        <v>14</v>
      </c>
      <c r="C97" s="3108"/>
      <c r="D97" s="500">
        <f>+E97+F97+G97+H97</f>
        <v>12317347</v>
      </c>
      <c r="E97" s="502">
        <v>3307118</v>
      </c>
      <c r="F97" s="502">
        <v>8395694</v>
      </c>
      <c r="G97" s="502">
        <v>614535</v>
      </c>
      <c r="H97" s="548">
        <v>0</v>
      </c>
      <c r="I97" s="504">
        <f>E97+F97+K97</f>
        <v>12317347</v>
      </c>
      <c r="J97" s="539">
        <f t="shared" si="92"/>
        <v>100</v>
      </c>
      <c r="K97" s="502">
        <v>614535</v>
      </c>
      <c r="L97" s="549">
        <f t="shared" si="81"/>
        <v>100</v>
      </c>
      <c r="M97" s="502">
        <f>+K97-G97</f>
        <v>0</v>
      </c>
      <c r="N97" s="3090"/>
    </row>
    <row r="98" spans="1:14" s="511" customFormat="1" ht="25.5" customHeight="1" thickBot="1" x14ac:dyDescent="0.25">
      <c r="A98" s="3136" t="s">
        <v>41</v>
      </c>
      <c r="B98" s="541" t="s">
        <v>243</v>
      </c>
      <c r="C98" s="443" t="s">
        <v>168</v>
      </c>
      <c r="D98" s="444"/>
      <c r="E98" s="445"/>
      <c r="F98" s="445"/>
      <c r="G98" s="445"/>
      <c r="H98" s="446"/>
      <c r="I98" s="444"/>
      <c r="J98" s="445"/>
      <c r="K98" s="445"/>
      <c r="L98" s="449"/>
      <c r="M98" s="445"/>
      <c r="N98" s="450" t="s">
        <v>36</v>
      </c>
    </row>
    <row r="99" spans="1:14" s="511" customFormat="1" ht="11.25" customHeight="1" x14ac:dyDescent="0.2">
      <c r="A99" s="3116"/>
      <c r="B99" s="334" t="s">
        <v>2</v>
      </c>
      <c r="C99" s="27"/>
      <c r="D99" s="513">
        <f t="shared" ref="D99:I99" si="96">+D100+D104</f>
        <v>39398906</v>
      </c>
      <c r="E99" s="514">
        <f t="shared" si="96"/>
        <v>13836080</v>
      </c>
      <c r="F99" s="514">
        <f>+F100+F104</f>
        <v>25505841</v>
      </c>
      <c r="G99" s="514">
        <f t="shared" si="96"/>
        <v>16985</v>
      </c>
      <c r="H99" s="514">
        <f t="shared" si="96"/>
        <v>40000</v>
      </c>
      <c r="I99" s="513">
        <f t="shared" si="96"/>
        <v>39358906</v>
      </c>
      <c r="J99" s="516">
        <f t="shared" si="92"/>
        <v>99.898474338348379</v>
      </c>
      <c r="K99" s="514">
        <f>+K100+K104</f>
        <v>16985</v>
      </c>
      <c r="L99" s="543">
        <f t="shared" si="81"/>
        <v>100</v>
      </c>
      <c r="M99" s="453">
        <f t="shared" ref="M99:M104" si="97">+K99-G99</f>
        <v>0</v>
      </c>
      <c r="N99" s="3174" t="s">
        <v>37</v>
      </c>
    </row>
    <row r="100" spans="1:14" s="511" customFormat="1" ht="12" customHeight="1" x14ac:dyDescent="0.2">
      <c r="A100" s="3117"/>
      <c r="B100" s="454" t="s">
        <v>17</v>
      </c>
      <c r="C100" s="3086" t="s">
        <v>38</v>
      </c>
      <c r="D100" s="544">
        <f t="shared" ref="D100:I100" si="98">+D101+D103+D102</f>
        <v>10987189</v>
      </c>
      <c r="E100" s="521">
        <f t="shared" si="98"/>
        <v>7022244</v>
      </c>
      <c r="F100" s="521">
        <f>+F101+F103+F102</f>
        <v>3907960</v>
      </c>
      <c r="G100" s="521">
        <f t="shared" si="98"/>
        <v>16985</v>
      </c>
      <c r="H100" s="521">
        <f t="shared" si="98"/>
        <v>40000</v>
      </c>
      <c r="I100" s="544">
        <f t="shared" si="98"/>
        <v>10947189</v>
      </c>
      <c r="J100" s="31">
        <f t="shared" si="92"/>
        <v>99.635939638427999</v>
      </c>
      <c r="K100" s="521">
        <f>+K101+K103+K102</f>
        <v>16985</v>
      </c>
      <c r="L100" s="545">
        <f t="shared" si="81"/>
        <v>100</v>
      </c>
      <c r="M100" s="459">
        <f t="shared" si="97"/>
        <v>0</v>
      </c>
      <c r="N100" s="3170"/>
    </row>
    <row r="101" spans="1:14" s="511" customFormat="1" ht="12" customHeight="1" x14ac:dyDescent="0.2">
      <c r="A101" s="3117"/>
      <c r="B101" s="460" t="s">
        <v>4</v>
      </c>
      <c r="C101" s="3087"/>
      <c r="D101" s="461">
        <f>++E101+F101+G101+H101</f>
        <v>4156352</v>
      </c>
      <c r="E101" s="463">
        <f>23116+143094+1131259</f>
        <v>1297469</v>
      </c>
      <c r="F101" s="463">
        <v>2801898</v>
      </c>
      <c r="G101" s="463">
        <v>16985</v>
      </c>
      <c r="H101" s="463">
        <v>40000</v>
      </c>
      <c r="I101" s="550">
        <f>E101+F101+K101</f>
        <v>4116352</v>
      </c>
      <c r="J101" s="465">
        <f t="shared" si="92"/>
        <v>99.037617603128908</v>
      </c>
      <c r="K101" s="463">
        <v>16985</v>
      </c>
      <c r="L101" s="466">
        <f t="shared" si="81"/>
        <v>100</v>
      </c>
      <c r="M101" s="467">
        <f t="shared" si="97"/>
        <v>0</v>
      </c>
      <c r="N101" s="3170"/>
    </row>
    <row r="102" spans="1:14" s="511" customFormat="1" ht="12" customHeight="1" x14ac:dyDescent="0.2">
      <c r="A102" s="3117"/>
      <c r="B102" s="460" t="s">
        <v>9</v>
      </c>
      <c r="C102" s="3087"/>
      <c r="D102" s="461">
        <f>++E102+F102+G102+H102</f>
        <v>24600</v>
      </c>
      <c r="E102" s="463">
        <v>0</v>
      </c>
      <c r="F102" s="463">
        <v>24600</v>
      </c>
      <c r="G102" s="470">
        <v>0</v>
      </c>
      <c r="H102" s="468">
        <v>0</v>
      </c>
      <c r="I102" s="550">
        <f>E102+F102+K102</f>
        <v>24600</v>
      </c>
      <c r="J102" s="469">
        <f t="shared" si="92"/>
        <v>100</v>
      </c>
      <c r="K102" s="470">
        <v>0</v>
      </c>
      <c r="L102" s="471">
        <v>0</v>
      </c>
      <c r="M102" s="467">
        <f t="shared" si="97"/>
        <v>0</v>
      </c>
      <c r="N102" s="3170"/>
    </row>
    <row r="103" spans="1:14" s="523" customFormat="1" ht="12" customHeight="1" x14ac:dyDescent="0.2">
      <c r="A103" s="3117"/>
      <c r="B103" s="460" t="s">
        <v>11</v>
      </c>
      <c r="C103" s="3087"/>
      <c r="D103" s="461">
        <f>+E103+F103+G103+H103</f>
        <v>6806237</v>
      </c>
      <c r="E103" s="463">
        <f>16111+80867+5627797</f>
        <v>5724775</v>
      </c>
      <c r="F103" s="463">
        <v>1081462</v>
      </c>
      <c r="G103" s="470">
        <v>0</v>
      </c>
      <c r="H103" s="468">
        <v>0</v>
      </c>
      <c r="I103" s="550">
        <f>E103+F103+K103</f>
        <v>6806237</v>
      </c>
      <c r="J103" s="465">
        <f t="shared" si="92"/>
        <v>100</v>
      </c>
      <c r="K103" s="470">
        <v>0</v>
      </c>
      <c r="L103" s="483">
        <v>0</v>
      </c>
      <c r="M103" s="467">
        <f t="shared" si="97"/>
        <v>0</v>
      </c>
      <c r="N103" s="3170"/>
    </row>
    <row r="104" spans="1:14" s="511" customFormat="1" ht="12" customHeight="1" x14ac:dyDescent="0.2">
      <c r="A104" s="3117"/>
      <c r="B104" s="473" t="s">
        <v>12</v>
      </c>
      <c r="C104" s="3087"/>
      <c r="D104" s="474">
        <f>+D106+D105</f>
        <v>28411717</v>
      </c>
      <c r="E104" s="475">
        <f>+E106+E105</f>
        <v>6813836</v>
      </c>
      <c r="F104" s="475">
        <f>+F106+F105</f>
        <v>21597881</v>
      </c>
      <c r="G104" s="477">
        <f>++G105+G106</f>
        <v>0</v>
      </c>
      <c r="H104" s="476">
        <f>+H106+H105</f>
        <v>0</v>
      </c>
      <c r="I104" s="474">
        <f>+I105+I106</f>
        <v>28411717</v>
      </c>
      <c r="J104" s="31">
        <f t="shared" si="92"/>
        <v>100</v>
      </c>
      <c r="K104" s="477">
        <f>+K106+K105</f>
        <v>0</v>
      </c>
      <c r="L104" s="478">
        <v>0</v>
      </c>
      <c r="M104" s="479">
        <f t="shared" si="97"/>
        <v>0</v>
      </c>
      <c r="N104" s="3170"/>
    </row>
    <row r="105" spans="1:14" s="511" customFormat="1" ht="12" hidden="1" customHeight="1" x14ac:dyDescent="0.2">
      <c r="A105" s="3117"/>
      <c r="B105" s="460" t="s">
        <v>11</v>
      </c>
      <c r="C105" s="3087"/>
      <c r="D105" s="480">
        <f>+E105+F105+G105+H105</f>
        <v>0</v>
      </c>
      <c r="E105" s="470">
        <v>0</v>
      </c>
      <c r="F105" s="482">
        <v>0</v>
      </c>
      <c r="G105" s="482">
        <v>0</v>
      </c>
      <c r="H105" s="535">
        <v>0</v>
      </c>
      <c r="I105" s="481">
        <f>E105+F105+K105</f>
        <v>0</v>
      </c>
      <c r="J105" s="465" t="e">
        <f t="shared" si="92"/>
        <v>#DIV/0!</v>
      </c>
      <c r="K105" s="482">
        <v>0</v>
      </c>
      <c r="L105" s="483" t="e">
        <f t="shared" si="81"/>
        <v>#DIV/0!</v>
      </c>
      <c r="M105" s="483">
        <f t="shared" si="87"/>
        <v>0</v>
      </c>
      <c r="N105" s="3170"/>
    </row>
    <row r="106" spans="1:14" s="511" customFormat="1" ht="12" customHeight="1" x14ac:dyDescent="0.2">
      <c r="A106" s="3117"/>
      <c r="B106" s="460" t="s">
        <v>14</v>
      </c>
      <c r="C106" s="3087"/>
      <c r="D106" s="461">
        <f>+E106+F106+G106+H106</f>
        <v>28411717</v>
      </c>
      <c r="E106" s="463">
        <f>67256+337569+6409011</f>
        <v>6813836</v>
      </c>
      <c r="F106" s="463">
        <v>21597881</v>
      </c>
      <c r="G106" s="470">
        <v>0</v>
      </c>
      <c r="H106" s="468">
        <v>0</v>
      </c>
      <c r="I106" s="550">
        <f>E106+F106+K106</f>
        <v>28411717</v>
      </c>
      <c r="J106" s="469">
        <f t="shared" si="92"/>
        <v>100</v>
      </c>
      <c r="K106" s="470">
        <v>0</v>
      </c>
      <c r="L106" s="471">
        <v>0</v>
      </c>
      <c r="M106" s="467">
        <f t="shared" ref="M106:M113" si="99">+K106-G106</f>
        <v>0</v>
      </c>
      <c r="N106" s="3170"/>
    </row>
    <row r="107" spans="1:14" s="511" customFormat="1" ht="11.25" customHeight="1" x14ac:dyDescent="0.2">
      <c r="A107" s="3118"/>
      <c r="B107" s="334" t="s">
        <v>16</v>
      </c>
      <c r="C107" s="27"/>
      <c r="D107" s="415">
        <f t="shared" ref="D107:I107" si="100">+D111+D108</f>
        <v>35242554</v>
      </c>
      <c r="E107" s="416">
        <f t="shared" ref="E107" si="101">+E111+E108</f>
        <v>7901349</v>
      </c>
      <c r="F107" s="416">
        <f>+F111+F108</f>
        <v>25067751</v>
      </c>
      <c r="G107" s="416">
        <f t="shared" si="100"/>
        <v>2273454</v>
      </c>
      <c r="H107" s="484">
        <f t="shared" si="100"/>
        <v>0</v>
      </c>
      <c r="I107" s="415">
        <f t="shared" si="100"/>
        <v>35242554</v>
      </c>
      <c r="J107" s="29">
        <f t="shared" si="92"/>
        <v>100</v>
      </c>
      <c r="K107" s="416">
        <f>+K111+K108</f>
        <v>2273454</v>
      </c>
      <c r="L107" s="452">
        <f t="shared" si="81"/>
        <v>100</v>
      </c>
      <c r="M107" s="453">
        <f t="shared" si="99"/>
        <v>0</v>
      </c>
      <c r="N107" s="3087" t="s">
        <v>39</v>
      </c>
    </row>
    <row r="108" spans="1:14" s="511" customFormat="1" x14ac:dyDescent="0.2">
      <c r="A108" s="3118"/>
      <c r="B108" s="454" t="s">
        <v>17</v>
      </c>
      <c r="C108" s="551"/>
      <c r="D108" s="490">
        <f>D110+D109</f>
        <v>6830837</v>
      </c>
      <c r="E108" s="547">
        <f t="shared" ref="E108:F108" si="102">E110+E109</f>
        <v>4171661</v>
      </c>
      <c r="F108" s="547">
        <f t="shared" si="102"/>
        <v>2219807</v>
      </c>
      <c r="G108" s="547">
        <f t="shared" ref="G108:K108" si="103">G110+G109</f>
        <v>439369</v>
      </c>
      <c r="H108" s="552">
        <f t="shared" si="103"/>
        <v>0</v>
      </c>
      <c r="I108" s="553">
        <f t="shared" si="103"/>
        <v>6830837</v>
      </c>
      <c r="J108" s="31">
        <f t="shared" si="92"/>
        <v>100</v>
      </c>
      <c r="K108" s="547">
        <f t="shared" si="103"/>
        <v>439369</v>
      </c>
      <c r="L108" s="545">
        <f t="shared" si="81"/>
        <v>100</v>
      </c>
      <c r="M108" s="459">
        <f t="shared" si="99"/>
        <v>0</v>
      </c>
      <c r="N108" s="3087"/>
    </row>
    <row r="109" spans="1:14" s="511" customFormat="1" x14ac:dyDescent="0.2">
      <c r="A109" s="3118"/>
      <c r="B109" s="460" t="s">
        <v>9</v>
      </c>
      <c r="C109" s="551"/>
      <c r="D109" s="461">
        <f>++E109+F109+G109+H109</f>
        <v>24600</v>
      </c>
      <c r="E109" s="463">
        <v>0</v>
      </c>
      <c r="F109" s="554">
        <f>374600-350000</f>
        <v>24600</v>
      </c>
      <c r="G109" s="463">
        <v>0</v>
      </c>
      <c r="H109" s="496">
        <v>0</v>
      </c>
      <c r="I109" s="550">
        <f>E109+F109+K109</f>
        <v>24600</v>
      </c>
      <c r="J109" s="465">
        <f t="shared" si="92"/>
        <v>100</v>
      </c>
      <c r="K109" s="555">
        <v>0</v>
      </c>
      <c r="L109" s="483">
        <v>0</v>
      </c>
      <c r="M109" s="467">
        <f t="shared" si="99"/>
        <v>0</v>
      </c>
      <c r="N109" s="3087"/>
    </row>
    <row r="110" spans="1:14" s="523" customFormat="1" ht="13.5" thickBot="1" x14ac:dyDescent="0.25">
      <c r="A110" s="3119"/>
      <c r="B110" s="460" t="s">
        <v>11</v>
      </c>
      <c r="C110" s="551"/>
      <c r="D110" s="461">
        <f>++E110+F110+G110+H110</f>
        <v>6806237</v>
      </c>
      <c r="E110" s="556">
        <v>4171661</v>
      </c>
      <c r="F110" s="556">
        <v>2195207</v>
      </c>
      <c r="G110" s="556">
        <v>439369</v>
      </c>
      <c r="H110" s="468">
        <v>0</v>
      </c>
      <c r="I110" s="550">
        <f>E110+F110+K110</f>
        <v>6806237</v>
      </c>
      <c r="J110" s="469">
        <f t="shared" si="92"/>
        <v>100</v>
      </c>
      <c r="K110" s="556">
        <v>439369</v>
      </c>
      <c r="L110" s="557">
        <f t="shared" si="81"/>
        <v>100</v>
      </c>
      <c r="M110" s="467">
        <f t="shared" si="99"/>
        <v>0</v>
      </c>
      <c r="N110" s="3087"/>
    </row>
    <row r="111" spans="1:14" s="511" customFormat="1" ht="12" customHeight="1" x14ac:dyDescent="0.2">
      <c r="A111" s="3205"/>
      <c r="B111" s="473" t="s">
        <v>12</v>
      </c>
      <c r="C111" s="3086" t="s">
        <v>34</v>
      </c>
      <c r="D111" s="558">
        <f>+D113+D112</f>
        <v>28411717</v>
      </c>
      <c r="E111" s="559">
        <f>+E113+E112</f>
        <v>3729688</v>
      </c>
      <c r="F111" s="560">
        <f>+F113+F112</f>
        <v>22847944</v>
      </c>
      <c r="G111" s="560">
        <f>+G112+G113</f>
        <v>1834085</v>
      </c>
      <c r="H111" s="561">
        <f>+H113+H112</f>
        <v>0</v>
      </c>
      <c r="I111" s="558">
        <f>+I112+I113</f>
        <v>28411717</v>
      </c>
      <c r="J111" s="31">
        <f t="shared" si="92"/>
        <v>100</v>
      </c>
      <c r="K111" s="559">
        <f>+K113+K112</f>
        <v>1834085</v>
      </c>
      <c r="L111" s="545">
        <f t="shared" si="81"/>
        <v>100</v>
      </c>
      <c r="M111" s="459">
        <f t="shared" si="99"/>
        <v>0</v>
      </c>
      <c r="N111" s="3087"/>
    </row>
    <row r="112" spans="1:14" s="511" customFormat="1" ht="12" hidden="1" customHeight="1" x14ac:dyDescent="0.2">
      <c r="A112" s="3118"/>
      <c r="B112" s="460" t="s">
        <v>11</v>
      </c>
      <c r="C112" s="3086"/>
      <c r="D112" s="480">
        <f>+E112+F112+G112+H112</f>
        <v>0</v>
      </c>
      <c r="E112" s="482">
        <v>0</v>
      </c>
      <c r="F112" s="470">
        <v>0</v>
      </c>
      <c r="G112" s="470">
        <v>0</v>
      </c>
      <c r="H112" s="468">
        <v>0</v>
      </c>
      <c r="I112" s="481">
        <f>E112+F112+K112</f>
        <v>0</v>
      </c>
      <c r="J112" s="465" t="e">
        <f t="shared" si="92"/>
        <v>#DIV/0!</v>
      </c>
      <c r="K112" s="470">
        <v>0</v>
      </c>
      <c r="L112" s="466" t="e">
        <f t="shared" si="81"/>
        <v>#DIV/0!</v>
      </c>
      <c r="M112" s="467">
        <f t="shared" si="99"/>
        <v>0</v>
      </c>
      <c r="N112" s="3087"/>
    </row>
    <row r="113" spans="1:14" s="511" customFormat="1" ht="12" customHeight="1" thickBot="1" x14ac:dyDescent="0.25">
      <c r="A113" s="3119"/>
      <c r="B113" s="562" t="s">
        <v>14</v>
      </c>
      <c r="C113" s="3090"/>
      <c r="D113" s="500">
        <f>+E113+F113+G113+H113</f>
        <v>28411717</v>
      </c>
      <c r="E113" s="563">
        <v>3729688</v>
      </c>
      <c r="F113" s="563">
        <v>22847944</v>
      </c>
      <c r="G113" s="563">
        <v>1834085</v>
      </c>
      <c r="H113" s="564">
        <v>0</v>
      </c>
      <c r="I113" s="565">
        <f>E113+F113+K113</f>
        <v>28411717</v>
      </c>
      <c r="J113" s="539">
        <f t="shared" si="92"/>
        <v>100</v>
      </c>
      <c r="K113" s="563">
        <v>1834085</v>
      </c>
      <c r="L113" s="549">
        <f t="shared" si="81"/>
        <v>100</v>
      </c>
      <c r="M113" s="467">
        <f t="shared" si="99"/>
        <v>0</v>
      </c>
      <c r="N113" s="3090"/>
    </row>
    <row r="114" spans="1:14" s="511" customFormat="1" ht="27" customHeight="1" x14ac:dyDescent="0.2">
      <c r="A114" s="3116" t="s">
        <v>43</v>
      </c>
      <c r="B114" s="541" t="s">
        <v>244</v>
      </c>
      <c r="C114" s="443" t="s">
        <v>168</v>
      </c>
      <c r="D114" s="444"/>
      <c r="E114" s="445"/>
      <c r="F114" s="445"/>
      <c r="G114" s="445"/>
      <c r="H114" s="446"/>
      <c r="I114" s="444"/>
      <c r="J114" s="445"/>
      <c r="K114" s="445"/>
      <c r="L114" s="449"/>
      <c r="M114" s="449"/>
      <c r="N114" s="450" t="s">
        <v>36</v>
      </c>
    </row>
    <row r="115" spans="1:14" s="511" customFormat="1" x14ac:dyDescent="0.2">
      <c r="A115" s="3117"/>
      <c r="B115" s="566" t="s">
        <v>2</v>
      </c>
      <c r="C115" s="567"/>
      <c r="D115" s="513">
        <f t="shared" ref="D115:H115" si="104">+D116+D120</f>
        <v>39011741.769999996</v>
      </c>
      <c r="E115" s="514">
        <f t="shared" si="104"/>
        <v>25786998</v>
      </c>
      <c r="F115" s="514">
        <f>+F116+F120</f>
        <v>13209643.77</v>
      </c>
      <c r="G115" s="514">
        <f t="shared" si="104"/>
        <v>15100</v>
      </c>
      <c r="H115" s="568">
        <f t="shared" si="104"/>
        <v>0</v>
      </c>
      <c r="I115" s="513">
        <f>+I116+I120</f>
        <v>39011741.769999996</v>
      </c>
      <c r="J115" s="516">
        <f t="shared" si="92"/>
        <v>100</v>
      </c>
      <c r="K115" s="514">
        <f>+K116+K120</f>
        <v>15100</v>
      </c>
      <c r="L115" s="543">
        <f t="shared" si="81"/>
        <v>100</v>
      </c>
      <c r="M115" s="453">
        <f>+K115-G115</f>
        <v>0</v>
      </c>
      <c r="N115" s="3174" t="s">
        <v>37</v>
      </c>
    </row>
    <row r="116" spans="1:14" s="511" customFormat="1" ht="13.5" customHeight="1" x14ac:dyDescent="0.2">
      <c r="A116" s="3117"/>
      <c r="B116" s="569" t="s">
        <v>17</v>
      </c>
      <c r="C116" s="3201" t="s">
        <v>38</v>
      </c>
      <c r="D116" s="519">
        <f t="shared" ref="D116:I116" si="105">+D117+D119+D118</f>
        <v>19717041.77</v>
      </c>
      <c r="E116" s="520">
        <f t="shared" si="105"/>
        <v>17567889</v>
      </c>
      <c r="F116" s="520">
        <f>+F117+F119+F118</f>
        <v>2134052.77</v>
      </c>
      <c r="G116" s="520">
        <f t="shared" si="105"/>
        <v>15100</v>
      </c>
      <c r="H116" s="570">
        <f t="shared" si="105"/>
        <v>0</v>
      </c>
      <c r="I116" s="519">
        <f t="shared" si="105"/>
        <v>19717041.77</v>
      </c>
      <c r="J116" s="31">
        <f t="shared" si="92"/>
        <v>100</v>
      </c>
      <c r="K116" s="571">
        <f>+K117+K119+K118</f>
        <v>15100</v>
      </c>
      <c r="L116" s="545">
        <f t="shared" si="81"/>
        <v>100</v>
      </c>
      <c r="M116" s="459">
        <f>+K116-G116</f>
        <v>0</v>
      </c>
      <c r="N116" s="3170"/>
    </row>
    <row r="117" spans="1:14" s="511" customFormat="1" ht="13.5" customHeight="1" x14ac:dyDescent="0.2">
      <c r="A117" s="3117"/>
      <c r="B117" s="460" t="s">
        <v>4</v>
      </c>
      <c r="C117" s="3201"/>
      <c r="D117" s="461">
        <f>++E117+F117+G117+H117</f>
        <v>389028.7</v>
      </c>
      <c r="E117" s="463">
        <f>67018+38383+20465</f>
        <v>125866</v>
      </c>
      <c r="F117" s="463">
        <v>248062.7</v>
      </c>
      <c r="G117" s="462">
        <v>15100</v>
      </c>
      <c r="H117" s="535">
        <v>0</v>
      </c>
      <c r="I117" s="550">
        <f>E117+F117+K117</f>
        <v>389028.7</v>
      </c>
      <c r="J117" s="465">
        <f t="shared" si="92"/>
        <v>100</v>
      </c>
      <c r="K117" s="463">
        <v>15100</v>
      </c>
      <c r="L117" s="466">
        <f t="shared" si="81"/>
        <v>100</v>
      </c>
      <c r="M117" s="467">
        <f>+K117-G117</f>
        <v>0</v>
      </c>
      <c r="N117" s="3170"/>
    </row>
    <row r="118" spans="1:14" s="511" customFormat="1" ht="13.5" customHeight="1" x14ac:dyDescent="0.2">
      <c r="A118" s="3117"/>
      <c r="B118" s="460" t="s">
        <v>9</v>
      </c>
      <c r="C118" s="3201"/>
      <c r="D118" s="461">
        <f>++E118+F118+G118+H118</f>
        <v>33313.07</v>
      </c>
      <c r="E118" s="463">
        <v>0</v>
      </c>
      <c r="F118" s="462">
        <v>33313.07</v>
      </c>
      <c r="G118" s="482">
        <v>0</v>
      </c>
      <c r="H118" s="468">
        <v>0</v>
      </c>
      <c r="I118" s="550">
        <f>E118+F118+K118</f>
        <v>33313.07</v>
      </c>
      <c r="J118" s="469">
        <f t="shared" si="92"/>
        <v>100</v>
      </c>
      <c r="K118" s="482">
        <v>0</v>
      </c>
      <c r="L118" s="471">
        <v>0</v>
      </c>
      <c r="M118" s="467">
        <f t="shared" ref="M118:M119" si="106">+K118-G118</f>
        <v>0</v>
      </c>
      <c r="N118" s="3170"/>
    </row>
    <row r="119" spans="1:14" s="523" customFormat="1" ht="13.5" customHeight="1" x14ac:dyDescent="0.2">
      <c r="A119" s="3117"/>
      <c r="B119" s="460" t="s">
        <v>11</v>
      </c>
      <c r="C119" s="3201"/>
      <c r="D119" s="461">
        <f>+E119+F119+G119+H119</f>
        <v>19294700</v>
      </c>
      <c r="E119" s="462">
        <v>17442023</v>
      </c>
      <c r="F119" s="462">
        <v>1852677</v>
      </c>
      <c r="G119" s="470">
        <v>0</v>
      </c>
      <c r="H119" s="468">
        <v>0</v>
      </c>
      <c r="I119" s="550">
        <f>E119+F119+K119</f>
        <v>19294700</v>
      </c>
      <c r="J119" s="465">
        <f t="shared" si="92"/>
        <v>100</v>
      </c>
      <c r="K119" s="470">
        <v>0</v>
      </c>
      <c r="L119" s="483">
        <v>0</v>
      </c>
      <c r="M119" s="467">
        <f t="shared" si="106"/>
        <v>0</v>
      </c>
      <c r="N119" s="3170"/>
    </row>
    <row r="120" spans="1:14" s="511" customFormat="1" ht="13.5" customHeight="1" x14ac:dyDescent="0.2">
      <c r="A120" s="3117"/>
      <c r="B120" s="572" t="s">
        <v>12</v>
      </c>
      <c r="C120" s="3201"/>
      <c r="D120" s="474">
        <f t="shared" ref="D120:I120" si="107">+D121+D122</f>
        <v>19294700</v>
      </c>
      <c r="E120" s="475">
        <f t="shared" si="107"/>
        <v>8219109</v>
      </c>
      <c r="F120" s="475">
        <f>+F121+F122</f>
        <v>11075591</v>
      </c>
      <c r="G120" s="477">
        <f t="shared" si="107"/>
        <v>0</v>
      </c>
      <c r="H120" s="476">
        <f t="shared" si="107"/>
        <v>0</v>
      </c>
      <c r="I120" s="474">
        <f t="shared" si="107"/>
        <v>19294700</v>
      </c>
      <c r="J120" s="31">
        <f t="shared" si="92"/>
        <v>100</v>
      </c>
      <c r="K120" s="477">
        <f>+K121+K122</f>
        <v>0</v>
      </c>
      <c r="L120" s="478">
        <v>0</v>
      </c>
      <c r="M120" s="459">
        <f>+K120-G120</f>
        <v>0</v>
      </c>
      <c r="N120" s="3170"/>
    </row>
    <row r="121" spans="1:14" s="511" customFormat="1" ht="13.5" hidden="1" customHeight="1" x14ac:dyDescent="0.2">
      <c r="A121" s="3117"/>
      <c r="B121" s="460" t="s">
        <v>11</v>
      </c>
      <c r="C121" s="3201"/>
      <c r="D121" s="480">
        <f>+E121+F121+G121+H121</f>
        <v>0</v>
      </c>
      <c r="E121" s="470">
        <v>0</v>
      </c>
      <c r="F121" s="482">
        <v>0</v>
      </c>
      <c r="G121" s="482">
        <v>0</v>
      </c>
      <c r="H121" s="535">
        <v>0</v>
      </c>
      <c r="I121" s="481">
        <f>E121+F121+K121</f>
        <v>0</v>
      </c>
      <c r="J121" s="465" t="e">
        <f t="shared" si="92"/>
        <v>#DIV/0!</v>
      </c>
      <c r="K121" s="482">
        <v>0</v>
      </c>
      <c r="L121" s="483" t="e">
        <f t="shared" ref="L121:L168" si="108">K121/G121*100</f>
        <v>#DIV/0!</v>
      </c>
      <c r="M121" s="467">
        <f>+K121-G121</f>
        <v>0</v>
      </c>
      <c r="N121" s="3170"/>
    </row>
    <row r="122" spans="1:14" s="511" customFormat="1" ht="13.5" customHeight="1" thickBot="1" x14ac:dyDescent="0.25">
      <c r="A122" s="3190"/>
      <c r="B122" s="460" t="s">
        <v>14</v>
      </c>
      <c r="C122" s="3201"/>
      <c r="D122" s="461">
        <f>+E122+F122+G122+H122</f>
        <v>19294700</v>
      </c>
      <c r="E122" s="463">
        <f>231800+364780+7622529</f>
        <v>8219109</v>
      </c>
      <c r="F122" s="462">
        <v>11075591</v>
      </c>
      <c r="G122" s="470">
        <v>0</v>
      </c>
      <c r="H122" s="468">
        <v>0</v>
      </c>
      <c r="I122" s="550">
        <f>E122+F122+K122</f>
        <v>19294700</v>
      </c>
      <c r="J122" s="469">
        <f t="shared" si="92"/>
        <v>100</v>
      </c>
      <c r="K122" s="470">
        <v>0</v>
      </c>
      <c r="L122" s="471">
        <v>0</v>
      </c>
      <c r="M122" s="573">
        <f t="shared" si="87"/>
        <v>0</v>
      </c>
      <c r="N122" s="3170"/>
    </row>
    <row r="123" spans="1:14" s="511" customFormat="1" ht="13.5" customHeight="1" x14ac:dyDescent="0.2">
      <c r="A123" s="3116"/>
      <c r="B123" s="334" t="s">
        <v>16</v>
      </c>
      <c r="C123" s="27"/>
      <c r="D123" s="415">
        <f t="shared" ref="D123:I123" si="109">+D127+D124</f>
        <v>38622713</v>
      </c>
      <c r="E123" s="416">
        <f t="shared" ref="E123" si="110">+E127+E124</f>
        <v>17447268</v>
      </c>
      <c r="F123" s="416">
        <f>+F127+F124</f>
        <v>19168189</v>
      </c>
      <c r="G123" s="416">
        <f t="shared" si="109"/>
        <v>2007256</v>
      </c>
      <c r="H123" s="484">
        <f t="shared" si="109"/>
        <v>0</v>
      </c>
      <c r="I123" s="415">
        <f t="shared" si="109"/>
        <v>38622713</v>
      </c>
      <c r="J123" s="29">
        <f t="shared" si="92"/>
        <v>100</v>
      </c>
      <c r="K123" s="416">
        <f>+K127+K124</f>
        <v>2007256</v>
      </c>
      <c r="L123" s="452">
        <f t="shared" si="108"/>
        <v>100</v>
      </c>
      <c r="M123" s="453">
        <f t="shared" ref="M123:M129" si="111">+K123-G123</f>
        <v>0</v>
      </c>
      <c r="N123" s="3087" t="s">
        <v>39</v>
      </c>
    </row>
    <row r="124" spans="1:14" s="511" customFormat="1" ht="13.5" customHeight="1" x14ac:dyDescent="0.2">
      <c r="A124" s="3117"/>
      <c r="B124" s="569" t="s">
        <v>17</v>
      </c>
      <c r="C124" s="3201" t="s">
        <v>34</v>
      </c>
      <c r="D124" s="490">
        <f t="shared" ref="D124:I124" si="112">D126+D125</f>
        <v>19328013</v>
      </c>
      <c r="E124" s="547">
        <f t="shared" ref="E124" si="113">E126+E125</f>
        <v>17447268</v>
      </c>
      <c r="F124" s="547">
        <f>F126+F125</f>
        <v>877117</v>
      </c>
      <c r="G124" s="547">
        <f t="shared" si="112"/>
        <v>1003628</v>
      </c>
      <c r="H124" s="570">
        <f t="shared" si="112"/>
        <v>0</v>
      </c>
      <c r="I124" s="490">
        <f t="shared" si="112"/>
        <v>19328013</v>
      </c>
      <c r="J124" s="31">
        <f t="shared" si="92"/>
        <v>100</v>
      </c>
      <c r="K124" s="456">
        <f>K126+K125</f>
        <v>1003628</v>
      </c>
      <c r="L124" s="545">
        <f t="shared" si="108"/>
        <v>100</v>
      </c>
      <c r="M124" s="459">
        <f t="shared" si="111"/>
        <v>0</v>
      </c>
      <c r="N124" s="3087"/>
    </row>
    <row r="125" spans="1:14" s="511" customFormat="1" ht="13.5" customHeight="1" x14ac:dyDescent="0.2">
      <c r="A125" s="3117"/>
      <c r="B125" s="460" t="s">
        <v>9</v>
      </c>
      <c r="C125" s="3201"/>
      <c r="D125" s="461">
        <f>+E125+F125+G125+H125</f>
        <v>33313</v>
      </c>
      <c r="E125" s="574">
        <v>0</v>
      </c>
      <c r="F125" s="575">
        <v>33313</v>
      </c>
      <c r="G125" s="574">
        <v>0</v>
      </c>
      <c r="H125" s="534">
        <v>0</v>
      </c>
      <c r="I125" s="550">
        <f>E125+F125+K125</f>
        <v>33313</v>
      </c>
      <c r="J125" s="465">
        <f t="shared" si="92"/>
        <v>100</v>
      </c>
      <c r="K125" s="555">
        <v>0</v>
      </c>
      <c r="L125" s="483">
        <v>0</v>
      </c>
      <c r="M125" s="467">
        <f t="shared" si="111"/>
        <v>0</v>
      </c>
      <c r="N125" s="3087"/>
    </row>
    <row r="126" spans="1:14" s="523" customFormat="1" ht="13.5" customHeight="1" x14ac:dyDescent="0.2">
      <c r="A126" s="3117"/>
      <c r="B126" s="460" t="s">
        <v>11</v>
      </c>
      <c r="C126" s="3201"/>
      <c r="D126" s="461">
        <f>+E126+F126+G126+H126</f>
        <v>19294700</v>
      </c>
      <c r="E126" s="574">
        <v>17447268</v>
      </c>
      <c r="F126" s="574">
        <v>843804</v>
      </c>
      <c r="G126" s="574">
        <v>1003628</v>
      </c>
      <c r="H126" s="535">
        <v>0</v>
      </c>
      <c r="I126" s="550">
        <f>E126+F126+K126</f>
        <v>19294700</v>
      </c>
      <c r="J126" s="469">
        <f t="shared" si="92"/>
        <v>100</v>
      </c>
      <c r="K126" s="463">
        <v>1003628</v>
      </c>
      <c r="L126" s="557">
        <f t="shared" si="108"/>
        <v>100</v>
      </c>
      <c r="M126" s="467">
        <f t="shared" si="111"/>
        <v>0</v>
      </c>
      <c r="N126" s="3087"/>
    </row>
    <row r="127" spans="1:14" s="511" customFormat="1" ht="13.5" customHeight="1" x14ac:dyDescent="0.2">
      <c r="A127" s="3117"/>
      <c r="B127" s="572" t="s">
        <v>12</v>
      </c>
      <c r="C127" s="3201"/>
      <c r="D127" s="558">
        <f>+D128+D129</f>
        <v>19294700</v>
      </c>
      <c r="E127" s="559">
        <v>0</v>
      </c>
      <c r="F127" s="559">
        <f>+F128+F129</f>
        <v>18291072</v>
      </c>
      <c r="G127" s="559">
        <f>+G128+G129</f>
        <v>1003628</v>
      </c>
      <c r="H127" s="576">
        <f>+H128+H129</f>
        <v>0</v>
      </c>
      <c r="I127" s="558">
        <f>+I128+I129</f>
        <v>19294700</v>
      </c>
      <c r="J127" s="31">
        <f t="shared" si="92"/>
        <v>100</v>
      </c>
      <c r="K127" s="559">
        <f>+K128+K129</f>
        <v>1003628</v>
      </c>
      <c r="L127" s="545">
        <f t="shared" si="108"/>
        <v>100</v>
      </c>
      <c r="M127" s="459">
        <f t="shared" si="111"/>
        <v>0</v>
      </c>
      <c r="N127" s="3087"/>
    </row>
    <row r="128" spans="1:14" s="511" customFormat="1" ht="13.5" hidden="1" customHeight="1" x14ac:dyDescent="0.2">
      <c r="A128" s="3117"/>
      <c r="B128" s="460" t="s">
        <v>11</v>
      </c>
      <c r="C128" s="3201"/>
      <c r="D128" s="480">
        <f>+E128+F128+G128+H128</f>
        <v>0</v>
      </c>
      <c r="E128" s="482">
        <v>0</v>
      </c>
      <c r="F128" s="482">
        <v>0</v>
      </c>
      <c r="G128" s="482">
        <v>0</v>
      </c>
      <c r="H128" s="535">
        <v>0</v>
      </c>
      <c r="I128" s="481">
        <f>E128+F128+K128</f>
        <v>0</v>
      </c>
      <c r="J128" s="465" t="e">
        <f t="shared" si="92"/>
        <v>#DIV/0!</v>
      </c>
      <c r="K128" s="470">
        <v>0</v>
      </c>
      <c r="L128" s="466" t="e">
        <f t="shared" si="108"/>
        <v>#DIV/0!</v>
      </c>
      <c r="M128" s="467">
        <f t="shared" si="111"/>
        <v>0</v>
      </c>
      <c r="N128" s="3087"/>
    </row>
    <row r="129" spans="1:14" s="511" customFormat="1" ht="13.5" customHeight="1" thickBot="1" x14ac:dyDescent="0.25">
      <c r="A129" s="3190"/>
      <c r="B129" s="562" t="s">
        <v>14</v>
      </c>
      <c r="C129" s="3202"/>
      <c r="D129" s="500">
        <f>+E129+F129+G129+H129</f>
        <v>19294700</v>
      </c>
      <c r="E129" s="577">
        <v>0</v>
      </c>
      <c r="F129" s="577">
        <v>18291072</v>
      </c>
      <c r="G129" s="577">
        <v>1003628</v>
      </c>
      <c r="H129" s="578">
        <v>0</v>
      </c>
      <c r="I129" s="565">
        <f>E129+F129+K129</f>
        <v>19294700</v>
      </c>
      <c r="J129" s="539">
        <f t="shared" si="92"/>
        <v>100</v>
      </c>
      <c r="K129" s="502">
        <v>1003628</v>
      </c>
      <c r="L129" s="549">
        <f t="shared" si="108"/>
        <v>100</v>
      </c>
      <c r="M129" s="502">
        <f t="shared" si="111"/>
        <v>0</v>
      </c>
      <c r="N129" s="3090"/>
    </row>
    <row r="130" spans="1:14" s="511" customFormat="1" ht="28.5" customHeight="1" x14ac:dyDescent="0.2">
      <c r="A130" s="3196" t="s">
        <v>44</v>
      </c>
      <c r="B130" s="579" t="s">
        <v>245</v>
      </c>
      <c r="C130" s="580" t="s">
        <v>168</v>
      </c>
      <c r="D130" s="581"/>
      <c r="E130" s="582"/>
      <c r="F130" s="582"/>
      <c r="G130" s="582"/>
      <c r="H130" s="583"/>
      <c r="I130" s="581"/>
      <c r="J130" s="582"/>
      <c r="K130" s="582"/>
      <c r="L130" s="584"/>
      <c r="M130" s="584"/>
      <c r="N130" s="450" t="s">
        <v>36</v>
      </c>
    </row>
    <row r="131" spans="1:14" s="511" customFormat="1" ht="14.25" customHeight="1" x14ac:dyDescent="0.2">
      <c r="A131" s="3110"/>
      <c r="B131" s="566" t="s">
        <v>2</v>
      </c>
      <c r="C131" s="27"/>
      <c r="D131" s="513">
        <f t="shared" ref="D131:I131" si="114">+D132+D135</f>
        <v>15892642.809999999</v>
      </c>
      <c r="E131" s="514">
        <f t="shared" si="114"/>
        <v>8875447</v>
      </c>
      <c r="F131" s="514">
        <f>+F132+F135</f>
        <v>6851152.8099999996</v>
      </c>
      <c r="G131" s="514">
        <f t="shared" si="114"/>
        <v>46043</v>
      </c>
      <c r="H131" s="514">
        <f t="shared" si="114"/>
        <v>120000</v>
      </c>
      <c r="I131" s="513">
        <f t="shared" si="114"/>
        <v>15772642.309999999</v>
      </c>
      <c r="J131" s="516">
        <f t="shared" si="92"/>
        <v>99.244930491205068</v>
      </c>
      <c r="K131" s="514">
        <f>+K132+K135</f>
        <v>46042.5</v>
      </c>
      <c r="L131" s="543">
        <f t="shared" si="108"/>
        <v>99.998914058597393</v>
      </c>
      <c r="M131" s="453">
        <f t="shared" ref="M131:M136" si="115">+K131-G131</f>
        <v>-0.5</v>
      </c>
      <c r="N131" s="3174" t="s">
        <v>37</v>
      </c>
    </row>
    <row r="132" spans="1:14" s="511" customFormat="1" ht="14.25" customHeight="1" x14ac:dyDescent="0.2">
      <c r="A132" s="3110"/>
      <c r="B132" s="569" t="s">
        <v>17</v>
      </c>
      <c r="C132" s="3086" t="s">
        <v>38</v>
      </c>
      <c r="D132" s="544">
        <f t="shared" ref="D132:I132" si="116">+D133+D134</f>
        <v>8085029.6699999999</v>
      </c>
      <c r="E132" s="521">
        <f t="shared" si="116"/>
        <v>6220634</v>
      </c>
      <c r="F132" s="521">
        <f>+F133+F134</f>
        <v>1698352.67</v>
      </c>
      <c r="G132" s="521">
        <f t="shared" si="116"/>
        <v>46043</v>
      </c>
      <c r="H132" s="521">
        <f t="shared" si="116"/>
        <v>120000</v>
      </c>
      <c r="I132" s="544">
        <f t="shared" si="116"/>
        <v>7965029.1699999999</v>
      </c>
      <c r="J132" s="31">
        <f t="shared" si="92"/>
        <v>98.515769206818504</v>
      </c>
      <c r="K132" s="521">
        <f>+K133+K134</f>
        <v>46042.5</v>
      </c>
      <c r="L132" s="545">
        <f t="shared" si="108"/>
        <v>99.998914058597393</v>
      </c>
      <c r="M132" s="459">
        <f t="shared" si="115"/>
        <v>-0.5</v>
      </c>
      <c r="N132" s="3170"/>
    </row>
    <row r="133" spans="1:14" s="511" customFormat="1" ht="14.25" customHeight="1" x14ac:dyDescent="0.2">
      <c r="A133" s="3110"/>
      <c r="B133" s="460" t="s">
        <v>4</v>
      </c>
      <c r="C133" s="3086"/>
      <c r="D133" s="461">
        <f>+E133+F133+G133+H133</f>
        <v>277417</v>
      </c>
      <c r="E133" s="463">
        <f>15437+692+1402</f>
        <v>17531</v>
      </c>
      <c r="F133" s="462">
        <v>93843</v>
      </c>
      <c r="G133" s="462">
        <v>46043</v>
      </c>
      <c r="H133" s="462">
        <v>120000</v>
      </c>
      <c r="I133" s="550">
        <f>E133+F133+K133</f>
        <v>157416.5</v>
      </c>
      <c r="J133" s="465">
        <f t="shared" si="92"/>
        <v>56.743638637862858</v>
      </c>
      <c r="K133" s="462">
        <v>46042.5</v>
      </c>
      <c r="L133" s="466">
        <f t="shared" si="108"/>
        <v>99.998914058597393</v>
      </c>
      <c r="M133" s="467">
        <f t="shared" si="115"/>
        <v>-0.5</v>
      </c>
      <c r="N133" s="3170"/>
    </row>
    <row r="134" spans="1:14" s="523" customFormat="1" ht="14.25" customHeight="1" thickBot="1" x14ac:dyDescent="0.25">
      <c r="A134" s="3197"/>
      <c r="B134" s="460" t="s">
        <v>11</v>
      </c>
      <c r="C134" s="3086"/>
      <c r="D134" s="461">
        <f>+E134+F134+G134+H134</f>
        <v>7807612.6699999999</v>
      </c>
      <c r="E134" s="462">
        <f>170850+6032253</f>
        <v>6203103</v>
      </c>
      <c r="F134" s="462">
        <f>1179884.68+424624.99</f>
        <v>1604509.67</v>
      </c>
      <c r="G134" s="482">
        <v>0</v>
      </c>
      <c r="H134" s="468">
        <v>0</v>
      </c>
      <c r="I134" s="550">
        <f>E134+F134+K134</f>
        <v>7807612.6699999999</v>
      </c>
      <c r="J134" s="469">
        <f t="shared" si="92"/>
        <v>100</v>
      </c>
      <c r="K134" s="482">
        <v>0</v>
      </c>
      <c r="L134" s="471">
        <v>0</v>
      </c>
      <c r="M134" s="467">
        <f t="shared" si="115"/>
        <v>0</v>
      </c>
      <c r="N134" s="3192"/>
    </row>
    <row r="135" spans="1:14" s="511" customFormat="1" ht="14.25" customHeight="1" x14ac:dyDescent="0.2">
      <c r="A135" s="3109"/>
      <c r="B135" s="572" t="s">
        <v>12</v>
      </c>
      <c r="C135" s="3086"/>
      <c r="D135" s="558">
        <f t="shared" ref="D135:H135" si="117">+D136+D137</f>
        <v>7807613.1399999997</v>
      </c>
      <c r="E135" s="559">
        <f t="shared" si="117"/>
        <v>2654813</v>
      </c>
      <c r="F135" s="559">
        <f>+F136+F137</f>
        <v>5152800.1399999997</v>
      </c>
      <c r="G135" s="585">
        <f t="shared" si="117"/>
        <v>0</v>
      </c>
      <c r="H135" s="576">
        <f t="shared" si="117"/>
        <v>0</v>
      </c>
      <c r="I135" s="544">
        <f>I136+I137</f>
        <v>7807613.1399999997</v>
      </c>
      <c r="J135" s="31">
        <f t="shared" si="92"/>
        <v>100</v>
      </c>
      <c r="K135" s="585">
        <f>+K136+K137</f>
        <v>0</v>
      </c>
      <c r="L135" s="478">
        <v>0</v>
      </c>
      <c r="M135" s="459">
        <f t="shared" si="115"/>
        <v>0</v>
      </c>
      <c r="N135" s="3137"/>
    </row>
    <row r="136" spans="1:14" s="511" customFormat="1" ht="14.25" hidden="1" customHeight="1" x14ac:dyDescent="0.2">
      <c r="A136" s="3110"/>
      <c r="B136" s="460" t="s">
        <v>11</v>
      </c>
      <c r="C136" s="3086"/>
      <c r="D136" s="480">
        <f>+E136+F136+G136+H136</f>
        <v>0</v>
      </c>
      <c r="E136" s="470">
        <v>0</v>
      </c>
      <c r="F136" s="482">
        <v>0</v>
      </c>
      <c r="G136" s="482">
        <v>0</v>
      </c>
      <c r="H136" s="535">
        <v>0</v>
      </c>
      <c r="I136" s="481">
        <f>E136+F136+K136</f>
        <v>0</v>
      </c>
      <c r="J136" s="465" t="e">
        <f t="shared" si="92"/>
        <v>#DIV/0!</v>
      </c>
      <c r="K136" s="482">
        <v>0</v>
      </c>
      <c r="L136" s="483" t="e">
        <f t="shared" si="108"/>
        <v>#DIV/0!</v>
      </c>
      <c r="M136" s="467">
        <f t="shared" si="115"/>
        <v>0</v>
      </c>
      <c r="N136" s="3138"/>
    </row>
    <row r="137" spans="1:14" s="511" customFormat="1" ht="14.25" customHeight="1" x14ac:dyDescent="0.2">
      <c r="A137" s="3110"/>
      <c r="B137" s="460" t="s">
        <v>14</v>
      </c>
      <c r="C137" s="3086"/>
      <c r="D137" s="461">
        <f>+E137+F137+G137+H137</f>
        <v>7807613.1399999997</v>
      </c>
      <c r="E137" s="462">
        <f>170850+2483963</f>
        <v>2654813</v>
      </c>
      <c r="F137" s="462">
        <v>5152800.1399999997</v>
      </c>
      <c r="G137" s="470">
        <v>0</v>
      </c>
      <c r="H137" s="494">
        <v>0</v>
      </c>
      <c r="I137" s="550">
        <f>E137+F137+K137</f>
        <v>7807613.1399999997</v>
      </c>
      <c r="J137" s="469">
        <f t="shared" si="92"/>
        <v>100</v>
      </c>
      <c r="K137" s="482">
        <v>0</v>
      </c>
      <c r="L137" s="471">
        <v>0</v>
      </c>
      <c r="M137" s="573">
        <f t="shared" ref="M137" si="118">+K137-G137*0.5</f>
        <v>0</v>
      </c>
      <c r="N137" s="3198"/>
    </row>
    <row r="138" spans="1:14" s="511" customFormat="1" ht="14.25" customHeight="1" x14ac:dyDescent="0.2">
      <c r="A138" s="3110"/>
      <c r="B138" s="334" t="s">
        <v>16</v>
      </c>
      <c r="C138" s="27"/>
      <c r="D138" s="415">
        <f t="shared" ref="D138:I138" si="119">+D141+D139</f>
        <v>15615226</v>
      </c>
      <c r="E138" s="416">
        <f t="shared" ref="E138" si="120">+E141+E139</f>
        <v>5723800</v>
      </c>
      <c r="F138" s="416">
        <f>+F141+F139</f>
        <v>9043098</v>
      </c>
      <c r="G138" s="416">
        <f t="shared" si="119"/>
        <v>848328</v>
      </c>
      <c r="H138" s="484">
        <f t="shared" si="119"/>
        <v>0</v>
      </c>
      <c r="I138" s="415">
        <f t="shared" si="119"/>
        <v>15615226</v>
      </c>
      <c r="J138" s="452">
        <f t="shared" si="92"/>
        <v>100</v>
      </c>
      <c r="K138" s="416">
        <f>+K141+K139</f>
        <v>848328</v>
      </c>
      <c r="L138" s="452">
        <f t="shared" si="108"/>
        <v>100</v>
      </c>
      <c r="M138" s="453">
        <f t="shared" ref="M138:M143" si="121">+K138-G138</f>
        <v>0</v>
      </c>
      <c r="N138" s="3088" t="s">
        <v>39</v>
      </c>
    </row>
    <row r="139" spans="1:14" s="511" customFormat="1" ht="14.25" customHeight="1" x14ac:dyDescent="0.2">
      <c r="A139" s="3110"/>
      <c r="B139" s="569" t="s">
        <v>17</v>
      </c>
      <c r="C139" s="3086" t="s">
        <v>34</v>
      </c>
      <c r="D139" s="546">
        <f t="shared" ref="D139:I139" si="122">D140</f>
        <v>7807613</v>
      </c>
      <c r="E139" s="492">
        <f t="shared" si="122"/>
        <v>3068526</v>
      </c>
      <c r="F139" s="492">
        <f>F140</f>
        <v>4314923</v>
      </c>
      <c r="G139" s="492">
        <f t="shared" si="122"/>
        <v>424164</v>
      </c>
      <c r="H139" s="489">
        <f t="shared" si="122"/>
        <v>0</v>
      </c>
      <c r="I139" s="546">
        <f t="shared" si="122"/>
        <v>7807613</v>
      </c>
      <c r="J139" s="545">
        <f t="shared" si="92"/>
        <v>100</v>
      </c>
      <c r="K139" s="547">
        <f>K140</f>
        <v>424164</v>
      </c>
      <c r="L139" s="545">
        <f t="shared" si="108"/>
        <v>100</v>
      </c>
      <c r="M139" s="459">
        <f t="shared" si="121"/>
        <v>0</v>
      </c>
      <c r="N139" s="3084"/>
    </row>
    <row r="140" spans="1:14" s="523" customFormat="1" ht="14.25" customHeight="1" x14ac:dyDescent="0.2">
      <c r="A140" s="3110"/>
      <c r="B140" s="460" t="s">
        <v>11</v>
      </c>
      <c r="C140" s="3086"/>
      <c r="D140" s="461">
        <f>+E140+F140+G140+H140</f>
        <v>7807613</v>
      </c>
      <c r="E140" s="574">
        <v>3068526</v>
      </c>
      <c r="F140" s="574">
        <v>4314923</v>
      </c>
      <c r="G140" s="574">
        <v>424164</v>
      </c>
      <c r="H140" s="586">
        <v>0</v>
      </c>
      <c r="I140" s="550">
        <f>E140+F140+K140</f>
        <v>7807613</v>
      </c>
      <c r="J140" s="466">
        <f t="shared" si="92"/>
        <v>100</v>
      </c>
      <c r="K140" s="462">
        <v>424164</v>
      </c>
      <c r="L140" s="466">
        <f t="shared" si="108"/>
        <v>100</v>
      </c>
      <c r="M140" s="467">
        <f t="shared" si="121"/>
        <v>0</v>
      </c>
      <c r="N140" s="3084"/>
    </row>
    <row r="141" spans="1:14" s="511" customFormat="1" ht="14.25" customHeight="1" x14ac:dyDescent="0.2">
      <c r="A141" s="3110"/>
      <c r="B141" s="572" t="s">
        <v>12</v>
      </c>
      <c r="C141" s="3086"/>
      <c r="D141" s="558">
        <f t="shared" ref="D141:H141" si="123">+D142+D143</f>
        <v>7807613</v>
      </c>
      <c r="E141" s="559">
        <f t="shared" si="123"/>
        <v>2655274</v>
      </c>
      <c r="F141" s="559">
        <f>+F142+F143</f>
        <v>4728175</v>
      </c>
      <c r="G141" s="559">
        <f t="shared" si="123"/>
        <v>424164</v>
      </c>
      <c r="H141" s="576">
        <f t="shared" si="123"/>
        <v>0</v>
      </c>
      <c r="I141" s="587">
        <f>I142+I143</f>
        <v>7807613</v>
      </c>
      <c r="J141" s="545">
        <f t="shared" si="92"/>
        <v>100</v>
      </c>
      <c r="K141" s="559">
        <f>+K142+K143</f>
        <v>424164</v>
      </c>
      <c r="L141" s="545">
        <f t="shared" si="108"/>
        <v>100</v>
      </c>
      <c r="M141" s="459">
        <f t="shared" si="121"/>
        <v>0</v>
      </c>
      <c r="N141" s="3084"/>
    </row>
    <row r="142" spans="1:14" s="511" customFormat="1" ht="14.25" hidden="1" customHeight="1" x14ac:dyDescent="0.2">
      <c r="A142" s="3110"/>
      <c r="B142" s="460" t="s">
        <v>11</v>
      </c>
      <c r="C142" s="3086"/>
      <c r="D142" s="480">
        <f>+E142+F142+G142+H142</f>
        <v>0</v>
      </c>
      <c r="E142" s="482">
        <v>0</v>
      </c>
      <c r="F142" s="482">
        <v>0</v>
      </c>
      <c r="G142" s="482">
        <v>0</v>
      </c>
      <c r="H142" s="535">
        <v>0</v>
      </c>
      <c r="I142" s="481">
        <f>E142+F142+K142</f>
        <v>0</v>
      </c>
      <c r="J142" s="466" t="e">
        <f t="shared" si="92"/>
        <v>#DIV/0!</v>
      </c>
      <c r="K142" s="470">
        <v>0</v>
      </c>
      <c r="L142" s="466" t="e">
        <f t="shared" si="108"/>
        <v>#DIV/0!</v>
      </c>
      <c r="M142" s="467">
        <f t="shared" si="121"/>
        <v>0</v>
      </c>
      <c r="N142" s="3084"/>
    </row>
    <row r="143" spans="1:14" s="511" customFormat="1" ht="14.25" customHeight="1" thickBot="1" x14ac:dyDescent="0.25">
      <c r="A143" s="3197"/>
      <c r="B143" s="562" t="s">
        <v>14</v>
      </c>
      <c r="C143" s="3108"/>
      <c r="D143" s="500">
        <f>+E143+F143+G143+H143</f>
        <v>7807613</v>
      </c>
      <c r="E143" s="577">
        <v>2655274</v>
      </c>
      <c r="F143" s="577">
        <v>4728175</v>
      </c>
      <c r="G143" s="577">
        <v>424164</v>
      </c>
      <c r="H143" s="578">
        <v>0</v>
      </c>
      <c r="I143" s="565">
        <f>E143+F143+K143</f>
        <v>7807613</v>
      </c>
      <c r="J143" s="549">
        <f t="shared" si="92"/>
        <v>100</v>
      </c>
      <c r="K143" s="501">
        <v>424164</v>
      </c>
      <c r="L143" s="549">
        <f t="shared" si="108"/>
        <v>100</v>
      </c>
      <c r="M143" s="467">
        <f t="shared" si="121"/>
        <v>0</v>
      </c>
      <c r="N143" s="3089"/>
    </row>
    <row r="144" spans="1:14" s="511" customFormat="1" ht="25.5" customHeight="1" x14ac:dyDescent="0.2">
      <c r="A144" s="3116" t="s">
        <v>45</v>
      </c>
      <c r="B144" s="541" t="s">
        <v>47</v>
      </c>
      <c r="C144" s="443" t="s">
        <v>168</v>
      </c>
      <c r="D144" s="444"/>
      <c r="E144" s="445"/>
      <c r="F144" s="445"/>
      <c r="G144" s="445"/>
      <c r="H144" s="588"/>
      <c r="I144" s="444"/>
      <c r="J144" s="445"/>
      <c r="K144" s="445"/>
      <c r="L144" s="449"/>
      <c r="M144" s="449"/>
      <c r="N144" s="450" t="s">
        <v>36</v>
      </c>
    </row>
    <row r="145" spans="1:14" s="511" customFormat="1" ht="14.25" customHeight="1" x14ac:dyDescent="0.2">
      <c r="A145" s="3117"/>
      <c r="B145" s="334" t="s">
        <v>2</v>
      </c>
      <c r="C145" s="27"/>
      <c r="D145" s="513">
        <f t="shared" ref="D145:H145" si="124">+D146+D149</f>
        <v>49545628</v>
      </c>
      <c r="E145" s="514">
        <f t="shared" si="124"/>
        <v>188320</v>
      </c>
      <c r="F145" s="514">
        <f>+F146+F149</f>
        <v>348320</v>
      </c>
      <c r="G145" s="514">
        <f t="shared" si="124"/>
        <v>24000000</v>
      </c>
      <c r="H145" s="589">
        <f t="shared" si="124"/>
        <v>25008988</v>
      </c>
      <c r="I145" s="513">
        <f>+I146+I149</f>
        <v>24504435.539999999</v>
      </c>
      <c r="J145" s="29">
        <f t="shared" si="92"/>
        <v>49.458320600962004</v>
      </c>
      <c r="K145" s="514">
        <f>+K146+K149</f>
        <v>23967795.539999999</v>
      </c>
      <c r="L145" s="452">
        <f t="shared" si="108"/>
        <v>99.865814749999998</v>
      </c>
      <c r="M145" s="453">
        <f t="shared" ref="M145:M155" si="125">+K145-G145</f>
        <v>-32204.460000000894</v>
      </c>
      <c r="N145" s="3138" t="s">
        <v>37</v>
      </c>
    </row>
    <row r="146" spans="1:14" s="511" customFormat="1" ht="14.25" customHeight="1" thickBot="1" x14ac:dyDescent="0.25">
      <c r="A146" s="3190"/>
      <c r="B146" s="454" t="s">
        <v>17</v>
      </c>
      <c r="C146" s="3086" t="s">
        <v>38</v>
      </c>
      <c r="D146" s="519">
        <f t="shared" ref="D146:H146" si="126">+D147+D148</f>
        <v>35811170</v>
      </c>
      <c r="E146" s="520">
        <f t="shared" si="126"/>
        <v>147995</v>
      </c>
      <c r="F146" s="520">
        <f>+F147+F148</f>
        <v>258002</v>
      </c>
      <c r="G146" s="520">
        <f t="shared" si="126"/>
        <v>17776920</v>
      </c>
      <c r="H146" s="590">
        <f t="shared" si="126"/>
        <v>17628253</v>
      </c>
      <c r="I146" s="519">
        <f>+I147+I148</f>
        <v>18164419.18</v>
      </c>
      <c r="J146" s="31">
        <f t="shared" si="92"/>
        <v>50.722774988921046</v>
      </c>
      <c r="K146" s="520">
        <f>+K147+K148</f>
        <v>17758422.18</v>
      </c>
      <c r="L146" s="545">
        <f t="shared" si="108"/>
        <v>99.895944741833787</v>
      </c>
      <c r="M146" s="459">
        <f t="shared" si="125"/>
        <v>-18497.820000000298</v>
      </c>
      <c r="N146" s="3139"/>
    </row>
    <row r="147" spans="1:14" s="511" customFormat="1" ht="14.25" customHeight="1" x14ac:dyDescent="0.2">
      <c r="A147" s="3116"/>
      <c r="B147" s="460" t="s">
        <v>4</v>
      </c>
      <c r="C147" s="3087"/>
      <c r="D147" s="461">
        <f>+E147+F147+G147+H147</f>
        <v>32953047</v>
      </c>
      <c r="E147" s="463">
        <f>95001+44107</f>
        <v>139108</v>
      </c>
      <c r="F147" s="462">
        <v>238094</v>
      </c>
      <c r="G147" s="462">
        <v>16405424</v>
      </c>
      <c r="H147" s="591">
        <v>16170421</v>
      </c>
      <c r="I147" s="550">
        <f>E147+F147+K147</f>
        <v>16765958.460000001</v>
      </c>
      <c r="J147" s="465">
        <f t="shared" si="92"/>
        <v>50.878325333617859</v>
      </c>
      <c r="K147" s="463">
        <v>16388756.460000001</v>
      </c>
      <c r="L147" s="466">
        <f t="shared" si="108"/>
        <v>99.898402260130553</v>
      </c>
      <c r="M147" s="467">
        <f t="shared" si="125"/>
        <v>-16667.539999999106</v>
      </c>
      <c r="N147" s="3137"/>
    </row>
    <row r="148" spans="1:14" s="511" customFormat="1" ht="14.25" customHeight="1" x14ac:dyDescent="0.2">
      <c r="A148" s="3117"/>
      <c r="B148" s="460" t="s">
        <v>11</v>
      </c>
      <c r="C148" s="3087"/>
      <c r="D148" s="461">
        <f>+E148+F148+G148+H148</f>
        <v>2858123</v>
      </c>
      <c r="E148" s="463">
        <f>5200+3687</f>
        <v>8887</v>
      </c>
      <c r="F148" s="462">
        <v>19908</v>
      </c>
      <c r="G148" s="462">
        <v>1371496</v>
      </c>
      <c r="H148" s="591">
        <v>1457832</v>
      </c>
      <c r="I148" s="550">
        <f>E148+F148+K148</f>
        <v>1398460.72</v>
      </c>
      <c r="J148" s="469">
        <f t="shared" ref="J148:J193" si="127">I148/D148*100</f>
        <v>48.929339989916457</v>
      </c>
      <c r="K148" s="463">
        <v>1369665.72</v>
      </c>
      <c r="L148" s="557">
        <f t="shared" si="108"/>
        <v>99.866548644691633</v>
      </c>
      <c r="M148" s="467">
        <f t="shared" si="125"/>
        <v>-1830.2800000000279</v>
      </c>
      <c r="N148" s="3138"/>
    </row>
    <row r="149" spans="1:14" s="511" customFormat="1" ht="14.25" customHeight="1" x14ac:dyDescent="0.2">
      <c r="A149" s="3117"/>
      <c r="B149" s="473" t="s">
        <v>12</v>
      </c>
      <c r="C149" s="3087"/>
      <c r="D149" s="474">
        <f t="shared" ref="D149:I149" si="128">+D150</f>
        <v>13734458</v>
      </c>
      <c r="E149" s="475">
        <f t="shared" si="128"/>
        <v>40325</v>
      </c>
      <c r="F149" s="475">
        <f>+F150</f>
        <v>90318</v>
      </c>
      <c r="G149" s="475">
        <f t="shared" si="128"/>
        <v>6223080</v>
      </c>
      <c r="H149" s="592">
        <f t="shared" si="128"/>
        <v>7380735</v>
      </c>
      <c r="I149" s="474">
        <f t="shared" si="128"/>
        <v>6340016.3600000003</v>
      </c>
      <c r="J149" s="31">
        <f t="shared" si="127"/>
        <v>46.161387365995807</v>
      </c>
      <c r="K149" s="475">
        <f>+K150</f>
        <v>6209373.3600000003</v>
      </c>
      <c r="L149" s="545">
        <f t="shared" si="108"/>
        <v>99.779745077999976</v>
      </c>
      <c r="M149" s="459">
        <f t="shared" si="125"/>
        <v>-13706.639999999665</v>
      </c>
      <c r="N149" s="3138"/>
    </row>
    <row r="150" spans="1:14" s="511" customFormat="1" ht="14.25" customHeight="1" x14ac:dyDescent="0.2">
      <c r="A150" s="3117"/>
      <c r="B150" s="460" t="s">
        <v>14</v>
      </c>
      <c r="C150" s="3087"/>
      <c r="D150" s="461">
        <f>++E150+F150+G150+H150</f>
        <v>13734458</v>
      </c>
      <c r="E150" s="463">
        <f>23594+16731</f>
        <v>40325</v>
      </c>
      <c r="F150" s="462">
        <v>90318</v>
      </c>
      <c r="G150" s="462">
        <v>6223080</v>
      </c>
      <c r="H150" s="591">
        <v>7380735</v>
      </c>
      <c r="I150" s="550">
        <f>E150+F150+K150</f>
        <v>6340016.3600000003</v>
      </c>
      <c r="J150" s="465">
        <f t="shared" si="127"/>
        <v>46.161387365995807</v>
      </c>
      <c r="K150" s="463">
        <v>6209373.3600000003</v>
      </c>
      <c r="L150" s="466">
        <f t="shared" si="108"/>
        <v>99.779745077999976</v>
      </c>
      <c r="M150" s="467">
        <f t="shared" si="125"/>
        <v>-13706.639999999665</v>
      </c>
      <c r="N150" s="3198"/>
    </row>
    <row r="151" spans="1:14" s="511" customFormat="1" ht="13.5" customHeight="1" x14ac:dyDescent="0.2">
      <c r="A151" s="3118"/>
      <c r="B151" s="334" t="s">
        <v>16</v>
      </c>
      <c r="C151" s="27"/>
      <c r="D151" s="415">
        <f t="shared" ref="D151:I151" si="129">+D154+D152</f>
        <v>16592581</v>
      </c>
      <c r="E151" s="593">
        <f t="shared" si="129"/>
        <v>0</v>
      </c>
      <c r="F151" s="593">
        <f>+F154+F152</f>
        <v>0</v>
      </c>
      <c r="G151" s="416">
        <f t="shared" si="129"/>
        <v>0</v>
      </c>
      <c r="H151" s="594">
        <f t="shared" si="129"/>
        <v>16592581</v>
      </c>
      <c r="I151" s="415">
        <f t="shared" si="129"/>
        <v>0</v>
      </c>
      <c r="J151" s="29">
        <f t="shared" si="127"/>
        <v>0</v>
      </c>
      <c r="K151" s="416">
        <f>+K154+K152</f>
        <v>0</v>
      </c>
      <c r="L151" s="532">
        <v>0</v>
      </c>
      <c r="M151" s="453">
        <f t="shared" si="125"/>
        <v>0</v>
      </c>
      <c r="N151" s="3199" t="s">
        <v>39</v>
      </c>
    </row>
    <row r="152" spans="1:14" s="511" customFormat="1" ht="14.25" customHeight="1" x14ac:dyDescent="0.2">
      <c r="A152" s="3118"/>
      <c r="B152" s="454" t="s">
        <v>17</v>
      </c>
      <c r="C152" s="3200" t="s">
        <v>34</v>
      </c>
      <c r="D152" s="474">
        <f t="shared" ref="D152:I152" si="130">+D153</f>
        <v>2858123</v>
      </c>
      <c r="E152" s="477">
        <f t="shared" si="130"/>
        <v>0</v>
      </c>
      <c r="F152" s="477">
        <v>0</v>
      </c>
      <c r="G152" s="475">
        <f t="shared" si="130"/>
        <v>0</v>
      </c>
      <c r="H152" s="595">
        <f t="shared" si="130"/>
        <v>2858123</v>
      </c>
      <c r="I152" s="558">
        <f t="shared" si="130"/>
        <v>0</v>
      </c>
      <c r="J152" s="31">
        <f t="shared" si="127"/>
        <v>0</v>
      </c>
      <c r="K152" s="596">
        <v>0</v>
      </c>
      <c r="L152" s="478">
        <v>0</v>
      </c>
      <c r="M152" s="459">
        <f t="shared" si="125"/>
        <v>0</v>
      </c>
      <c r="N152" s="3138"/>
    </row>
    <row r="153" spans="1:14" s="511" customFormat="1" ht="14.25" customHeight="1" x14ac:dyDescent="0.2">
      <c r="A153" s="3118"/>
      <c r="B153" s="460" t="s">
        <v>11</v>
      </c>
      <c r="C153" s="3086"/>
      <c r="D153" s="461">
        <f>+E153+F153+G153+H153</f>
        <v>2858123</v>
      </c>
      <c r="E153" s="597">
        <v>0</v>
      </c>
      <c r="F153" s="597">
        <v>0</v>
      </c>
      <c r="G153" s="598">
        <v>0</v>
      </c>
      <c r="H153" s="599">
        <v>2858123</v>
      </c>
      <c r="I153" s="550">
        <f>E153+F153+K153</f>
        <v>0</v>
      </c>
      <c r="J153" s="465">
        <f t="shared" si="127"/>
        <v>0</v>
      </c>
      <c r="K153" s="596">
        <v>0</v>
      </c>
      <c r="L153" s="483">
        <v>0</v>
      </c>
      <c r="M153" s="467">
        <f t="shared" si="125"/>
        <v>0</v>
      </c>
      <c r="N153" s="3138"/>
    </row>
    <row r="154" spans="1:14" s="511" customFormat="1" ht="14.25" customHeight="1" x14ac:dyDescent="0.2">
      <c r="A154" s="3118"/>
      <c r="B154" s="473" t="s">
        <v>12</v>
      </c>
      <c r="C154" s="3086"/>
      <c r="D154" s="558">
        <f>+D155</f>
        <v>13734458</v>
      </c>
      <c r="E154" s="585">
        <f t="shared" ref="E154:H154" si="131">+E155</f>
        <v>0</v>
      </c>
      <c r="F154" s="585">
        <f>+F155</f>
        <v>0</v>
      </c>
      <c r="G154" s="559">
        <f t="shared" si="131"/>
        <v>0</v>
      </c>
      <c r="H154" s="600">
        <f t="shared" si="131"/>
        <v>13734458</v>
      </c>
      <c r="I154" s="558">
        <f>+I155</f>
        <v>0</v>
      </c>
      <c r="J154" s="31">
        <f t="shared" si="127"/>
        <v>0</v>
      </c>
      <c r="K154" s="559">
        <f>+K155</f>
        <v>0</v>
      </c>
      <c r="L154" s="478">
        <v>0</v>
      </c>
      <c r="M154" s="459">
        <f t="shared" si="125"/>
        <v>0</v>
      </c>
      <c r="N154" s="3138"/>
    </row>
    <row r="155" spans="1:14" s="511" customFormat="1" ht="14.25" customHeight="1" thickBot="1" x14ac:dyDescent="0.25">
      <c r="A155" s="3119"/>
      <c r="B155" s="562" t="s">
        <v>14</v>
      </c>
      <c r="C155" s="3108"/>
      <c r="D155" s="500">
        <f>+E155+F155+G155+H155</f>
        <v>13734458</v>
      </c>
      <c r="E155" s="526">
        <v>0</v>
      </c>
      <c r="F155" s="601">
        <v>0</v>
      </c>
      <c r="G155" s="577">
        <v>0</v>
      </c>
      <c r="H155" s="602">
        <v>13734458</v>
      </c>
      <c r="I155" s="565">
        <f>E155+F155+K155</f>
        <v>0</v>
      </c>
      <c r="J155" s="505">
        <f t="shared" si="127"/>
        <v>0</v>
      </c>
      <c r="K155" s="577">
        <v>0</v>
      </c>
      <c r="L155" s="603">
        <v>0</v>
      </c>
      <c r="M155" s="467">
        <f t="shared" si="125"/>
        <v>0</v>
      </c>
      <c r="N155" s="3139"/>
    </row>
    <row r="156" spans="1:14" ht="26.25" customHeight="1" x14ac:dyDescent="0.2">
      <c r="A156" s="3116" t="s">
        <v>46</v>
      </c>
      <c r="B156" s="541" t="s">
        <v>246</v>
      </c>
      <c r="C156" s="443" t="s">
        <v>168</v>
      </c>
      <c r="D156" s="444"/>
      <c r="E156" s="449"/>
      <c r="F156" s="445"/>
      <c r="G156" s="445"/>
      <c r="H156" s="446"/>
      <c r="I156" s="444"/>
      <c r="J156" s="445"/>
      <c r="K156" s="445"/>
      <c r="L156" s="449"/>
      <c r="M156" s="449"/>
      <c r="N156" s="3113" t="s">
        <v>37</v>
      </c>
    </row>
    <row r="157" spans="1:14" x14ac:dyDescent="0.2">
      <c r="A157" s="3117"/>
      <c r="B157" s="334" t="s">
        <v>2</v>
      </c>
      <c r="C157" s="27"/>
      <c r="D157" s="415">
        <f t="shared" ref="D157:I157" si="132">+D158+D160</f>
        <v>23379749.850000001</v>
      </c>
      <c r="E157" s="453">
        <f t="shared" si="132"/>
        <v>22907477</v>
      </c>
      <c r="F157" s="416">
        <f>+F158+F160</f>
        <v>52272.85</v>
      </c>
      <c r="G157" s="416">
        <f t="shared" si="132"/>
        <v>0</v>
      </c>
      <c r="H157" s="416">
        <f t="shared" si="132"/>
        <v>420000</v>
      </c>
      <c r="I157" s="415">
        <f t="shared" si="132"/>
        <v>22959749.850000001</v>
      </c>
      <c r="J157" s="29">
        <f t="shared" si="127"/>
        <v>98.203573593838087</v>
      </c>
      <c r="K157" s="593">
        <f>+K158+K160</f>
        <v>0</v>
      </c>
      <c r="L157" s="532">
        <v>0</v>
      </c>
      <c r="M157" s="453">
        <f t="shared" ref="M157:M164" si="133">+K157-G157</f>
        <v>0</v>
      </c>
      <c r="N157" s="3170"/>
    </row>
    <row r="158" spans="1:14" ht="14.25" customHeight="1" thickBot="1" x14ac:dyDescent="0.25">
      <c r="A158" s="3190"/>
      <c r="B158" s="454" t="s">
        <v>17</v>
      </c>
      <c r="C158" s="3086" t="s">
        <v>38</v>
      </c>
      <c r="D158" s="558">
        <f t="shared" ref="D158:I158" si="134">+D159</f>
        <v>6630648.8499999996</v>
      </c>
      <c r="E158" s="604">
        <f t="shared" si="134"/>
        <v>6183520</v>
      </c>
      <c r="F158" s="559">
        <f>+F159</f>
        <v>27128.85</v>
      </c>
      <c r="G158" s="559">
        <f t="shared" si="134"/>
        <v>0</v>
      </c>
      <c r="H158" s="559">
        <f t="shared" si="134"/>
        <v>420000</v>
      </c>
      <c r="I158" s="558">
        <f t="shared" si="134"/>
        <v>6210648.8499999996</v>
      </c>
      <c r="J158" s="31">
        <f t="shared" si="127"/>
        <v>93.665778274474604</v>
      </c>
      <c r="K158" s="605">
        <f>+K159</f>
        <v>0</v>
      </c>
      <c r="L158" s="478">
        <v>0</v>
      </c>
      <c r="M158" s="459">
        <f t="shared" si="133"/>
        <v>0</v>
      </c>
      <c r="N158" s="3192"/>
    </row>
    <row r="159" spans="1:14" ht="12" customHeight="1" x14ac:dyDescent="0.2">
      <c r="A159" s="3116"/>
      <c r="B159" s="460" t="s">
        <v>4</v>
      </c>
      <c r="C159" s="3087"/>
      <c r="D159" s="461">
        <f>++E159+F159+G159+H159</f>
        <v>6630648.8499999996</v>
      </c>
      <c r="E159" s="467">
        <f>38866+2553458+3591196</f>
        <v>6183520</v>
      </c>
      <c r="F159" s="463">
        <v>27128.85</v>
      </c>
      <c r="G159" s="463">
        <v>0</v>
      </c>
      <c r="H159" s="463">
        <v>420000</v>
      </c>
      <c r="I159" s="464">
        <f>E159+F159+K159</f>
        <v>6210648.8499999996</v>
      </c>
      <c r="J159" s="465">
        <f t="shared" si="127"/>
        <v>93.665778274474604</v>
      </c>
      <c r="K159" s="470">
        <v>0</v>
      </c>
      <c r="L159" s="483">
        <v>0</v>
      </c>
      <c r="M159" s="467">
        <f t="shared" si="133"/>
        <v>0</v>
      </c>
      <c r="N159" s="3113"/>
    </row>
    <row r="160" spans="1:14" x14ac:dyDescent="0.2">
      <c r="A160" s="3117"/>
      <c r="B160" s="473" t="s">
        <v>12</v>
      </c>
      <c r="C160" s="3087"/>
      <c r="D160" s="474">
        <f t="shared" ref="D160:I160" si="135">+D161</f>
        <v>16749101</v>
      </c>
      <c r="E160" s="479">
        <f t="shared" si="135"/>
        <v>16723957</v>
      </c>
      <c r="F160" s="475">
        <f>+F161</f>
        <v>25144</v>
      </c>
      <c r="G160" s="585">
        <f t="shared" si="135"/>
        <v>0</v>
      </c>
      <c r="H160" s="476">
        <f t="shared" si="135"/>
        <v>0</v>
      </c>
      <c r="I160" s="474">
        <f t="shared" si="135"/>
        <v>16749101</v>
      </c>
      <c r="J160" s="31">
        <f t="shared" si="127"/>
        <v>100</v>
      </c>
      <c r="K160" s="585">
        <f>+K161</f>
        <v>0</v>
      </c>
      <c r="L160" s="478">
        <v>0</v>
      </c>
      <c r="M160" s="459">
        <f t="shared" si="133"/>
        <v>0</v>
      </c>
      <c r="N160" s="3170"/>
    </row>
    <row r="161" spans="1:14" ht="12" customHeight="1" x14ac:dyDescent="0.2">
      <c r="A161" s="3117"/>
      <c r="B161" s="460" t="s">
        <v>14</v>
      </c>
      <c r="C161" s="3087"/>
      <c r="D161" s="461">
        <f>+E161+F161+G161</f>
        <v>16749101</v>
      </c>
      <c r="E161" s="463">
        <f>102218+7570373+9051366</f>
        <v>16723957</v>
      </c>
      <c r="F161" s="463">
        <v>25144</v>
      </c>
      <c r="G161" s="470">
        <v>0</v>
      </c>
      <c r="H161" s="468">
        <v>0</v>
      </c>
      <c r="I161" s="464">
        <f>E161+F161+K161</f>
        <v>16749101</v>
      </c>
      <c r="J161" s="465">
        <f t="shared" si="127"/>
        <v>100</v>
      </c>
      <c r="K161" s="470">
        <v>0</v>
      </c>
      <c r="L161" s="483">
        <v>0</v>
      </c>
      <c r="M161" s="467">
        <f t="shared" si="133"/>
        <v>0</v>
      </c>
      <c r="N161" s="3170"/>
    </row>
    <row r="162" spans="1:14" ht="12" customHeight="1" x14ac:dyDescent="0.2">
      <c r="A162" s="3118"/>
      <c r="B162" s="334" t="s">
        <v>16</v>
      </c>
      <c r="C162" s="27"/>
      <c r="D162" s="415">
        <f>+D163</f>
        <v>16749101</v>
      </c>
      <c r="E162" s="416">
        <f t="shared" ref="E162:H163" si="136">+E163</f>
        <v>15424338</v>
      </c>
      <c r="F162" s="416">
        <f>+F163</f>
        <v>462263</v>
      </c>
      <c r="G162" s="416">
        <f t="shared" si="136"/>
        <v>0</v>
      </c>
      <c r="H162" s="416">
        <f t="shared" si="136"/>
        <v>862500</v>
      </c>
      <c r="I162" s="415">
        <f>+I163</f>
        <v>15886601</v>
      </c>
      <c r="J162" s="29">
        <f t="shared" si="127"/>
        <v>94.850469884920983</v>
      </c>
      <c r="K162" s="593">
        <f>+K163</f>
        <v>0</v>
      </c>
      <c r="L162" s="532">
        <v>0</v>
      </c>
      <c r="M162" s="453">
        <f t="shared" si="133"/>
        <v>0</v>
      </c>
      <c r="N162" s="3087"/>
    </row>
    <row r="163" spans="1:14" ht="12.75" customHeight="1" x14ac:dyDescent="0.2">
      <c r="A163" s="3118"/>
      <c r="B163" s="473" t="s">
        <v>12</v>
      </c>
      <c r="C163" s="3193" t="s">
        <v>49</v>
      </c>
      <c r="D163" s="474">
        <f>+D164</f>
        <v>16749101</v>
      </c>
      <c r="E163" s="475">
        <f t="shared" si="136"/>
        <v>15424338</v>
      </c>
      <c r="F163" s="475">
        <f>+F164</f>
        <v>462263</v>
      </c>
      <c r="G163" s="475">
        <f t="shared" si="136"/>
        <v>0</v>
      </c>
      <c r="H163" s="475">
        <f t="shared" si="136"/>
        <v>862500</v>
      </c>
      <c r="I163" s="474">
        <f>+I164</f>
        <v>15886601</v>
      </c>
      <c r="J163" s="31">
        <f t="shared" si="127"/>
        <v>94.850469884920983</v>
      </c>
      <c r="K163" s="477">
        <f>+K164</f>
        <v>0</v>
      </c>
      <c r="L163" s="478">
        <v>0</v>
      </c>
      <c r="M163" s="459">
        <f t="shared" si="133"/>
        <v>0</v>
      </c>
      <c r="N163" s="3087"/>
    </row>
    <row r="164" spans="1:14" ht="12.75" customHeight="1" thickBot="1" x14ac:dyDescent="0.25">
      <c r="A164" s="3119"/>
      <c r="B164" s="537" t="s">
        <v>14</v>
      </c>
      <c r="C164" s="3090"/>
      <c r="D164" s="500">
        <f>++E164+F164+G164+H164</f>
        <v>16749101</v>
      </c>
      <c r="E164" s="502">
        <v>15424338</v>
      </c>
      <c r="F164" s="502">
        <v>462263</v>
      </c>
      <c r="G164" s="502">
        <v>0</v>
      </c>
      <c r="H164" s="502">
        <v>862500</v>
      </c>
      <c r="I164" s="504">
        <f>E164+F164+K164</f>
        <v>15886601</v>
      </c>
      <c r="J164" s="505">
        <f t="shared" si="127"/>
        <v>94.850469884920983</v>
      </c>
      <c r="K164" s="526">
        <v>0</v>
      </c>
      <c r="L164" s="603">
        <v>0</v>
      </c>
      <c r="M164" s="467">
        <f t="shared" si="133"/>
        <v>0</v>
      </c>
      <c r="N164" s="3090"/>
    </row>
    <row r="165" spans="1:14" ht="27.75" customHeight="1" x14ac:dyDescent="0.2">
      <c r="A165" s="3116" t="s">
        <v>48</v>
      </c>
      <c r="B165" s="541" t="s">
        <v>247</v>
      </c>
      <c r="C165" s="443" t="s">
        <v>168</v>
      </c>
      <c r="D165" s="444"/>
      <c r="E165" s="445"/>
      <c r="F165" s="445"/>
      <c r="G165" s="445"/>
      <c r="H165" s="446"/>
      <c r="I165" s="444"/>
      <c r="J165" s="445"/>
      <c r="K165" s="445"/>
      <c r="L165" s="449"/>
      <c r="M165" s="449"/>
      <c r="N165" s="3113" t="s">
        <v>37</v>
      </c>
    </row>
    <row r="166" spans="1:14" x14ac:dyDescent="0.2">
      <c r="A166" s="3117"/>
      <c r="B166" s="334" t="s">
        <v>2</v>
      </c>
      <c r="C166" s="27"/>
      <c r="D166" s="513">
        <f t="shared" ref="D166:I166" si="137">+D167+D170</f>
        <v>15035036</v>
      </c>
      <c r="E166" s="514">
        <f t="shared" si="137"/>
        <v>15011832</v>
      </c>
      <c r="F166" s="606">
        <f t="shared" si="137"/>
        <v>0</v>
      </c>
      <c r="G166" s="514">
        <f t="shared" si="137"/>
        <v>23204</v>
      </c>
      <c r="H166" s="568">
        <f t="shared" si="137"/>
        <v>0</v>
      </c>
      <c r="I166" s="513">
        <f t="shared" si="137"/>
        <v>15035036</v>
      </c>
      <c r="J166" s="29">
        <f t="shared" si="127"/>
        <v>100</v>
      </c>
      <c r="K166" s="514">
        <f>+K167+K170</f>
        <v>23204</v>
      </c>
      <c r="L166" s="452">
        <f t="shared" si="108"/>
        <v>100</v>
      </c>
      <c r="M166" s="453">
        <f t="shared" ref="M166:M176" si="138">+K166-G166</f>
        <v>0</v>
      </c>
      <c r="N166" s="3170"/>
    </row>
    <row r="167" spans="1:14" ht="13.5" customHeight="1" x14ac:dyDescent="0.2">
      <c r="A167" s="3117"/>
      <c r="B167" s="454" t="s">
        <v>17</v>
      </c>
      <c r="C167" s="3086" t="s">
        <v>38</v>
      </c>
      <c r="D167" s="519">
        <f t="shared" ref="D167:I167" si="139">+D168+D169</f>
        <v>6479185</v>
      </c>
      <c r="E167" s="520">
        <f t="shared" si="139"/>
        <v>6455981</v>
      </c>
      <c r="F167" s="607">
        <f t="shared" si="139"/>
        <v>0</v>
      </c>
      <c r="G167" s="520">
        <f t="shared" si="139"/>
        <v>23204</v>
      </c>
      <c r="H167" s="570">
        <f t="shared" si="139"/>
        <v>0</v>
      </c>
      <c r="I167" s="519">
        <f t="shared" si="139"/>
        <v>6479185</v>
      </c>
      <c r="J167" s="31">
        <f t="shared" si="127"/>
        <v>100</v>
      </c>
      <c r="K167" s="520">
        <f>+K168+K169</f>
        <v>23204</v>
      </c>
      <c r="L167" s="545">
        <f t="shared" si="108"/>
        <v>100</v>
      </c>
      <c r="M167" s="459">
        <f t="shared" si="138"/>
        <v>0</v>
      </c>
      <c r="N167" s="3170"/>
    </row>
    <row r="168" spans="1:14" x14ac:dyDescent="0.2">
      <c r="A168" s="3117"/>
      <c r="B168" s="460" t="s">
        <v>4</v>
      </c>
      <c r="C168" s="3087"/>
      <c r="D168" s="461">
        <f>++E168+F168+G168+H168</f>
        <v>3028942</v>
      </c>
      <c r="E168" s="462">
        <f>40672+1896868+1068198</f>
        <v>3005738</v>
      </c>
      <c r="F168" s="482">
        <v>0</v>
      </c>
      <c r="G168" s="462">
        <v>23204</v>
      </c>
      <c r="H168" s="535">
        <v>0</v>
      </c>
      <c r="I168" s="464">
        <f>E168+F168+K168</f>
        <v>3028942</v>
      </c>
      <c r="J168" s="465">
        <f t="shared" si="127"/>
        <v>100</v>
      </c>
      <c r="K168" s="462">
        <v>23204</v>
      </c>
      <c r="L168" s="466">
        <f t="shared" si="108"/>
        <v>100</v>
      </c>
      <c r="M168" s="467">
        <f t="shared" si="138"/>
        <v>0</v>
      </c>
      <c r="N168" s="3170"/>
    </row>
    <row r="169" spans="1:14" ht="10.5" customHeight="1" x14ac:dyDescent="0.2">
      <c r="A169" s="3117"/>
      <c r="B169" s="608" t="s">
        <v>9</v>
      </c>
      <c r="C169" s="3087"/>
      <c r="D169" s="461">
        <f>++E169+F169+G169</f>
        <v>3450243</v>
      </c>
      <c r="E169" s="462">
        <f>1666139+1784104</f>
        <v>3450243</v>
      </c>
      <c r="F169" s="482">
        <v>0</v>
      </c>
      <c r="G169" s="482">
        <v>0</v>
      </c>
      <c r="H169" s="535">
        <v>0</v>
      </c>
      <c r="I169" s="464">
        <f>E169+F169+K169</f>
        <v>3450243</v>
      </c>
      <c r="J169" s="469">
        <f t="shared" si="127"/>
        <v>100</v>
      </c>
      <c r="K169" s="470">
        <v>0</v>
      </c>
      <c r="L169" s="471">
        <v>0</v>
      </c>
      <c r="M169" s="467">
        <f t="shared" si="138"/>
        <v>0</v>
      </c>
      <c r="N169" s="3170"/>
    </row>
    <row r="170" spans="1:14" ht="12.75" customHeight="1" thickBot="1" x14ac:dyDescent="0.25">
      <c r="A170" s="3190"/>
      <c r="B170" s="473" t="s">
        <v>12</v>
      </c>
      <c r="C170" s="3087"/>
      <c r="D170" s="474">
        <f t="shared" ref="D170:I170" si="140">+D171</f>
        <v>8555851</v>
      </c>
      <c r="E170" s="475">
        <f t="shared" si="140"/>
        <v>8555851</v>
      </c>
      <c r="F170" s="477">
        <f t="shared" si="140"/>
        <v>0</v>
      </c>
      <c r="G170" s="477">
        <f t="shared" si="140"/>
        <v>0</v>
      </c>
      <c r="H170" s="476">
        <f t="shared" si="140"/>
        <v>0</v>
      </c>
      <c r="I170" s="474">
        <f t="shared" si="140"/>
        <v>8555851</v>
      </c>
      <c r="J170" s="31">
        <f t="shared" si="127"/>
        <v>100</v>
      </c>
      <c r="K170" s="477">
        <f>+K171</f>
        <v>0</v>
      </c>
      <c r="L170" s="478">
        <v>0</v>
      </c>
      <c r="M170" s="459">
        <f t="shared" si="138"/>
        <v>0</v>
      </c>
      <c r="N170" s="3192"/>
    </row>
    <row r="171" spans="1:14" x14ac:dyDescent="0.2">
      <c r="A171" s="3116"/>
      <c r="B171" s="460" t="s">
        <v>14</v>
      </c>
      <c r="C171" s="3087"/>
      <c r="D171" s="461">
        <f>+E171+F171+G171</f>
        <v>8555851</v>
      </c>
      <c r="E171" s="463">
        <f>53939+5427454+3074458</f>
        <v>8555851</v>
      </c>
      <c r="F171" s="482">
        <v>0</v>
      </c>
      <c r="G171" s="482">
        <v>0</v>
      </c>
      <c r="H171" s="535">
        <v>0</v>
      </c>
      <c r="I171" s="464">
        <f>E171+F171+K171</f>
        <v>8555851</v>
      </c>
      <c r="J171" s="465">
        <f t="shared" si="127"/>
        <v>100</v>
      </c>
      <c r="K171" s="470">
        <v>0</v>
      </c>
      <c r="L171" s="483">
        <v>0</v>
      </c>
      <c r="M171" s="467">
        <f t="shared" si="138"/>
        <v>0</v>
      </c>
      <c r="N171" s="3113"/>
    </row>
    <row r="172" spans="1:14" x14ac:dyDescent="0.2">
      <c r="A172" s="3118"/>
      <c r="B172" s="334" t="s">
        <v>16</v>
      </c>
      <c r="C172" s="27"/>
      <c r="D172" s="415">
        <f>+D173+D175</f>
        <v>12006094</v>
      </c>
      <c r="E172" s="416">
        <f>+E173+E175</f>
        <v>12006094</v>
      </c>
      <c r="F172" s="593">
        <f>+F173+F175</f>
        <v>0</v>
      </c>
      <c r="G172" s="593">
        <f>+G173+G175</f>
        <v>0</v>
      </c>
      <c r="H172" s="484">
        <f>+H173</f>
        <v>0</v>
      </c>
      <c r="I172" s="415">
        <f>+I173+I175</f>
        <v>12006094</v>
      </c>
      <c r="J172" s="29">
        <f t="shared" si="127"/>
        <v>100</v>
      </c>
      <c r="K172" s="593">
        <f>+K173+K175</f>
        <v>0</v>
      </c>
      <c r="L172" s="532">
        <v>0</v>
      </c>
      <c r="M172" s="453">
        <f t="shared" si="138"/>
        <v>0</v>
      </c>
      <c r="N172" s="3087"/>
    </row>
    <row r="173" spans="1:14" ht="13.5" customHeight="1" x14ac:dyDescent="0.2">
      <c r="A173" s="3118"/>
      <c r="B173" s="454" t="s">
        <v>17</v>
      </c>
      <c r="C173" s="3193" t="s">
        <v>51</v>
      </c>
      <c r="D173" s="474">
        <f>+D174</f>
        <v>3450243</v>
      </c>
      <c r="E173" s="475">
        <f>+E174</f>
        <v>3450243</v>
      </c>
      <c r="F173" s="477">
        <f>+F174</f>
        <v>0</v>
      </c>
      <c r="G173" s="477">
        <f>+G174</f>
        <v>0</v>
      </c>
      <c r="H173" s="476">
        <f>+H174</f>
        <v>0</v>
      </c>
      <c r="I173" s="474">
        <f>+I174</f>
        <v>3450243</v>
      </c>
      <c r="J173" s="31">
        <f t="shared" si="127"/>
        <v>100</v>
      </c>
      <c r="K173" s="477">
        <f>+K174</f>
        <v>0</v>
      </c>
      <c r="L173" s="478">
        <v>0</v>
      </c>
      <c r="M173" s="459">
        <f t="shared" si="138"/>
        <v>0</v>
      </c>
      <c r="N173" s="3087"/>
    </row>
    <row r="174" spans="1:14" ht="13.5" customHeight="1" x14ac:dyDescent="0.2">
      <c r="A174" s="3118"/>
      <c r="B174" s="608" t="s">
        <v>9</v>
      </c>
      <c r="C174" s="3194"/>
      <c r="D174" s="461">
        <f>+E174+F174+G174</f>
        <v>3450243</v>
      </c>
      <c r="E174" s="574">
        <f>1666139+1784104</f>
        <v>3450243</v>
      </c>
      <c r="F174" s="609">
        <v>0</v>
      </c>
      <c r="G174" s="609">
        <v>0</v>
      </c>
      <c r="H174" s="535">
        <v>0</v>
      </c>
      <c r="I174" s="464">
        <f>E174+F174+K174</f>
        <v>3450243</v>
      </c>
      <c r="J174" s="465">
        <f t="shared" si="127"/>
        <v>100</v>
      </c>
      <c r="K174" s="609">
        <v>0</v>
      </c>
      <c r="L174" s="483">
        <v>0</v>
      </c>
      <c r="M174" s="467">
        <f t="shared" si="138"/>
        <v>0</v>
      </c>
      <c r="N174" s="3087"/>
    </row>
    <row r="175" spans="1:14" ht="12" customHeight="1" x14ac:dyDescent="0.2">
      <c r="A175" s="3118"/>
      <c r="B175" s="473" t="s">
        <v>12</v>
      </c>
      <c r="C175" s="3194"/>
      <c r="D175" s="474">
        <f t="shared" ref="D175:I175" si="141">+D176</f>
        <v>8555851</v>
      </c>
      <c r="E175" s="475">
        <f t="shared" si="141"/>
        <v>8555851</v>
      </c>
      <c r="F175" s="477">
        <f t="shared" si="141"/>
        <v>0</v>
      </c>
      <c r="G175" s="477">
        <f t="shared" si="141"/>
        <v>0</v>
      </c>
      <c r="H175" s="476">
        <f t="shared" si="141"/>
        <v>0</v>
      </c>
      <c r="I175" s="474">
        <f t="shared" si="141"/>
        <v>8555851</v>
      </c>
      <c r="J175" s="31">
        <f t="shared" si="127"/>
        <v>100</v>
      </c>
      <c r="K175" s="477">
        <f>+K176</f>
        <v>0</v>
      </c>
      <c r="L175" s="478">
        <v>0</v>
      </c>
      <c r="M175" s="459">
        <f t="shared" si="138"/>
        <v>0</v>
      </c>
      <c r="N175" s="3087"/>
    </row>
    <row r="176" spans="1:14" ht="12.75" customHeight="1" thickBot="1" x14ac:dyDescent="0.25">
      <c r="A176" s="3164"/>
      <c r="B176" s="537" t="s">
        <v>14</v>
      </c>
      <c r="C176" s="3195"/>
      <c r="D176" s="500">
        <f>+E176+F176+G176</f>
        <v>8555851</v>
      </c>
      <c r="E176" s="502">
        <f>3895966+4659885</f>
        <v>8555851</v>
      </c>
      <c r="F176" s="526">
        <v>0</v>
      </c>
      <c r="G176" s="526">
        <v>0</v>
      </c>
      <c r="H176" s="548">
        <v>0</v>
      </c>
      <c r="I176" s="504">
        <f>E176+F176+K176</f>
        <v>8555851</v>
      </c>
      <c r="J176" s="505">
        <f t="shared" si="127"/>
        <v>100</v>
      </c>
      <c r="K176" s="526">
        <v>0</v>
      </c>
      <c r="L176" s="603">
        <v>0</v>
      </c>
      <c r="M176" s="467">
        <f t="shared" si="138"/>
        <v>0</v>
      </c>
      <c r="N176" s="3169"/>
    </row>
    <row r="177" spans="1:14" ht="27" customHeight="1" x14ac:dyDescent="0.2">
      <c r="A177" s="3116" t="s">
        <v>50</v>
      </c>
      <c r="B177" s="541" t="s">
        <v>248</v>
      </c>
      <c r="C177" s="443" t="s">
        <v>168</v>
      </c>
      <c r="D177" s="610"/>
      <c r="E177" s="611"/>
      <c r="F177" s="611"/>
      <c r="G177" s="611"/>
      <c r="H177" s="612"/>
      <c r="I177" s="610"/>
      <c r="J177" s="611"/>
      <c r="K177" s="611"/>
      <c r="L177" s="613"/>
      <c r="M177" s="613"/>
      <c r="N177" s="3113" t="s">
        <v>37</v>
      </c>
    </row>
    <row r="178" spans="1:14" x14ac:dyDescent="0.2">
      <c r="A178" s="3117"/>
      <c r="B178" s="334" t="s">
        <v>2</v>
      </c>
      <c r="C178" s="27"/>
      <c r="D178" s="415">
        <f t="shared" ref="D178:I178" si="142">+D179+D182</f>
        <v>26143067.210000001</v>
      </c>
      <c r="E178" s="416">
        <f t="shared" si="142"/>
        <v>25815047</v>
      </c>
      <c r="F178" s="416">
        <f>+F179+F182</f>
        <v>8020.21</v>
      </c>
      <c r="G178" s="416">
        <f t="shared" si="142"/>
        <v>125000</v>
      </c>
      <c r="H178" s="416">
        <f t="shared" si="142"/>
        <v>195000</v>
      </c>
      <c r="I178" s="415">
        <f t="shared" si="142"/>
        <v>25945207.210000001</v>
      </c>
      <c r="J178" s="29">
        <f t="shared" si="127"/>
        <v>99.243164551387011</v>
      </c>
      <c r="K178" s="416">
        <f>+K179+K182</f>
        <v>122140</v>
      </c>
      <c r="L178" s="452">
        <f t="shared" ref="L178:L229" si="143">K178/G178*100</f>
        <v>97.712000000000003</v>
      </c>
      <c r="M178" s="453">
        <f t="shared" ref="M178:M188" si="144">+K178-G178</f>
        <v>-2860</v>
      </c>
      <c r="N178" s="3170"/>
    </row>
    <row r="179" spans="1:14" ht="13.5" customHeight="1" x14ac:dyDescent="0.2">
      <c r="A179" s="3117"/>
      <c r="B179" s="614" t="s">
        <v>17</v>
      </c>
      <c r="C179" s="3142" t="s">
        <v>38</v>
      </c>
      <c r="D179" s="615">
        <f t="shared" ref="D179:I179" si="145">+D180+D181</f>
        <v>11503477.210000001</v>
      </c>
      <c r="E179" s="616">
        <f t="shared" si="145"/>
        <v>11175457</v>
      </c>
      <c r="F179" s="616">
        <f>+F180+F181</f>
        <v>8020.21</v>
      </c>
      <c r="G179" s="616">
        <f t="shared" si="145"/>
        <v>125000</v>
      </c>
      <c r="H179" s="616">
        <f t="shared" si="145"/>
        <v>195000</v>
      </c>
      <c r="I179" s="615">
        <f t="shared" si="145"/>
        <v>11305617.210000001</v>
      </c>
      <c r="J179" s="617">
        <f t="shared" si="127"/>
        <v>98.279998331043757</v>
      </c>
      <c r="K179" s="616">
        <f>+K180+K181</f>
        <v>122140</v>
      </c>
      <c r="L179" s="618">
        <f t="shared" si="143"/>
        <v>97.712000000000003</v>
      </c>
      <c r="M179" s="459">
        <f t="shared" si="144"/>
        <v>-2860</v>
      </c>
      <c r="N179" s="3170"/>
    </row>
    <row r="180" spans="1:14" ht="12.75" customHeight="1" x14ac:dyDescent="0.2">
      <c r="A180" s="3117"/>
      <c r="B180" s="460" t="s">
        <v>4</v>
      </c>
      <c r="C180" s="3087"/>
      <c r="D180" s="461">
        <f>+E180+F180+G180+H180</f>
        <v>6536096.21</v>
      </c>
      <c r="E180" s="463">
        <f>56178+2975893+3176005</f>
        <v>6208076</v>
      </c>
      <c r="F180" s="463">
        <v>8020.21</v>
      </c>
      <c r="G180" s="463">
        <v>125000</v>
      </c>
      <c r="H180" s="463">
        <v>195000</v>
      </c>
      <c r="I180" s="550">
        <f>E180+F180+K180</f>
        <v>6338236.21</v>
      </c>
      <c r="J180" s="465">
        <f t="shared" si="127"/>
        <v>96.972810778132654</v>
      </c>
      <c r="K180" s="462">
        <v>122140</v>
      </c>
      <c r="L180" s="466">
        <f t="shared" si="143"/>
        <v>97.712000000000003</v>
      </c>
      <c r="M180" s="467">
        <f t="shared" si="144"/>
        <v>-2860</v>
      </c>
      <c r="N180" s="3170"/>
    </row>
    <row r="181" spans="1:14" ht="13.5" customHeight="1" x14ac:dyDescent="0.2">
      <c r="A181" s="3117"/>
      <c r="B181" s="608" t="s">
        <v>9</v>
      </c>
      <c r="C181" s="3087"/>
      <c r="D181" s="461">
        <f>++E181+F181+G181</f>
        <v>4967381</v>
      </c>
      <c r="E181" s="463">
        <f>3643961+1323420</f>
        <v>4967381</v>
      </c>
      <c r="F181" s="482">
        <v>0</v>
      </c>
      <c r="G181" s="482">
        <v>0</v>
      </c>
      <c r="H181" s="535">
        <v>0</v>
      </c>
      <c r="I181" s="550">
        <f>E181+F181+K181</f>
        <v>4967381</v>
      </c>
      <c r="J181" s="469">
        <f t="shared" si="127"/>
        <v>100</v>
      </c>
      <c r="K181" s="470">
        <v>0</v>
      </c>
      <c r="L181" s="471">
        <v>0</v>
      </c>
      <c r="M181" s="467">
        <f t="shared" si="144"/>
        <v>0</v>
      </c>
      <c r="N181" s="3170"/>
    </row>
    <row r="182" spans="1:14" ht="13.5" customHeight="1" x14ac:dyDescent="0.2">
      <c r="A182" s="3117"/>
      <c r="B182" s="473" t="s">
        <v>12</v>
      </c>
      <c r="C182" s="3087"/>
      <c r="D182" s="474">
        <f t="shared" ref="D182:I182" si="146">+D183</f>
        <v>14639590</v>
      </c>
      <c r="E182" s="475">
        <f t="shared" si="146"/>
        <v>14639590</v>
      </c>
      <c r="F182" s="477">
        <f>+F183</f>
        <v>0</v>
      </c>
      <c r="G182" s="477">
        <f t="shared" si="146"/>
        <v>0</v>
      </c>
      <c r="H182" s="476">
        <f t="shared" si="146"/>
        <v>0</v>
      </c>
      <c r="I182" s="474">
        <f t="shared" si="146"/>
        <v>14639590</v>
      </c>
      <c r="J182" s="31">
        <f t="shared" si="127"/>
        <v>100</v>
      </c>
      <c r="K182" s="477">
        <f>+K183</f>
        <v>0</v>
      </c>
      <c r="L182" s="478">
        <v>0</v>
      </c>
      <c r="M182" s="459">
        <f t="shared" si="144"/>
        <v>0</v>
      </c>
      <c r="N182" s="3170"/>
    </row>
    <row r="183" spans="1:14" ht="13.5" customHeight="1" x14ac:dyDescent="0.2">
      <c r="A183" s="3117"/>
      <c r="B183" s="460" t="s">
        <v>14</v>
      </c>
      <c r="C183" s="3087"/>
      <c r="D183" s="461">
        <f>+E183+F183+G183</f>
        <v>14639590</v>
      </c>
      <c r="E183" s="463">
        <f>5078+8549311+6085201</f>
        <v>14639590</v>
      </c>
      <c r="F183" s="482">
        <v>0</v>
      </c>
      <c r="G183" s="482">
        <v>0</v>
      </c>
      <c r="H183" s="535">
        <v>0</v>
      </c>
      <c r="I183" s="550">
        <f>E183+F183+K183</f>
        <v>14639590</v>
      </c>
      <c r="J183" s="465">
        <f t="shared" si="127"/>
        <v>100</v>
      </c>
      <c r="K183" s="470">
        <v>0</v>
      </c>
      <c r="L183" s="483">
        <v>0</v>
      </c>
      <c r="M183" s="467">
        <f t="shared" si="144"/>
        <v>0</v>
      </c>
      <c r="N183" s="3170"/>
    </row>
    <row r="184" spans="1:14" x14ac:dyDescent="0.2">
      <c r="A184" s="3118"/>
      <c r="B184" s="334" t="s">
        <v>16</v>
      </c>
      <c r="C184" s="27"/>
      <c r="D184" s="415">
        <f t="shared" ref="D184:I184" si="147">+D185+D187</f>
        <v>19606971</v>
      </c>
      <c r="E184" s="416">
        <f t="shared" si="147"/>
        <v>17399572</v>
      </c>
      <c r="F184" s="416">
        <f>+F185+F187</f>
        <v>2207399</v>
      </c>
      <c r="G184" s="593">
        <f t="shared" si="147"/>
        <v>0</v>
      </c>
      <c r="H184" s="484">
        <f t="shared" si="147"/>
        <v>0</v>
      </c>
      <c r="I184" s="415">
        <f t="shared" si="147"/>
        <v>19606971</v>
      </c>
      <c r="J184" s="29">
        <f t="shared" si="127"/>
        <v>100</v>
      </c>
      <c r="K184" s="593">
        <f>+K185+K187</f>
        <v>0</v>
      </c>
      <c r="L184" s="532">
        <v>0</v>
      </c>
      <c r="M184" s="453">
        <f t="shared" si="144"/>
        <v>0</v>
      </c>
      <c r="N184" s="3087"/>
    </row>
    <row r="185" spans="1:14" ht="13.5" customHeight="1" x14ac:dyDescent="0.2">
      <c r="A185" s="3118"/>
      <c r="B185" s="614" t="s">
        <v>17</v>
      </c>
      <c r="C185" s="3141" t="s">
        <v>51</v>
      </c>
      <c r="D185" s="619">
        <f t="shared" ref="D185:I185" si="148">+D186</f>
        <v>4967381</v>
      </c>
      <c r="E185" s="620">
        <f t="shared" si="148"/>
        <v>4967381</v>
      </c>
      <c r="F185" s="621">
        <f>+F186</f>
        <v>0</v>
      </c>
      <c r="G185" s="621">
        <f t="shared" si="148"/>
        <v>0</v>
      </c>
      <c r="H185" s="622">
        <f t="shared" si="148"/>
        <v>0</v>
      </c>
      <c r="I185" s="619">
        <f t="shared" si="148"/>
        <v>4967381</v>
      </c>
      <c r="J185" s="617">
        <f t="shared" si="127"/>
        <v>100</v>
      </c>
      <c r="K185" s="621">
        <f>+K186</f>
        <v>0</v>
      </c>
      <c r="L185" s="623">
        <v>0</v>
      </c>
      <c r="M185" s="459">
        <f t="shared" si="144"/>
        <v>0</v>
      </c>
      <c r="N185" s="3087"/>
    </row>
    <row r="186" spans="1:14" ht="12.75" customHeight="1" x14ac:dyDescent="0.2">
      <c r="A186" s="3118"/>
      <c r="B186" s="608" t="s">
        <v>9</v>
      </c>
      <c r="C186" s="3141"/>
      <c r="D186" s="461">
        <f>+E186+F186+G186</f>
        <v>4967381</v>
      </c>
      <c r="E186" s="574">
        <f>1336670+3643961-13250</f>
        <v>4967381</v>
      </c>
      <c r="F186" s="609">
        <v>0</v>
      </c>
      <c r="G186" s="609">
        <v>0</v>
      </c>
      <c r="H186" s="586">
        <v>0</v>
      </c>
      <c r="I186" s="550">
        <f>E186+F186+K186</f>
        <v>4967381</v>
      </c>
      <c r="J186" s="465">
        <f t="shared" si="127"/>
        <v>100</v>
      </c>
      <c r="K186" s="609">
        <v>0</v>
      </c>
      <c r="L186" s="483">
        <v>0</v>
      </c>
      <c r="M186" s="467">
        <f t="shared" si="144"/>
        <v>0</v>
      </c>
      <c r="N186" s="3087"/>
    </row>
    <row r="187" spans="1:14" ht="12" customHeight="1" x14ac:dyDescent="0.2">
      <c r="A187" s="3118"/>
      <c r="B187" s="473" t="s">
        <v>12</v>
      </c>
      <c r="C187" s="3141"/>
      <c r="D187" s="474">
        <f t="shared" ref="D187:I187" si="149">+D188</f>
        <v>14639590</v>
      </c>
      <c r="E187" s="475">
        <f t="shared" si="149"/>
        <v>12432191</v>
      </c>
      <c r="F187" s="475">
        <f>+F188</f>
        <v>2207399</v>
      </c>
      <c r="G187" s="477">
        <f t="shared" si="149"/>
        <v>0</v>
      </c>
      <c r="H187" s="476">
        <f t="shared" si="149"/>
        <v>0</v>
      </c>
      <c r="I187" s="474">
        <f t="shared" si="149"/>
        <v>14639590</v>
      </c>
      <c r="J187" s="31">
        <f t="shared" si="127"/>
        <v>100</v>
      </c>
      <c r="K187" s="477">
        <f>+K188</f>
        <v>0</v>
      </c>
      <c r="L187" s="478">
        <v>0</v>
      </c>
      <c r="M187" s="459">
        <f t="shared" si="144"/>
        <v>0</v>
      </c>
      <c r="N187" s="3087"/>
    </row>
    <row r="188" spans="1:14" ht="11.25" customHeight="1" thickBot="1" x14ac:dyDescent="0.25">
      <c r="A188" s="3119"/>
      <c r="B188" s="537" t="s">
        <v>14</v>
      </c>
      <c r="C188" s="3191"/>
      <c r="D188" s="500">
        <f>+E188+F188+G188+H188</f>
        <v>14639590</v>
      </c>
      <c r="E188" s="502">
        <f>5451106+6981085</f>
        <v>12432191</v>
      </c>
      <c r="F188" s="502">
        <v>2207399</v>
      </c>
      <c r="G188" s="526">
        <v>0</v>
      </c>
      <c r="H188" s="624">
        <v>0</v>
      </c>
      <c r="I188" s="565">
        <f>E188+F188+K188</f>
        <v>14639590</v>
      </c>
      <c r="J188" s="505">
        <f t="shared" si="127"/>
        <v>100</v>
      </c>
      <c r="K188" s="526">
        <v>0</v>
      </c>
      <c r="L188" s="603">
        <v>0</v>
      </c>
      <c r="M188" s="502">
        <f t="shared" si="144"/>
        <v>0</v>
      </c>
      <c r="N188" s="3090"/>
    </row>
    <row r="189" spans="1:14" ht="27" customHeight="1" x14ac:dyDescent="0.2">
      <c r="A189" s="3116" t="s">
        <v>52</v>
      </c>
      <c r="B189" s="541" t="s">
        <v>249</v>
      </c>
      <c r="C189" s="443" t="s">
        <v>168</v>
      </c>
      <c r="D189" s="444"/>
      <c r="E189" s="445"/>
      <c r="F189" s="445"/>
      <c r="G189" s="445"/>
      <c r="H189" s="446"/>
      <c r="I189" s="444"/>
      <c r="J189" s="445"/>
      <c r="K189" s="445"/>
      <c r="L189" s="449"/>
      <c r="M189" s="449"/>
      <c r="N189" s="3113" t="s">
        <v>37</v>
      </c>
    </row>
    <row r="190" spans="1:14" ht="11.25" customHeight="1" x14ac:dyDescent="0.2">
      <c r="A190" s="3117"/>
      <c r="B190" s="334" t="s">
        <v>2</v>
      </c>
      <c r="C190" s="27"/>
      <c r="D190" s="415">
        <f t="shared" ref="D190:I190" si="150">+D191+D194</f>
        <v>26202703.34</v>
      </c>
      <c r="E190" s="416">
        <f t="shared" si="150"/>
        <v>9358171</v>
      </c>
      <c r="F190" s="416">
        <f>+F191+F194</f>
        <v>16514532.34</v>
      </c>
      <c r="G190" s="416">
        <f t="shared" si="150"/>
        <v>168920</v>
      </c>
      <c r="H190" s="416">
        <f t="shared" si="150"/>
        <v>161080</v>
      </c>
      <c r="I190" s="415">
        <f t="shared" si="150"/>
        <v>26041623.34</v>
      </c>
      <c r="J190" s="29">
        <f t="shared" si="127"/>
        <v>99.385254269722239</v>
      </c>
      <c r="K190" s="416">
        <f>+K191+K194</f>
        <v>168920</v>
      </c>
      <c r="L190" s="452">
        <f t="shared" si="143"/>
        <v>100</v>
      </c>
      <c r="M190" s="453">
        <f t="shared" ref="M190:M200" si="151">+K190-G190</f>
        <v>0</v>
      </c>
      <c r="N190" s="3170"/>
    </row>
    <row r="191" spans="1:14" ht="13.5" customHeight="1" x14ac:dyDescent="0.2">
      <c r="A191" s="3117"/>
      <c r="B191" s="614" t="s">
        <v>17</v>
      </c>
      <c r="C191" s="3142" t="s">
        <v>38</v>
      </c>
      <c r="D191" s="619">
        <f t="shared" ref="D191:I191" si="152">+D192+D193</f>
        <v>7689538</v>
      </c>
      <c r="E191" s="620">
        <f t="shared" si="152"/>
        <v>3207467</v>
      </c>
      <c r="F191" s="620">
        <f>+F192+F193</f>
        <v>4152071</v>
      </c>
      <c r="G191" s="620">
        <f t="shared" si="152"/>
        <v>168920</v>
      </c>
      <c r="H191" s="620">
        <f t="shared" si="152"/>
        <v>161080</v>
      </c>
      <c r="I191" s="619">
        <f t="shared" si="152"/>
        <v>7528458</v>
      </c>
      <c r="J191" s="617">
        <f t="shared" si="127"/>
        <v>97.905205748381761</v>
      </c>
      <c r="K191" s="620">
        <f>+K192+K193</f>
        <v>168920</v>
      </c>
      <c r="L191" s="618">
        <f t="shared" si="143"/>
        <v>100</v>
      </c>
      <c r="M191" s="459">
        <f t="shared" si="151"/>
        <v>0</v>
      </c>
      <c r="N191" s="3170"/>
    </row>
    <row r="192" spans="1:14" ht="12.75" customHeight="1" x14ac:dyDescent="0.2">
      <c r="A192" s="3117"/>
      <c r="B192" s="460" t="s">
        <v>4</v>
      </c>
      <c r="C192" s="3087"/>
      <c r="D192" s="461">
        <f>+E192+F192+G192+H192</f>
        <v>6689538</v>
      </c>
      <c r="E192" s="463">
        <f>271955+317595+1617917</f>
        <v>2207467</v>
      </c>
      <c r="F192" s="463">
        <v>4152071</v>
      </c>
      <c r="G192" s="463">
        <v>168920</v>
      </c>
      <c r="H192" s="463">
        <v>161080</v>
      </c>
      <c r="I192" s="550">
        <f>E192+F192+K192</f>
        <v>6528458</v>
      </c>
      <c r="J192" s="465">
        <f t="shared" si="127"/>
        <v>97.592060916613377</v>
      </c>
      <c r="K192" s="463">
        <v>168920</v>
      </c>
      <c r="L192" s="466">
        <f t="shared" si="143"/>
        <v>100</v>
      </c>
      <c r="M192" s="467">
        <f t="shared" si="151"/>
        <v>0</v>
      </c>
      <c r="N192" s="3170"/>
    </row>
    <row r="193" spans="1:14" ht="11.25" customHeight="1" x14ac:dyDescent="0.2">
      <c r="A193" s="3117"/>
      <c r="B193" s="460" t="s">
        <v>56</v>
      </c>
      <c r="C193" s="3087"/>
      <c r="D193" s="461">
        <f>+E193+F193+G193</f>
        <v>1000000</v>
      </c>
      <c r="E193" s="463">
        <v>1000000</v>
      </c>
      <c r="F193" s="463">
        <v>0</v>
      </c>
      <c r="G193" s="470">
        <v>0</v>
      </c>
      <c r="H193" s="468">
        <v>0</v>
      </c>
      <c r="I193" s="550">
        <f>E193+F193+K193</f>
        <v>1000000</v>
      </c>
      <c r="J193" s="469">
        <f t="shared" si="127"/>
        <v>100</v>
      </c>
      <c r="K193" s="470">
        <v>0</v>
      </c>
      <c r="L193" s="483">
        <v>0</v>
      </c>
      <c r="M193" s="467">
        <f t="shared" si="151"/>
        <v>0</v>
      </c>
      <c r="N193" s="3170"/>
    </row>
    <row r="194" spans="1:14" ht="13.5" customHeight="1" x14ac:dyDescent="0.2">
      <c r="A194" s="3117"/>
      <c r="B194" s="473" t="s">
        <v>12</v>
      </c>
      <c r="C194" s="3087"/>
      <c r="D194" s="474">
        <f t="shared" ref="D194:I194" si="153">+D195</f>
        <v>18513165.34</v>
      </c>
      <c r="E194" s="475">
        <f t="shared" si="153"/>
        <v>6150704</v>
      </c>
      <c r="F194" s="475">
        <f>+F195</f>
        <v>12362461.34</v>
      </c>
      <c r="G194" s="477">
        <f t="shared" si="153"/>
        <v>0</v>
      </c>
      <c r="H194" s="476">
        <f t="shared" si="153"/>
        <v>0</v>
      </c>
      <c r="I194" s="474">
        <f t="shared" si="153"/>
        <v>18513165.34</v>
      </c>
      <c r="J194" s="31">
        <f t="shared" ref="J194:J259" si="154">I194/D194*100</f>
        <v>100</v>
      </c>
      <c r="K194" s="477">
        <f>+K195</f>
        <v>0</v>
      </c>
      <c r="L194" s="483">
        <v>0</v>
      </c>
      <c r="M194" s="459">
        <f t="shared" si="151"/>
        <v>0</v>
      </c>
      <c r="N194" s="3170"/>
    </row>
    <row r="195" spans="1:14" ht="11.25" customHeight="1" x14ac:dyDescent="0.2">
      <c r="A195" s="3117"/>
      <c r="B195" s="460" t="s">
        <v>14</v>
      </c>
      <c r="C195" s="3087"/>
      <c r="D195" s="461">
        <f>+E195+F195+G195+H195</f>
        <v>18513165.34</v>
      </c>
      <c r="E195" s="463">
        <f>728023+790793+4631888</f>
        <v>6150704</v>
      </c>
      <c r="F195" s="463">
        <v>12362461.34</v>
      </c>
      <c r="G195" s="470">
        <v>0</v>
      </c>
      <c r="H195" s="494">
        <v>0</v>
      </c>
      <c r="I195" s="550">
        <f>E195+F195+K195</f>
        <v>18513165.34</v>
      </c>
      <c r="J195" s="465">
        <f t="shared" si="154"/>
        <v>100</v>
      </c>
      <c r="K195" s="470">
        <v>0</v>
      </c>
      <c r="L195" s="483">
        <v>0</v>
      </c>
      <c r="M195" s="467">
        <f t="shared" si="151"/>
        <v>0</v>
      </c>
      <c r="N195" s="3170"/>
    </row>
    <row r="196" spans="1:14" ht="11.25" customHeight="1" x14ac:dyDescent="0.2">
      <c r="A196" s="3118"/>
      <c r="B196" s="334" t="s">
        <v>16</v>
      </c>
      <c r="C196" s="27"/>
      <c r="D196" s="415">
        <f t="shared" ref="D196:I196" si="155">+D199+D197</f>
        <v>19513165</v>
      </c>
      <c r="E196" s="416">
        <f t="shared" ref="E196" si="156">+E199+E197</f>
        <v>3294283</v>
      </c>
      <c r="F196" s="416">
        <f>+F199+F197</f>
        <v>13243753</v>
      </c>
      <c r="G196" s="416">
        <f t="shared" si="155"/>
        <v>2975129</v>
      </c>
      <c r="H196" s="484">
        <f t="shared" si="155"/>
        <v>0</v>
      </c>
      <c r="I196" s="415">
        <f t="shared" si="155"/>
        <v>19513165</v>
      </c>
      <c r="J196" s="29">
        <f t="shared" si="154"/>
        <v>100</v>
      </c>
      <c r="K196" s="416">
        <f>+K199+K197</f>
        <v>2975129</v>
      </c>
      <c r="L196" s="452">
        <f t="shared" si="143"/>
        <v>100</v>
      </c>
      <c r="M196" s="453">
        <f t="shared" si="151"/>
        <v>0</v>
      </c>
      <c r="N196" s="3087"/>
    </row>
    <row r="197" spans="1:14" ht="13.5" customHeight="1" x14ac:dyDescent="0.2">
      <c r="A197" s="3118"/>
      <c r="B197" s="250" t="s">
        <v>17</v>
      </c>
      <c r="C197" s="3141" t="s">
        <v>51</v>
      </c>
      <c r="D197" s="619">
        <f t="shared" ref="D197:I197" si="157">+D198</f>
        <v>1000000</v>
      </c>
      <c r="E197" s="620">
        <f t="shared" si="157"/>
        <v>1000000</v>
      </c>
      <c r="F197" s="621">
        <f>+F198</f>
        <v>0</v>
      </c>
      <c r="G197" s="621">
        <f t="shared" si="157"/>
        <v>0</v>
      </c>
      <c r="H197" s="622">
        <f t="shared" si="157"/>
        <v>0</v>
      </c>
      <c r="I197" s="619">
        <f t="shared" si="157"/>
        <v>1000000</v>
      </c>
      <c r="J197" s="617">
        <f t="shared" si="154"/>
        <v>100</v>
      </c>
      <c r="K197" s="621">
        <f>+K198</f>
        <v>0</v>
      </c>
      <c r="L197" s="623">
        <v>0</v>
      </c>
      <c r="M197" s="459">
        <f t="shared" si="151"/>
        <v>0</v>
      </c>
      <c r="N197" s="3087"/>
    </row>
    <row r="198" spans="1:14" ht="13.5" customHeight="1" x14ac:dyDescent="0.2">
      <c r="A198" s="3118"/>
      <c r="B198" s="460" t="s">
        <v>56</v>
      </c>
      <c r="C198" s="3141"/>
      <c r="D198" s="461">
        <f>+E198+F198+G198+H198</f>
        <v>1000000</v>
      </c>
      <c r="E198" s="463">
        <v>1000000</v>
      </c>
      <c r="F198" s="470">
        <v>0</v>
      </c>
      <c r="G198" s="470">
        <v>0</v>
      </c>
      <c r="H198" s="468">
        <v>0</v>
      </c>
      <c r="I198" s="550">
        <f>E198+F198+K198</f>
        <v>1000000</v>
      </c>
      <c r="J198" s="465">
        <f t="shared" si="154"/>
        <v>100</v>
      </c>
      <c r="K198" s="470">
        <v>0</v>
      </c>
      <c r="L198" s="483">
        <v>0</v>
      </c>
      <c r="M198" s="467">
        <f t="shared" si="151"/>
        <v>0</v>
      </c>
      <c r="N198" s="3087"/>
    </row>
    <row r="199" spans="1:14" ht="12" customHeight="1" x14ac:dyDescent="0.2">
      <c r="A199" s="3118"/>
      <c r="B199" s="473" t="s">
        <v>12</v>
      </c>
      <c r="C199" s="3141"/>
      <c r="D199" s="474">
        <f t="shared" ref="D199:I199" si="158">+D200</f>
        <v>18513165</v>
      </c>
      <c r="E199" s="475">
        <f t="shared" si="158"/>
        <v>2294283</v>
      </c>
      <c r="F199" s="475">
        <f>+F200</f>
        <v>13243753</v>
      </c>
      <c r="G199" s="475">
        <f t="shared" si="158"/>
        <v>2975129</v>
      </c>
      <c r="H199" s="476">
        <f t="shared" si="158"/>
        <v>0</v>
      </c>
      <c r="I199" s="474">
        <f t="shared" si="158"/>
        <v>18513165</v>
      </c>
      <c r="J199" s="31">
        <f t="shared" si="154"/>
        <v>100</v>
      </c>
      <c r="K199" s="475">
        <f>+K200</f>
        <v>2975129</v>
      </c>
      <c r="L199" s="545">
        <f t="shared" si="143"/>
        <v>100</v>
      </c>
      <c r="M199" s="459">
        <f t="shared" si="151"/>
        <v>0</v>
      </c>
      <c r="N199" s="3087"/>
    </row>
    <row r="200" spans="1:14" ht="13.5" customHeight="1" thickBot="1" x14ac:dyDescent="0.25">
      <c r="A200" s="3164"/>
      <c r="B200" s="625" t="s">
        <v>14</v>
      </c>
      <c r="C200" s="3141"/>
      <c r="D200" s="626">
        <f>+E200+F200+G200+H200</f>
        <v>18513165</v>
      </c>
      <c r="E200" s="627">
        <v>2294283</v>
      </c>
      <c r="F200" s="627">
        <v>13243753</v>
      </c>
      <c r="G200" s="627">
        <v>2975129</v>
      </c>
      <c r="H200" s="628">
        <v>0</v>
      </c>
      <c r="I200" s="629">
        <f>E200+F200+K200</f>
        <v>18513165</v>
      </c>
      <c r="J200" s="630">
        <f t="shared" si="154"/>
        <v>100</v>
      </c>
      <c r="K200" s="627">
        <v>2975129</v>
      </c>
      <c r="L200" s="631">
        <f t="shared" si="143"/>
        <v>100</v>
      </c>
      <c r="M200" s="467">
        <f t="shared" si="151"/>
        <v>0</v>
      </c>
      <c r="N200" s="3169"/>
    </row>
    <row r="201" spans="1:14" ht="25.5" customHeight="1" x14ac:dyDescent="0.2">
      <c r="A201" s="3116" t="s">
        <v>53</v>
      </c>
      <c r="B201" s="442" t="s">
        <v>280</v>
      </c>
      <c r="C201" s="443" t="s">
        <v>168</v>
      </c>
      <c r="D201" s="444"/>
      <c r="E201" s="445"/>
      <c r="F201" s="445"/>
      <c r="G201" s="445"/>
      <c r="H201" s="446"/>
      <c r="I201" s="444"/>
      <c r="J201" s="445"/>
      <c r="K201" s="445"/>
      <c r="L201" s="449"/>
      <c r="M201" s="449"/>
      <c r="N201" s="3113" t="s">
        <v>37</v>
      </c>
    </row>
    <row r="202" spans="1:14" ht="12.75" customHeight="1" x14ac:dyDescent="0.2">
      <c r="A202" s="3117"/>
      <c r="B202" s="334" t="s">
        <v>2</v>
      </c>
      <c r="C202" s="27"/>
      <c r="D202" s="513">
        <f t="shared" ref="D202:I202" si="159">+D203+D205</f>
        <v>16556550</v>
      </c>
      <c r="E202" s="514">
        <f t="shared" si="159"/>
        <v>346651</v>
      </c>
      <c r="F202" s="514">
        <f>+F203+F205</f>
        <v>4096693</v>
      </c>
      <c r="G202" s="514">
        <f t="shared" si="159"/>
        <v>2500000</v>
      </c>
      <c r="H202" s="514">
        <f t="shared" si="159"/>
        <v>9613206</v>
      </c>
      <c r="I202" s="513">
        <f t="shared" si="159"/>
        <v>6744991.2199999997</v>
      </c>
      <c r="J202" s="29">
        <f t="shared" si="154"/>
        <v>40.739110623892053</v>
      </c>
      <c r="K202" s="514">
        <f>+K203+K205</f>
        <v>2301647.2199999997</v>
      </c>
      <c r="L202" s="452">
        <f t="shared" si="143"/>
        <v>92.065888799999982</v>
      </c>
      <c r="M202" s="453">
        <f t="shared" ref="M202:M209" si="160">+K202-G202</f>
        <v>-198352.78000000026</v>
      </c>
      <c r="N202" s="3170"/>
    </row>
    <row r="203" spans="1:14" ht="12.75" customHeight="1" x14ac:dyDescent="0.2">
      <c r="A203" s="3117"/>
      <c r="B203" s="454" t="s">
        <v>17</v>
      </c>
      <c r="C203" s="3086" t="s">
        <v>38</v>
      </c>
      <c r="D203" s="632">
        <f t="shared" ref="D203:I203" si="161">+D204</f>
        <v>1534550</v>
      </c>
      <c r="E203" s="633">
        <f t="shared" si="161"/>
        <v>134200</v>
      </c>
      <c r="F203" s="633">
        <f>+F204</f>
        <v>706235</v>
      </c>
      <c r="G203" s="633">
        <f t="shared" si="161"/>
        <v>400000</v>
      </c>
      <c r="H203" s="633">
        <f t="shared" si="161"/>
        <v>294115</v>
      </c>
      <c r="I203" s="632">
        <f t="shared" si="161"/>
        <v>1139261.05</v>
      </c>
      <c r="J203" s="31">
        <f t="shared" si="154"/>
        <v>74.240725294060155</v>
      </c>
      <c r="K203" s="633">
        <f>+K204</f>
        <v>298826.05</v>
      </c>
      <c r="L203" s="545">
        <f t="shared" si="143"/>
        <v>74.706512500000002</v>
      </c>
      <c r="M203" s="459">
        <f t="shared" si="160"/>
        <v>-101173.95000000001</v>
      </c>
      <c r="N203" s="3170"/>
    </row>
    <row r="204" spans="1:14" ht="12.75" customHeight="1" x14ac:dyDescent="0.2">
      <c r="A204" s="3117"/>
      <c r="B204" s="460" t="s">
        <v>4</v>
      </c>
      <c r="C204" s="3087"/>
      <c r="D204" s="461">
        <f>++E204+F204+G204+H204</f>
        <v>1534550</v>
      </c>
      <c r="E204" s="462">
        <f>122000+12200</f>
        <v>134200</v>
      </c>
      <c r="F204" s="462">
        <v>706235</v>
      </c>
      <c r="G204" s="462">
        <v>400000</v>
      </c>
      <c r="H204" s="462">
        <v>294115</v>
      </c>
      <c r="I204" s="550">
        <f>E204+F204+K204</f>
        <v>1139261.05</v>
      </c>
      <c r="J204" s="465">
        <f t="shared" si="154"/>
        <v>74.240725294060155</v>
      </c>
      <c r="K204" s="463">
        <v>298826.05</v>
      </c>
      <c r="L204" s="466">
        <f t="shared" si="143"/>
        <v>74.706512500000002</v>
      </c>
      <c r="M204" s="467">
        <f t="shared" si="160"/>
        <v>-101173.95000000001</v>
      </c>
      <c r="N204" s="3170"/>
    </row>
    <row r="205" spans="1:14" ht="12.75" customHeight="1" x14ac:dyDescent="0.2">
      <c r="A205" s="3117"/>
      <c r="B205" s="473" t="s">
        <v>12</v>
      </c>
      <c r="C205" s="3087"/>
      <c r="D205" s="474">
        <f t="shared" ref="D205:I205" si="162">+D206</f>
        <v>15022000</v>
      </c>
      <c r="E205" s="475">
        <f t="shared" si="162"/>
        <v>212451</v>
      </c>
      <c r="F205" s="475">
        <f>+F206</f>
        <v>3390458</v>
      </c>
      <c r="G205" s="475">
        <f t="shared" si="162"/>
        <v>2100000</v>
      </c>
      <c r="H205" s="475">
        <f t="shared" si="162"/>
        <v>9319091</v>
      </c>
      <c r="I205" s="474">
        <f t="shared" si="162"/>
        <v>5605730.1699999999</v>
      </c>
      <c r="J205" s="31">
        <f t="shared" si="154"/>
        <v>37.316803155372121</v>
      </c>
      <c r="K205" s="475">
        <f>+K206</f>
        <v>2002821.17</v>
      </c>
      <c r="L205" s="545">
        <f t="shared" si="143"/>
        <v>95.372436666666658</v>
      </c>
      <c r="M205" s="459">
        <f t="shared" si="160"/>
        <v>-97178.830000000075</v>
      </c>
      <c r="N205" s="3170"/>
    </row>
    <row r="206" spans="1:14" ht="12.75" customHeight="1" x14ac:dyDescent="0.2">
      <c r="A206" s="3117"/>
      <c r="B206" s="460" t="s">
        <v>14</v>
      </c>
      <c r="C206" s="3087"/>
      <c r="D206" s="461">
        <f>+E206+F206+G206+H206</f>
        <v>15022000</v>
      </c>
      <c r="E206" s="462">
        <v>212451</v>
      </c>
      <c r="F206" s="462">
        <v>3390458</v>
      </c>
      <c r="G206" s="462">
        <v>2100000</v>
      </c>
      <c r="H206" s="462">
        <v>9319091</v>
      </c>
      <c r="I206" s="550">
        <f>E206+F206+K206</f>
        <v>5605730.1699999999</v>
      </c>
      <c r="J206" s="465">
        <f t="shared" si="154"/>
        <v>37.316803155372121</v>
      </c>
      <c r="K206" s="463">
        <v>2002821.17</v>
      </c>
      <c r="L206" s="466">
        <f t="shared" si="143"/>
        <v>95.372436666666658</v>
      </c>
      <c r="M206" s="467">
        <f t="shared" si="160"/>
        <v>-97178.830000000075</v>
      </c>
      <c r="N206" s="3170"/>
    </row>
    <row r="207" spans="1:14" s="511" customFormat="1" ht="12.75" customHeight="1" x14ac:dyDescent="0.2">
      <c r="A207" s="3118"/>
      <c r="B207" s="334" t="s">
        <v>16</v>
      </c>
      <c r="C207" s="27"/>
      <c r="D207" s="415">
        <f t="shared" ref="D207:H208" si="163">+D208</f>
        <v>15022000</v>
      </c>
      <c r="E207" s="593">
        <f t="shared" si="163"/>
        <v>0</v>
      </c>
      <c r="F207" s="416">
        <f>+F208</f>
        <v>2910028</v>
      </c>
      <c r="G207" s="416">
        <f t="shared" si="163"/>
        <v>2637123</v>
      </c>
      <c r="H207" s="416">
        <f t="shared" si="163"/>
        <v>9474849</v>
      </c>
      <c r="I207" s="415">
        <f>+I208</f>
        <v>5547151</v>
      </c>
      <c r="J207" s="29">
        <f t="shared" si="154"/>
        <v>36.926847290640396</v>
      </c>
      <c r="K207" s="416">
        <f>+K208</f>
        <v>2637123</v>
      </c>
      <c r="L207" s="452">
        <f t="shared" si="143"/>
        <v>100</v>
      </c>
      <c r="M207" s="453">
        <f t="shared" si="160"/>
        <v>0</v>
      </c>
      <c r="N207" s="3087"/>
    </row>
    <row r="208" spans="1:14" s="634" customFormat="1" ht="12.75" customHeight="1" x14ac:dyDescent="0.2">
      <c r="A208" s="3118"/>
      <c r="B208" s="473" t="s">
        <v>12</v>
      </c>
      <c r="C208" s="3086" t="s">
        <v>34</v>
      </c>
      <c r="D208" s="558">
        <f t="shared" si="163"/>
        <v>15022000</v>
      </c>
      <c r="E208" s="585">
        <f t="shared" si="163"/>
        <v>0</v>
      </c>
      <c r="F208" s="560">
        <f>+F209</f>
        <v>2910028</v>
      </c>
      <c r="G208" s="560">
        <f t="shared" si="163"/>
        <v>2637123</v>
      </c>
      <c r="H208" s="560">
        <f t="shared" si="163"/>
        <v>9474849</v>
      </c>
      <c r="I208" s="558">
        <f>+I209</f>
        <v>5547151</v>
      </c>
      <c r="J208" s="31">
        <f t="shared" si="154"/>
        <v>36.926847290640396</v>
      </c>
      <c r="K208" s="559">
        <f>+K209</f>
        <v>2637123</v>
      </c>
      <c r="L208" s="545">
        <f t="shared" si="143"/>
        <v>100</v>
      </c>
      <c r="M208" s="459">
        <f t="shared" si="160"/>
        <v>0</v>
      </c>
      <c r="N208" s="3087"/>
    </row>
    <row r="209" spans="1:14" s="511" customFormat="1" ht="12.75" customHeight="1" thickBot="1" x14ac:dyDescent="0.25">
      <c r="A209" s="3119"/>
      <c r="B209" s="562" t="s">
        <v>14</v>
      </c>
      <c r="C209" s="3090"/>
      <c r="D209" s="500">
        <f>+E209+F209+G209+H209</f>
        <v>15022000</v>
      </c>
      <c r="E209" s="526">
        <v>0</v>
      </c>
      <c r="F209" s="563">
        <v>2910028</v>
      </c>
      <c r="G209" s="563">
        <v>2637123</v>
      </c>
      <c r="H209" s="563">
        <v>9474849</v>
      </c>
      <c r="I209" s="565">
        <f>E209+F209+K209</f>
        <v>5547151</v>
      </c>
      <c r="J209" s="505">
        <f t="shared" si="154"/>
        <v>36.926847290640396</v>
      </c>
      <c r="K209" s="563">
        <v>2637123</v>
      </c>
      <c r="L209" s="635">
        <f t="shared" si="143"/>
        <v>100</v>
      </c>
      <c r="M209" s="467">
        <f t="shared" si="160"/>
        <v>0</v>
      </c>
      <c r="N209" s="3090"/>
    </row>
    <row r="210" spans="1:14" ht="25.5" customHeight="1" x14ac:dyDescent="0.2">
      <c r="A210" s="3116" t="s">
        <v>54</v>
      </c>
      <c r="B210" s="442" t="s">
        <v>250</v>
      </c>
      <c r="C210" s="443" t="s">
        <v>168</v>
      </c>
      <c r="D210" s="444"/>
      <c r="E210" s="445"/>
      <c r="F210" s="445"/>
      <c r="G210" s="445"/>
      <c r="H210" s="446"/>
      <c r="I210" s="444"/>
      <c r="J210" s="445"/>
      <c r="K210" s="445"/>
      <c r="L210" s="449"/>
      <c r="M210" s="449"/>
      <c r="N210" s="3113" t="s">
        <v>37</v>
      </c>
    </row>
    <row r="211" spans="1:14" ht="12.75" customHeight="1" x14ac:dyDescent="0.2">
      <c r="A211" s="3117"/>
      <c r="B211" s="566" t="s">
        <v>2</v>
      </c>
      <c r="C211" s="27"/>
      <c r="D211" s="415">
        <f t="shared" ref="D211:I211" si="164">+D212+D215</f>
        <v>10137325</v>
      </c>
      <c r="E211" s="416">
        <f t="shared" si="164"/>
        <v>9170615</v>
      </c>
      <c r="F211" s="593">
        <f t="shared" si="164"/>
        <v>0</v>
      </c>
      <c r="G211" s="416">
        <f t="shared" si="164"/>
        <v>966710</v>
      </c>
      <c r="H211" s="484">
        <f t="shared" si="164"/>
        <v>0</v>
      </c>
      <c r="I211" s="415">
        <f t="shared" si="164"/>
        <v>10137325</v>
      </c>
      <c r="J211" s="29">
        <f t="shared" si="154"/>
        <v>100</v>
      </c>
      <c r="K211" s="416">
        <f>+K212+K215</f>
        <v>966710</v>
      </c>
      <c r="L211" s="452">
        <f t="shared" si="143"/>
        <v>100</v>
      </c>
      <c r="M211" s="453">
        <f t="shared" ref="M211:M221" si="165">+K211-G211</f>
        <v>0</v>
      </c>
      <c r="N211" s="3170"/>
    </row>
    <row r="212" spans="1:14" ht="12.75" customHeight="1" x14ac:dyDescent="0.2">
      <c r="A212" s="3117"/>
      <c r="B212" s="636" t="s">
        <v>17</v>
      </c>
      <c r="C212" s="3142" t="s">
        <v>38</v>
      </c>
      <c r="D212" s="615">
        <f>+D213+D214</f>
        <v>3903701</v>
      </c>
      <c r="E212" s="616">
        <f>+E213+E214</f>
        <v>2936991</v>
      </c>
      <c r="F212" s="637">
        <f>+F213+F214</f>
        <v>0</v>
      </c>
      <c r="G212" s="616">
        <f>+G213+G214</f>
        <v>966710</v>
      </c>
      <c r="H212" s="638">
        <f>+H213</f>
        <v>0</v>
      </c>
      <c r="I212" s="615">
        <f>+I213+I214</f>
        <v>3903701</v>
      </c>
      <c r="J212" s="617">
        <f t="shared" si="154"/>
        <v>100</v>
      </c>
      <c r="K212" s="616">
        <f>+K213+K214</f>
        <v>966710</v>
      </c>
      <c r="L212" s="618">
        <f t="shared" si="143"/>
        <v>100</v>
      </c>
      <c r="M212" s="459">
        <f t="shared" si="165"/>
        <v>0</v>
      </c>
      <c r="N212" s="3170"/>
    </row>
    <row r="213" spans="1:14" ht="12.75" customHeight="1" x14ac:dyDescent="0.2">
      <c r="A213" s="3117"/>
      <c r="B213" s="460" t="s">
        <v>4</v>
      </c>
      <c r="C213" s="3087"/>
      <c r="D213" s="461">
        <f>++E213+F213+G213</f>
        <v>3081253</v>
      </c>
      <c r="E213" s="463">
        <f>43962+910061+1160520</f>
        <v>2114543</v>
      </c>
      <c r="F213" s="482">
        <v>0</v>
      </c>
      <c r="G213" s="462">
        <v>966710</v>
      </c>
      <c r="H213" s="535">
        <v>0</v>
      </c>
      <c r="I213" s="550">
        <f>E213+F213+K213</f>
        <v>3081253</v>
      </c>
      <c r="J213" s="465">
        <f t="shared" si="154"/>
        <v>100</v>
      </c>
      <c r="K213" s="462">
        <v>966710</v>
      </c>
      <c r="L213" s="466">
        <f t="shared" si="143"/>
        <v>100</v>
      </c>
      <c r="M213" s="467">
        <f t="shared" si="165"/>
        <v>0</v>
      </c>
      <c r="N213" s="3170"/>
    </row>
    <row r="214" spans="1:14" ht="12.75" customHeight="1" x14ac:dyDescent="0.2">
      <c r="A214" s="3117"/>
      <c r="B214" s="608" t="s">
        <v>9</v>
      </c>
      <c r="C214" s="3087"/>
      <c r="D214" s="461">
        <f>++E214+F214+G214</f>
        <v>822448</v>
      </c>
      <c r="E214" s="462">
        <v>822448</v>
      </c>
      <c r="F214" s="482">
        <v>0</v>
      </c>
      <c r="G214" s="482">
        <v>0</v>
      </c>
      <c r="H214" s="535">
        <v>0</v>
      </c>
      <c r="I214" s="550">
        <f>E214+F214+K214</f>
        <v>822448</v>
      </c>
      <c r="J214" s="469">
        <f t="shared" si="154"/>
        <v>100</v>
      </c>
      <c r="K214" s="470">
        <v>0</v>
      </c>
      <c r="L214" s="471">
        <v>0</v>
      </c>
      <c r="M214" s="467">
        <f t="shared" si="165"/>
        <v>0</v>
      </c>
      <c r="N214" s="3170"/>
    </row>
    <row r="215" spans="1:14" ht="12.75" customHeight="1" x14ac:dyDescent="0.2">
      <c r="A215" s="3117"/>
      <c r="B215" s="572" t="s">
        <v>12</v>
      </c>
      <c r="C215" s="3087"/>
      <c r="D215" s="474">
        <f t="shared" ref="D215:I215" si="166">+D216</f>
        <v>6233624</v>
      </c>
      <c r="E215" s="475">
        <f t="shared" si="166"/>
        <v>6233624</v>
      </c>
      <c r="F215" s="477">
        <f t="shared" si="166"/>
        <v>0</v>
      </c>
      <c r="G215" s="477">
        <f t="shared" si="166"/>
        <v>0</v>
      </c>
      <c r="H215" s="476">
        <f t="shared" si="166"/>
        <v>0</v>
      </c>
      <c r="I215" s="474">
        <f t="shared" si="166"/>
        <v>6233624</v>
      </c>
      <c r="J215" s="31">
        <f t="shared" si="154"/>
        <v>100</v>
      </c>
      <c r="K215" s="477">
        <f>+K216</f>
        <v>0</v>
      </c>
      <c r="L215" s="478">
        <v>0</v>
      </c>
      <c r="M215" s="459">
        <f t="shared" si="165"/>
        <v>0</v>
      </c>
      <c r="N215" s="3170"/>
    </row>
    <row r="216" spans="1:14" ht="12.75" customHeight="1" x14ac:dyDescent="0.2">
      <c r="A216" s="3117"/>
      <c r="B216" s="460" t="s">
        <v>14</v>
      </c>
      <c r="C216" s="3087"/>
      <c r="D216" s="461">
        <f>+E216+F216+G216</f>
        <v>6233624</v>
      </c>
      <c r="E216" s="463">
        <f>131887+2682842+3418895</f>
        <v>6233624</v>
      </c>
      <c r="F216" s="482">
        <v>0</v>
      </c>
      <c r="G216" s="482">
        <v>0</v>
      </c>
      <c r="H216" s="535">
        <v>0</v>
      </c>
      <c r="I216" s="550">
        <f>E216+F216+K216</f>
        <v>6233624</v>
      </c>
      <c r="J216" s="465">
        <f t="shared" si="154"/>
        <v>100</v>
      </c>
      <c r="K216" s="470">
        <v>0</v>
      </c>
      <c r="L216" s="483">
        <v>0</v>
      </c>
      <c r="M216" s="467">
        <f t="shared" si="165"/>
        <v>0</v>
      </c>
      <c r="N216" s="3170"/>
    </row>
    <row r="217" spans="1:14" s="511" customFormat="1" ht="12.75" customHeight="1" x14ac:dyDescent="0.2">
      <c r="A217" s="3118"/>
      <c r="B217" s="566" t="s">
        <v>16</v>
      </c>
      <c r="C217" s="27"/>
      <c r="D217" s="451">
        <f t="shared" ref="D217:I217" si="167">+D220+D218</f>
        <v>7056072</v>
      </c>
      <c r="E217" s="453">
        <f t="shared" ref="E217" si="168">+E220+E218</f>
        <v>6440789</v>
      </c>
      <c r="F217" s="453">
        <f t="shared" si="167"/>
        <v>615283</v>
      </c>
      <c r="G217" s="532">
        <f t="shared" si="167"/>
        <v>0</v>
      </c>
      <c r="H217" s="484">
        <f t="shared" si="167"/>
        <v>0</v>
      </c>
      <c r="I217" s="451">
        <f t="shared" si="167"/>
        <v>7056072</v>
      </c>
      <c r="J217" s="29">
        <f t="shared" si="154"/>
        <v>100</v>
      </c>
      <c r="K217" s="532">
        <f>+K220+K218</f>
        <v>0</v>
      </c>
      <c r="L217" s="532">
        <v>0</v>
      </c>
      <c r="M217" s="453">
        <f t="shared" si="165"/>
        <v>0</v>
      </c>
      <c r="N217" s="3087"/>
    </row>
    <row r="218" spans="1:14" s="511" customFormat="1" ht="12.75" customHeight="1" x14ac:dyDescent="0.2">
      <c r="A218" s="3118"/>
      <c r="B218" s="636" t="s">
        <v>17</v>
      </c>
      <c r="C218" s="3141" t="s">
        <v>51</v>
      </c>
      <c r="D218" s="619">
        <f>+D219</f>
        <v>822448</v>
      </c>
      <c r="E218" s="620">
        <f>+E219</f>
        <v>822448</v>
      </c>
      <c r="F218" s="621">
        <f>+F219</f>
        <v>0</v>
      </c>
      <c r="G218" s="621">
        <v>0</v>
      </c>
      <c r="H218" s="622">
        <f>+H219</f>
        <v>0</v>
      </c>
      <c r="I218" s="619">
        <f>+I219</f>
        <v>822448</v>
      </c>
      <c r="J218" s="617">
        <f t="shared" si="154"/>
        <v>100</v>
      </c>
      <c r="K218" s="639">
        <f>+K219</f>
        <v>0</v>
      </c>
      <c r="L218" s="623">
        <v>0</v>
      </c>
      <c r="M218" s="459">
        <f t="shared" si="165"/>
        <v>0</v>
      </c>
      <c r="N218" s="3087"/>
    </row>
    <row r="219" spans="1:14" s="511" customFormat="1" ht="12.75" customHeight="1" x14ac:dyDescent="0.2">
      <c r="A219" s="3118"/>
      <c r="B219" s="608" t="s">
        <v>9</v>
      </c>
      <c r="C219" s="3141"/>
      <c r="D219" s="461">
        <f>++E219+F219+G219</f>
        <v>822448</v>
      </c>
      <c r="E219" s="640">
        <v>822448</v>
      </c>
      <c r="F219" s="641">
        <v>0</v>
      </c>
      <c r="G219" s="641">
        <v>0</v>
      </c>
      <c r="H219" s="642">
        <v>0</v>
      </c>
      <c r="I219" s="550">
        <f>E219+F219+K219</f>
        <v>822448</v>
      </c>
      <c r="J219" s="465">
        <f t="shared" si="154"/>
        <v>100</v>
      </c>
      <c r="K219" s="641">
        <v>0</v>
      </c>
      <c r="L219" s="483">
        <v>0</v>
      </c>
      <c r="M219" s="467">
        <f t="shared" si="165"/>
        <v>0</v>
      </c>
      <c r="N219" s="3087"/>
    </row>
    <row r="220" spans="1:14" s="634" customFormat="1" ht="12.75" customHeight="1" x14ac:dyDescent="0.2">
      <c r="A220" s="3118"/>
      <c r="B220" s="572" t="s">
        <v>12</v>
      </c>
      <c r="C220" s="3141"/>
      <c r="D220" s="455">
        <f t="shared" ref="D220:H220" si="169">D221</f>
        <v>6233624</v>
      </c>
      <c r="E220" s="559">
        <f t="shared" si="169"/>
        <v>5618341</v>
      </c>
      <c r="F220" s="559">
        <f t="shared" si="169"/>
        <v>615283</v>
      </c>
      <c r="G220" s="585">
        <f t="shared" si="169"/>
        <v>0</v>
      </c>
      <c r="H220" s="576">
        <f t="shared" si="169"/>
        <v>0</v>
      </c>
      <c r="I220" s="550">
        <f>+I221</f>
        <v>6233624</v>
      </c>
      <c r="J220" s="31">
        <f t="shared" si="154"/>
        <v>100</v>
      </c>
      <c r="K220" s="605">
        <f>+K221</f>
        <v>0</v>
      </c>
      <c r="L220" s="478">
        <v>0</v>
      </c>
      <c r="M220" s="467">
        <f t="shared" si="165"/>
        <v>0</v>
      </c>
      <c r="N220" s="3087"/>
    </row>
    <row r="221" spans="1:14" s="511" customFormat="1" ht="12.75" customHeight="1" thickBot="1" x14ac:dyDescent="0.25">
      <c r="A221" s="3119"/>
      <c r="B221" s="562" t="s">
        <v>14</v>
      </c>
      <c r="C221" s="3191"/>
      <c r="D221" s="500">
        <f>+E221+F221+G221+H221</f>
        <v>6233624</v>
      </c>
      <c r="E221" s="563">
        <f>2714556+2903785</f>
        <v>5618341</v>
      </c>
      <c r="F221" s="563">
        <v>615283</v>
      </c>
      <c r="G221" s="643">
        <v>0</v>
      </c>
      <c r="H221" s="644">
        <v>0</v>
      </c>
      <c r="I221" s="565">
        <f>E221+F221+K221</f>
        <v>6233624</v>
      </c>
      <c r="J221" s="505">
        <f t="shared" si="154"/>
        <v>100</v>
      </c>
      <c r="K221" s="526">
        <v>0</v>
      </c>
      <c r="L221" s="603">
        <v>0</v>
      </c>
      <c r="M221" s="502">
        <f t="shared" si="165"/>
        <v>0</v>
      </c>
      <c r="N221" s="3090"/>
    </row>
    <row r="222" spans="1:14" ht="27" customHeight="1" x14ac:dyDescent="0.2">
      <c r="A222" s="3173" t="s">
        <v>55</v>
      </c>
      <c r="B222" s="645" t="s">
        <v>59</v>
      </c>
      <c r="C222" s="580" t="s">
        <v>168</v>
      </c>
      <c r="D222" s="581"/>
      <c r="E222" s="582"/>
      <c r="F222" s="582"/>
      <c r="G222" s="582"/>
      <c r="H222" s="583"/>
      <c r="I222" s="581"/>
      <c r="J222" s="582"/>
      <c r="K222" s="582"/>
      <c r="L222" s="584"/>
      <c r="M222" s="584"/>
      <c r="N222" s="3174" t="s">
        <v>37</v>
      </c>
    </row>
    <row r="223" spans="1:14" ht="13.5" customHeight="1" x14ac:dyDescent="0.2">
      <c r="A223" s="3117"/>
      <c r="B223" s="334" t="s">
        <v>2</v>
      </c>
      <c r="C223" s="27"/>
      <c r="D223" s="513">
        <f t="shared" ref="D223:I223" si="170">+D224+D226</f>
        <v>18700000</v>
      </c>
      <c r="E223" s="514">
        <f t="shared" ref="E223" si="171">+E224+E226</f>
        <v>94400</v>
      </c>
      <c r="F223" s="514">
        <f>+F224+F226</f>
        <v>272752</v>
      </c>
      <c r="G223" s="514">
        <f t="shared" si="170"/>
        <v>12400000</v>
      </c>
      <c r="H223" s="589">
        <f t="shared" si="170"/>
        <v>5932848</v>
      </c>
      <c r="I223" s="513">
        <f t="shared" si="170"/>
        <v>12746916.4</v>
      </c>
      <c r="J223" s="516">
        <f t="shared" si="154"/>
        <v>68.165328342245985</v>
      </c>
      <c r="K223" s="514">
        <f>+K224+K226</f>
        <v>12379764.4</v>
      </c>
      <c r="L223" s="543">
        <f t="shared" si="143"/>
        <v>99.836809677419353</v>
      </c>
      <c r="M223" s="453">
        <f t="shared" ref="M223:M230" si="172">+K223-G223</f>
        <v>-20235.599999999627</v>
      </c>
      <c r="N223" s="3170"/>
    </row>
    <row r="224" spans="1:14" ht="12.75" customHeight="1" x14ac:dyDescent="0.2">
      <c r="A224" s="3117"/>
      <c r="B224" s="454" t="s">
        <v>17</v>
      </c>
      <c r="C224" s="3086" t="s">
        <v>38</v>
      </c>
      <c r="D224" s="519">
        <f t="shared" ref="D224:I224" si="173">+D225</f>
        <v>6591176</v>
      </c>
      <c r="E224" s="520">
        <f t="shared" si="173"/>
        <v>32276</v>
      </c>
      <c r="F224" s="520">
        <f>+F225</f>
        <v>93257</v>
      </c>
      <c r="G224" s="520">
        <f t="shared" si="173"/>
        <v>4250539</v>
      </c>
      <c r="H224" s="590">
        <f t="shared" si="173"/>
        <v>2215104</v>
      </c>
      <c r="I224" s="519">
        <f t="shared" si="173"/>
        <v>4370329.12</v>
      </c>
      <c r="J224" s="176">
        <f t="shared" si="154"/>
        <v>66.305756666185218</v>
      </c>
      <c r="K224" s="520">
        <f>+K225</f>
        <v>4244796.12</v>
      </c>
      <c r="L224" s="646">
        <f t="shared" si="143"/>
        <v>99.864890546822409</v>
      </c>
      <c r="M224" s="459">
        <f t="shared" si="172"/>
        <v>-5742.8799999998882</v>
      </c>
      <c r="N224" s="3170"/>
    </row>
    <row r="225" spans="1:14" ht="12.75" customHeight="1" x14ac:dyDescent="0.2">
      <c r="A225" s="3117"/>
      <c r="B225" s="647" t="s">
        <v>4</v>
      </c>
      <c r="C225" s="3087"/>
      <c r="D225" s="461">
        <f>++E225+F225+G225+H225</f>
        <v>6591176</v>
      </c>
      <c r="E225" s="462">
        <v>32276</v>
      </c>
      <c r="F225" s="462">
        <v>93257</v>
      </c>
      <c r="G225" s="462">
        <v>4250539</v>
      </c>
      <c r="H225" s="648">
        <v>2215104</v>
      </c>
      <c r="I225" s="550">
        <f>E225+F225+K225</f>
        <v>4370329.12</v>
      </c>
      <c r="J225" s="469">
        <f t="shared" si="154"/>
        <v>66.305756666185218</v>
      </c>
      <c r="K225" s="463">
        <v>4244796.12</v>
      </c>
      <c r="L225" s="557">
        <f t="shared" si="143"/>
        <v>99.864890546822409</v>
      </c>
      <c r="M225" s="467">
        <f t="shared" si="172"/>
        <v>-5742.8799999998882</v>
      </c>
      <c r="N225" s="3170"/>
    </row>
    <row r="226" spans="1:14" ht="12.75" customHeight="1" x14ac:dyDescent="0.2">
      <c r="A226" s="3117"/>
      <c r="B226" s="473" t="s">
        <v>12</v>
      </c>
      <c r="C226" s="3087"/>
      <c r="D226" s="474">
        <f t="shared" ref="D226:I226" si="174">+D227</f>
        <v>12108824</v>
      </c>
      <c r="E226" s="475">
        <f t="shared" si="174"/>
        <v>62124</v>
      </c>
      <c r="F226" s="475">
        <f>+F227</f>
        <v>179495</v>
      </c>
      <c r="G226" s="475">
        <f t="shared" si="174"/>
        <v>8149461</v>
      </c>
      <c r="H226" s="592">
        <f t="shared" si="174"/>
        <v>3717744</v>
      </c>
      <c r="I226" s="474">
        <f t="shared" si="174"/>
        <v>8376587.2800000003</v>
      </c>
      <c r="J226" s="31">
        <f t="shared" si="154"/>
        <v>69.177545895456078</v>
      </c>
      <c r="K226" s="475">
        <f>+K227</f>
        <v>8134968.2800000003</v>
      </c>
      <c r="L226" s="545">
        <f t="shared" si="143"/>
        <v>99.822163453509376</v>
      </c>
      <c r="M226" s="459">
        <f t="shared" si="172"/>
        <v>-14492.719999999739</v>
      </c>
      <c r="N226" s="3170"/>
    </row>
    <row r="227" spans="1:14" ht="12.75" customHeight="1" x14ac:dyDescent="0.2">
      <c r="A227" s="3117"/>
      <c r="B227" s="647" t="s">
        <v>14</v>
      </c>
      <c r="C227" s="3087"/>
      <c r="D227" s="461">
        <f>++E227+F227+G227+H227</f>
        <v>12108824</v>
      </c>
      <c r="E227" s="462">
        <v>62124</v>
      </c>
      <c r="F227" s="462">
        <v>179495</v>
      </c>
      <c r="G227" s="462">
        <v>8149461</v>
      </c>
      <c r="H227" s="591">
        <v>3717744</v>
      </c>
      <c r="I227" s="550">
        <f>E227+F227+K227</f>
        <v>8376587.2800000003</v>
      </c>
      <c r="J227" s="469">
        <f t="shared" si="154"/>
        <v>69.177545895456078</v>
      </c>
      <c r="K227" s="463">
        <f>6612456.74+1522511.54</f>
        <v>8134968.2800000003</v>
      </c>
      <c r="L227" s="557">
        <f t="shared" si="143"/>
        <v>99.822163453509376</v>
      </c>
      <c r="M227" s="467">
        <f t="shared" si="172"/>
        <v>-14492.719999999739</v>
      </c>
      <c r="N227" s="3170"/>
    </row>
    <row r="228" spans="1:14" s="511" customFormat="1" ht="12.75" customHeight="1" x14ac:dyDescent="0.2">
      <c r="A228" s="3118"/>
      <c r="B228" s="334" t="s">
        <v>16</v>
      </c>
      <c r="C228" s="27"/>
      <c r="D228" s="415">
        <f t="shared" ref="D228:I229" si="175">+D229</f>
        <v>12108824</v>
      </c>
      <c r="E228" s="593">
        <f t="shared" si="175"/>
        <v>0</v>
      </c>
      <c r="F228" s="593">
        <f>+F229</f>
        <v>0</v>
      </c>
      <c r="G228" s="416">
        <f t="shared" si="175"/>
        <v>6854075</v>
      </c>
      <c r="H228" s="594">
        <f t="shared" si="175"/>
        <v>5254749</v>
      </c>
      <c r="I228" s="513">
        <f t="shared" ref="I228" si="176">+I229+I231</f>
        <v>6854075</v>
      </c>
      <c r="J228" s="516">
        <f t="shared" si="154"/>
        <v>56.603969138538965</v>
      </c>
      <c r="K228" s="514">
        <f>+K229</f>
        <v>6854075</v>
      </c>
      <c r="L228" s="543">
        <f t="shared" si="143"/>
        <v>100</v>
      </c>
      <c r="M228" s="453">
        <f t="shared" si="172"/>
        <v>0</v>
      </c>
      <c r="N228" s="3087"/>
    </row>
    <row r="229" spans="1:14" s="634" customFormat="1" ht="12.75" customHeight="1" x14ac:dyDescent="0.2">
      <c r="A229" s="3118"/>
      <c r="B229" s="473" t="s">
        <v>12</v>
      </c>
      <c r="C229" s="3086" t="s">
        <v>34</v>
      </c>
      <c r="D229" s="558">
        <f t="shared" si="175"/>
        <v>12108824</v>
      </c>
      <c r="E229" s="585">
        <f t="shared" si="175"/>
        <v>0</v>
      </c>
      <c r="F229" s="585">
        <f>+F230</f>
        <v>0</v>
      </c>
      <c r="G229" s="559">
        <f t="shared" si="175"/>
        <v>6854075</v>
      </c>
      <c r="H229" s="600">
        <f t="shared" si="175"/>
        <v>5254749</v>
      </c>
      <c r="I229" s="519">
        <f t="shared" si="175"/>
        <v>6854075</v>
      </c>
      <c r="J229" s="176">
        <f t="shared" si="154"/>
        <v>56.603969138538965</v>
      </c>
      <c r="K229" s="520">
        <f>+K230</f>
        <v>6854075</v>
      </c>
      <c r="L229" s="646">
        <f t="shared" si="143"/>
        <v>100</v>
      </c>
      <c r="M229" s="459">
        <f t="shared" si="172"/>
        <v>0</v>
      </c>
      <c r="N229" s="3087"/>
    </row>
    <row r="230" spans="1:14" s="634" customFormat="1" ht="12.75" customHeight="1" thickBot="1" x14ac:dyDescent="0.25">
      <c r="A230" s="3119"/>
      <c r="B230" s="649" t="s">
        <v>14</v>
      </c>
      <c r="C230" s="3090"/>
      <c r="D230" s="500">
        <f>+E230+F230+G230+H230</f>
        <v>12108824</v>
      </c>
      <c r="E230" s="650">
        <v>0</v>
      </c>
      <c r="F230" s="650">
        <v>0</v>
      </c>
      <c r="G230" s="651">
        <v>6854075</v>
      </c>
      <c r="H230" s="652">
        <v>5254749</v>
      </c>
      <c r="I230" s="565">
        <f>E230+F230+K230</f>
        <v>6854075</v>
      </c>
      <c r="J230" s="539">
        <f t="shared" si="154"/>
        <v>56.603969138538965</v>
      </c>
      <c r="K230" s="502">
        <v>6854075</v>
      </c>
      <c r="L230" s="549">
        <f t="shared" ref="L230:L275" si="177">K230/G230*100</f>
        <v>100</v>
      </c>
      <c r="M230" s="467">
        <f t="shared" si="172"/>
        <v>0</v>
      </c>
      <c r="N230" s="3090"/>
    </row>
    <row r="231" spans="1:14" ht="28.5" customHeight="1" x14ac:dyDescent="0.2">
      <c r="A231" s="3116" t="s">
        <v>333</v>
      </c>
      <c r="B231" s="653" t="s">
        <v>251</v>
      </c>
      <c r="C231" s="443" t="s">
        <v>168</v>
      </c>
      <c r="D231" s="610"/>
      <c r="E231" s="611"/>
      <c r="F231" s="611"/>
      <c r="G231" s="611"/>
      <c r="H231" s="612"/>
      <c r="I231" s="610"/>
      <c r="J231" s="611"/>
      <c r="K231" s="611"/>
      <c r="L231" s="613"/>
      <c r="M231" s="613"/>
      <c r="N231" s="3113" t="s">
        <v>37</v>
      </c>
    </row>
    <row r="232" spans="1:14" ht="13.5" customHeight="1" x14ac:dyDescent="0.2">
      <c r="A232" s="3117"/>
      <c r="B232" s="654" t="s">
        <v>2</v>
      </c>
      <c r="C232" s="655"/>
      <c r="D232" s="656">
        <f t="shared" ref="D232:I232" si="178">+D233+D236</f>
        <v>21603075</v>
      </c>
      <c r="E232" s="657">
        <f t="shared" si="178"/>
        <v>6096694</v>
      </c>
      <c r="F232" s="657">
        <f>+F233+F236</f>
        <v>15106381</v>
      </c>
      <c r="G232" s="657">
        <f t="shared" si="178"/>
        <v>50000</v>
      </c>
      <c r="H232" s="657">
        <f t="shared" si="178"/>
        <v>350000</v>
      </c>
      <c r="I232" s="656">
        <f t="shared" si="178"/>
        <v>21203332.420000002</v>
      </c>
      <c r="J232" s="658">
        <f t="shared" si="154"/>
        <v>98.149603331933079</v>
      </c>
      <c r="K232" s="659">
        <f>+K233+K236</f>
        <v>257.42</v>
      </c>
      <c r="L232" s="660">
        <f t="shared" si="177"/>
        <v>0.51483999999999996</v>
      </c>
      <c r="M232" s="453">
        <f t="shared" ref="M232:M242" si="179">+K232-G232</f>
        <v>-49742.58</v>
      </c>
      <c r="N232" s="3170"/>
    </row>
    <row r="233" spans="1:14" ht="12.75" customHeight="1" x14ac:dyDescent="0.2">
      <c r="A233" s="3117"/>
      <c r="B233" s="454" t="s">
        <v>17</v>
      </c>
      <c r="C233" s="3086" t="s">
        <v>38</v>
      </c>
      <c r="D233" s="661">
        <f t="shared" ref="D233:I233" si="180">+D234+D235</f>
        <v>9142178</v>
      </c>
      <c r="E233" s="662">
        <f t="shared" si="180"/>
        <v>2000000</v>
      </c>
      <c r="F233" s="662">
        <f>+F234+F235</f>
        <v>6742178</v>
      </c>
      <c r="G233" s="662">
        <f t="shared" si="180"/>
        <v>50000</v>
      </c>
      <c r="H233" s="662">
        <f t="shared" si="180"/>
        <v>350000</v>
      </c>
      <c r="I233" s="455">
        <f t="shared" si="180"/>
        <v>8742435.4199999999</v>
      </c>
      <c r="J233" s="31">
        <f t="shared" si="154"/>
        <v>95.627490735796215</v>
      </c>
      <c r="K233" s="520">
        <f>+K234+K235</f>
        <v>257.42</v>
      </c>
      <c r="L233" s="545">
        <f t="shared" si="177"/>
        <v>0.51483999999999996</v>
      </c>
      <c r="M233" s="459">
        <f t="shared" si="179"/>
        <v>-49742.58</v>
      </c>
      <c r="N233" s="3170"/>
    </row>
    <row r="234" spans="1:14" ht="12.75" customHeight="1" x14ac:dyDescent="0.2">
      <c r="A234" s="3117"/>
      <c r="B234" s="460" t="s">
        <v>4</v>
      </c>
      <c r="C234" s="3087"/>
      <c r="D234" s="461">
        <f>+E234+F234+G234+H234</f>
        <v>1652314</v>
      </c>
      <c r="E234" s="462">
        <v>0</v>
      </c>
      <c r="F234" s="462">
        <v>1252314</v>
      </c>
      <c r="G234" s="462">
        <v>50000</v>
      </c>
      <c r="H234" s="462">
        <v>350000</v>
      </c>
      <c r="I234" s="550">
        <f>E234+F234+K234</f>
        <v>1252571.42</v>
      </c>
      <c r="J234" s="465">
        <f t="shared" si="154"/>
        <v>75.807105671198087</v>
      </c>
      <c r="K234" s="463">
        <v>257.42</v>
      </c>
      <c r="L234" s="466">
        <f t="shared" si="177"/>
        <v>0.51483999999999996</v>
      </c>
      <c r="M234" s="467">
        <f t="shared" si="179"/>
        <v>-49742.58</v>
      </c>
      <c r="N234" s="3170"/>
    </row>
    <row r="235" spans="1:14" ht="12.75" customHeight="1" x14ac:dyDescent="0.2">
      <c r="A235" s="3117"/>
      <c r="B235" s="608" t="s">
        <v>9</v>
      </c>
      <c r="C235" s="3087"/>
      <c r="D235" s="461">
        <f>+E235+F235+G235+H235</f>
        <v>7489864</v>
      </c>
      <c r="E235" s="462">
        <v>2000000</v>
      </c>
      <c r="F235" s="462">
        <v>5489864</v>
      </c>
      <c r="G235" s="482">
        <v>0</v>
      </c>
      <c r="H235" s="535">
        <v>0</v>
      </c>
      <c r="I235" s="550">
        <f>E235+F235+K235</f>
        <v>7489864</v>
      </c>
      <c r="J235" s="469">
        <f t="shared" si="154"/>
        <v>100</v>
      </c>
      <c r="K235" s="482">
        <v>0</v>
      </c>
      <c r="L235" s="471">
        <v>0</v>
      </c>
      <c r="M235" s="467">
        <f t="shared" si="179"/>
        <v>0</v>
      </c>
      <c r="N235" s="3170"/>
    </row>
    <row r="236" spans="1:14" ht="12.75" customHeight="1" x14ac:dyDescent="0.2">
      <c r="A236" s="3117"/>
      <c r="B236" s="473" t="s">
        <v>12</v>
      </c>
      <c r="C236" s="3087"/>
      <c r="D236" s="474">
        <f t="shared" ref="D236:I236" si="181">+D237</f>
        <v>12460897</v>
      </c>
      <c r="E236" s="475">
        <f t="shared" si="181"/>
        <v>4096694</v>
      </c>
      <c r="F236" s="475">
        <f>+F237</f>
        <v>8364203</v>
      </c>
      <c r="G236" s="477">
        <f t="shared" si="181"/>
        <v>0</v>
      </c>
      <c r="H236" s="476">
        <f t="shared" si="181"/>
        <v>0</v>
      </c>
      <c r="I236" s="474">
        <f t="shared" si="181"/>
        <v>12460897</v>
      </c>
      <c r="J236" s="31">
        <f t="shared" si="154"/>
        <v>100</v>
      </c>
      <c r="K236" s="477">
        <f>+K237</f>
        <v>0</v>
      </c>
      <c r="L236" s="478">
        <v>0</v>
      </c>
      <c r="M236" s="459">
        <f t="shared" si="179"/>
        <v>0</v>
      </c>
      <c r="N236" s="3170"/>
    </row>
    <row r="237" spans="1:14" ht="12.75" customHeight="1" x14ac:dyDescent="0.2">
      <c r="A237" s="3117"/>
      <c r="B237" s="460" t="s">
        <v>14</v>
      </c>
      <c r="C237" s="3087"/>
      <c r="D237" s="461">
        <f>++E237+F237+G237+H237</f>
        <v>12460897</v>
      </c>
      <c r="E237" s="463">
        <f>41480+201799+3853415</f>
        <v>4096694</v>
      </c>
      <c r="F237" s="462">
        <v>8364203</v>
      </c>
      <c r="G237" s="482">
        <v>0</v>
      </c>
      <c r="H237" s="522">
        <v>0</v>
      </c>
      <c r="I237" s="550">
        <f>E237+F237+K237</f>
        <v>12460897</v>
      </c>
      <c r="J237" s="465">
        <f t="shared" si="154"/>
        <v>100</v>
      </c>
      <c r="K237" s="482">
        <v>0</v>
      </c>
      <c r="L237" s="483">
        <v>0</v>
      </c>
      <c r="M237" s="467">
        <f t="shared" si="179"/>
        <v>0</v>
      </c>
      <c r="N237" s="3170"/>
    </row>
    <row r="238" spans="1:14" s="511" customFormat="1" ht="12.75" customHeight="1" x14ac:dyDescent="0.2">
      <c r="A238" s="3118"/>
      <c r="B238" s="334" t="s">
        <v>16</v>
      </c>
      <c r="C238" s="27"/>
      <c r="D238" s="451">
        <f t="shared" ref="D238:I238" si="182">+D241+D239</f>
        <v>19950761</v>
      </c>
      <c r="E238" s="453">
        <f t="shared" ref="E238" si="183">+E241+E239</f>
        <v>2000000</v>
      </c>
      <c r="F238" s="453">
        <f>+F241+F239</f>
        <v>15067686</v>
      </c>
      <c r="G238" s="453">
        <f t="shared" si="182"/>
        <v>2883075</v>
      </c>
      <c r="H238" s="484">
        <f t="shared" si="182"/>
        <v>0</v>
      </c>
      <c r="I238" s="451">
        <f t="shared" si="182"/>
        <v>19950761</v>
      </c>
      <c r="J238" s="29">
        <f t="shared" si="154"/>
        <v>100</v>
      </c>
      <c r="K238" s="453">
        <f>+K241+K239</f>
        <v>2883075</v>
      </c>
      <c r="L238" s="452">
        <f t="shared" si="177"/>
        <v>100</v>
      </c>
      <c r="M238" s="453">
        <f t="shared" si="179"/>
        <v>0</v>
      </c>
      <c r="N238" s="3087"/>
    </row>
    <row r="239" spans="1:14" s="511" customFormat="1" ht="12.75" customHeight="1" x14ac:dyDescent="0.2">
      <c r="A239" s="3118"/>
      <c r="B239" s="614" t="s">
        <v>17</v>
      </c>
      <c r="C239" s="3141" t="s">
        <v>51</v>
      </c>
      <c r="D239" s="619">
        <f t="shared" ref="D239:I239" si="184">+D240</f>
        <v>7489864</v>
      </c>
      <c r="E239" s="620">
        <f t="shared" si="184"/>
        <v>2000000</v>
      </c>
      <c r="F239" s="620">
        <f>+F240</f>
        <v>3500000</v>
      </c>
      <c r="G239" s="663">
        <f t="shared" si="184"/>
        <v>1989864</v>
      </c>
      <c r="H239" s="622">
        <f t="shared" si="184"/>
        <v>0</v>
      </c>
      <c r="I239" s="619">
        <f t="shared" si="184"/>
        <v>7489864</v>
      </c>
      <c r="J239" s="617">
        <f t="shared" si="154"/>
        <v>100</v>
      </c>
      <c r="K239" s="620">
        <f>+K240</f>
        <v>1989864</v>
      </c>
      <c r="L239" s="618">
        <f t="shared" si="177"/>
        <v>100</v>
      </c>
      <c r="M239" s="459">
        <f t="shared" si="179"/>
        <v>0</v>
      </c>
      <c r="N239" s="3087"/>
    </row>
    <row r="240" spans="1:14" s="511" customFormat="1" ht="12.75" customHeight="1" x14ac:dyDescent="0.2">
      <c r="A240" s="3118"/>
      <c r="B240" s="608" t="s">
        <v>9</v>
      </c>
      <c r="C240" s="3141"/>
      <c r="D240" s="461">
        <f>+E240+F240+G240+H240</f>
        <v>7489864</v>
      </c>
      <c r="E240" s="640">
        <v>2000000</v>
      </c>
      <c r="F240" s="640">
        <v>3500000</v>
      </c>
      <c r="G240" s="640">
        <v>1989864</v>
      </c>
      <c r="H240" s="642">
        <v>0</v>
      </c>
      <c r="I240" s="550">
        <f>E240+F240+K240</f>
        <v>7489864</v>
      </c>
      <c r="J240" s="465">
        <f t="shared" si="154"/>
        <v>100</v>
      </c>
      <c r="K240" s="598">
        <v>1989864</v>
      </c>
      <c r="L240" s="466">
        <f t="shared" si="177"/>
        <v>100</v>
      </c>
      <c r="M240" s="467">
        <f t="shared" si="179"/>
        <v>0</v>
      </c>
      <c r="N240" s="3087"/>
    </row>
    <row r="241" spans="1:14" s="634" customFormat="1" ht="12.75" customHeight="1" x14ac:dyDescent="0.2">
      <c r="A241" s="3118"/>
      <c r="B241" s="473" t="s">
        <v>12</v>
      </c>
      <c r="C241" s="3141"/>
      <c r="D241" s="455">
        <f>+D242</f>
        <v>12460897</v>
      </c>
      <c r="E241" s="585">
        <v>0</v>
      </c>
      <c r="F241" s="560">
        <f>+F242</f>
        <v>11567686</v>
      </c>
      <c r="G241" s="560">
        <f>+G242</f>
        <v>893211</v>
      </c>
      <c r="H241" s="561">
        <f>+H242</f>
        <v>0</v>
      </c>
      <c r="I241" s="558">
        <f>+I242</f>
        <v>12460897</v>
      </c>
      <c r="J241" s="31">
        <f t="shared" si="154"/>
        <v>100</v>
      </c>
      <c r="K241" s="559">
        <f>+K242</f>
        <v>893211</v>
      </c>
      <c r="L241" s="545">
        <f t="shared" si="177"/>
        <v>100</v>
      </c>
      <c r="M241" s="459">
        <f t="shared" si="179"/>
        <v>0</v>
      </c>
      <c r="N241" s="3087"/>
    </row>
    <row r="242" spans="1:14" s="511" customFormat="1" ht="12.75" customHeight="1" thickBot="1" x14ac:dyDescent="0.25">
      <c r="A242" s="3164"/>
      <c r="B242" s="664" t="s">
        <v>14</v>
      </c>
      <c r="C242" s="3141"/>
      <c r="D242" s="626">
        <f>+E242+F242+G242+H242</f>
        <v>12460897</v>
      </c>
      <c r="E242" s="665">
        <v>0</v>
      </c>
      <c r="F242" s="666">
        <v>11567686</v>
      </c>
      <c r="G242" s="666">
        <v>893211</v>
      </c>
      <c r="H242" s="667">
        <v>0</v>
      </c>
      <c r="I242" s="629">
        <f>E242+F242+K242</f>
        <v>12460897</v>
      </c>
      <c r="J242" s="630">
        <f t="shared" si="154"/>
        <v>100</v>
      </c>
      <c r="K242" s="666">
        <v>893211</v>
      </c>
      <c r="L242" s="631">
        <f>K242/G242*100</f>
        <v>100</v>
      </c>
      <c r="M242" s="467">
        <f t="shared" si="179"/>
        <v>0</v>
      </c>
      <c r="N242" s="3169"/>
    </row>
    <row r="243" spans="1:14" ht="26.25" customHeight="1" x14ac:dyDescent="0.2">
      <c r="A243" s="3116" t="s">
        <v>57</v>
      </c>
      <c r="B243" s="541" t="s">
        <v>62</v>
      </c>
      <c r="C243" s="443" t="s">
        <v>168</v>
      </c>
      <c r="D243" s="610"/>
      <c r="E243" s="611"/>
      <c r="F243" s="611"/>
      <c r="G243" s="611"/>
      <c r="H243" s="612"/>
      <c r="I243" s="610"/>
      <c r="J243" s="445"/>
      <c r="K243" s="611"/>
      <c r="L243" s="449"/>
      <c r="M243" s="613"/>
      <c r="N243" s="3113" t="s">
        <v>37</v>
      </c>
    </row>
    <row r="244" spans="1:14" ht="12.75" customHeight="1" x14ac:dyDescent="0.2">
      <c r="A244" s="3117"/>
      <c r="B244" s="334" t="s">
        <v>2</v>
      </c>
      <c r="C244" s="27"/>
      <c r="D244" s="513">
        <f t="shared" ref="D244" si="185">+D245+D247</f>
        <v>31820861</v>
      </c>
      <c r="E244" s="514">
        <f>+E245+E247</f>
        <v>644308</v>
      </c>
      <c r="F244" s="514">
        <f>+F245+F247</f>
        <v>7988162</v>
      </c>
      <c r="G244" s="514">
        <f>+G245+G247</f>
        <v>12000000</v>
      </c>
      <c r="H244" s="514">
        <f>+H245+H247</f>
        <v>11188391</v>
      </c>
      <c r="I244" s="513">
        <f>+I245+I247</f>
        <v>20463558.75</v>
      </c>
      <c r="J244" s="516">
        <f t="shared" si="154"/>
        <v>64.308626815597478</v>
      </c>
      <c r="K244" s="514">
        <f>+K245+K247</f>
        <v>11831088.75</v>
      </c>
      <c r="L244" s="543">
        <f t="shared" si="177"/>
        <v>98.592406249999996</v>
      </c>
      <c r="M244" s="453">
        <f t="shared" ref="M244:M253" si="186">+K244-G244</f>
        <v>-168911.25</v>
      </c>
      <c r="N244" s="3170"/>
    </row>
    <row r="245" spans="1:14" ht="12.75" customHeight="1" x14ac:dyDescent="0.2">
      <c r="A245" s="3117"/>
      <c r="B245" s="454" t="s">
        <v>17</v>
      </c>
      <c r="C245" s="3086" t="s">
        <v>38</v>
      </c>
      <c r="D245" s="519">
        <f t="shared" ref="D245" si="187">+D246</f>
        <v>5528123</v>
      </c>
      <c r="E245" s="520">
        <f>+E246</f>
        <v>58161</v>
      </c>
      <c r="F245" s="520">
        <f>+F246</f>
        <v>21209</v>
      </c>
      <c r="G245" s="520">
        <f>+G246</f>
        <v>1506677</v>
      </c>
      <c r="H245" s="520">
        <f>+H246</f>
        <v>3942076</v>
      </c>
      <c r="I245" s="519">
        <f>+I246</f>
        <v>1419288.25</v>
      </c>
      <c r="J245" s="176">
        <f t="shared" si="154"/>
        <v>25.673962934616323</v>
      </c>
      <c r="K245" s="520">
        <f>+K246</f>
        <v>1339918.25</v>
      </c>
      <c r="L245" s="646">
        <f t="shared" si="177"/>
        <v>88.932017280412452</v>
      </c>
      <c r="M245" s="459">
        <f t="shared" si="186"/>
        <v>-166758.75</v>
      </c>
      <c r="N245" s="3170"/>
    </row>
    <row r="246" spans="1:14" ht="12.75" customHeight="1" x14ac:dyDescent="0.2">
      <c r="A246" s="3117"/>
      <c r="B246" s="460" t="s">
        <v>4</v>
      </c>
      <c r="C246" s="3087"/>
      <c r="D246" s="461">
        <f>+E246+F246+G246+H246</f>
        <v>5528123</v>
      </c>
      <c r="E246" s="462">
        <v>58161</v>
      </c>
      <c r="F246" s="462">
        <v>21209</v>
      </c>
      <c r="G246" s="462">
        <v>1506677</v>
      </c>
      <c r="H246" s="462">
        <v>3942076</v>
      </c>
      <c r="I246" s="550">
        <f>E246+F246+K246</f>
        <v>1419288.25</v>
      </c>
      <c r="J246" s="469">
        <f t="shared" si="154"/>
        <v>25.673962934616323</v>
      </c>
      <c r="K246" s="463">
        <v>1339918.25</v>
      </c>
      <c r="L246" s="557">
        <f t="shared" si="177"/>
        <v>88.932017280412452</v>
      </c>
      <c r="M246" s="467">
        <f t="shared" si="186"/>
        <v>-166758.75</v>
      </c>
      <c r="N246" s="3170"/>
    </row>
    <row r="247" spans="1:14" ht="12.75" customHeight="1" x14ac:dyDescent="0.2">
      <c r="A247" s="3117"/>
      <c r="B247" s="473" t="s">
        <v>12</v>
      </c>
      <c r="C247" s="3087"/>
      <c r="D247" s="474">
        <f t="shared" ref="D247" si="188">+D248</f>
        <v>26292738</v>
      </c>
      <c r="E247" s="475">
        <f>+E248</f>
        <v>586147</v>
      </c>
      <c r="F247" s="475">
        <f>+F248</f>
        <v>7966953</v>
      </c>
      <c r="G247" s="475">
        <f>+G248</f>
        <v>10493323</v>
      </c>
      <c r="H247" s="475">
        <f>+H248</f>
        <v>7246315</v>
      </c>
      <c r="I247" s="474">
        <f>+I248</f>
        <v>19044270.5</v>
      </c>
      <c r="J247" s="31">
        <f t="shared" si="154"/>
        <v>72.431674860183819</v>
      </c>
      <c r="K247" s="475">
        <f>+K248</f>
        <v>10491170.5</v>
      </c>
      <c r="L247" s="545">
        <f t="shared" si="177"/>
        <v>99.979486955657421</v>
      </c>
      <c r="M247" s="459">
        <f t="shared" si="186"/>
        <v>-2152.5</v>
      </c>
      <c r="N247" s="3170"/>
    </row>
    <row r="248" spans="1:14" ht="12.75" customHeight="1" x14ac:dyDescent="0.2">
      <c r="A248" s="3117"/>
      <c r="B248" s="460" t="s">
        <v>14</v>
      </c>
      <c r="C248" s="3087"/>
      <c r="D248" s="461">
        <f>++E248+F248+G248+H248</f>
        <v>26292738</v>
      </c>
      <c r="E248" s="463">
        <f>17047+365000+204100</f>
        <v>586147</v>
      </c>
      <c r="F248" s="462">
        <v>7966953</v>
      </c>
      <c r="G248" s="462">
        <v>10493323</v>
      </c>
      <c r="H248" s="462">
        <v>7246315</v>
      </c>
      <c r="I248" s="550">
        <f>E248+F248+K248</f>
        <v>19044270.5</v>
      </c>
      <c r="J248" s="469">
        <f t="shared" si="154"/>
        <v>72.431674860183819</v>
      </c>
      <c r="K248" s="463">
        <f>9491864.91+999305.59</f>
        <v>10491170.5</v>
      </c>
      <c r="L248" s="557">
        <f t="shared" si="177"/>
        <v>99.979486955657421</v>
      </c>
      <c r="M248" s="467">
        <f t="shared" si="186"/>
        <v>-2152.5</v>
      </c>
      <c r="N248" s="3170"/>
    </row>
    <row r="249" spans="1:14" s="511" customFormat="1" ht="12.75" customHeight="1" x14ac:dyDescent="0.2">
      <c r="A249" s="3118"/>
      <c r="B249" s="334" t="s">
        <v>16</v>
      </c>
      <c r="C249" s="27"/>
      <c r="D249" s="415">
        <f>+D252+D250</f>
        <v>27134219</v>
      </c>
      <c r="E249" s="514">
        <f t="shared" ref="E249:H249" si="189">+E252+E250</f>
        <v>0</v>
      </c>
      <c r="F249" s="514">
        <f t="shared" si="189"/>
        <v>0</v>
      </c>
      <c r="G249" s="514">
        <f t="shared" si="189"/>
        <v>18716756</v>
      </c>
      <c r="H249" s="514">
        <f t="shared" si="189"/>
        <v>8417463</v>
      </c>
      <c r="I249" s="513">
        <f>+I250+I252</f>
        <v>18716756</v>
      </c>
      <c r="J249" s="516">
        <f t="shared" si="154"/>
        <v>68.978421674860073</v>
      </c>
      <c r="K249" s="514">
        <f>+K252+K250</f>
        <v>18716756</v>
      </c>
      <c r="L249" s="543">
        <f t="shared" si="177"/>
        <v>100</v>
      </c>
      <c r="M249" s="453">
        <f t="shared" si="186"/>
        <v>0</v>
      </c>
      <c r="N249" s="3087"/>
    </row>
    <row r="250" spans="1:14" s="511" customFormat="1" ht="12.75" customHeight="1" x14ac:dyDescent="0.2">
      <c r="A250" s="3118"/>
      <c r="B250" s="614" t="s">
        <v>17</v>
      </c>
      <c r="C250" s="3140" t="s">
        <v>34</v>
      </c>
      <c r="D250" s="619">
        <f t="shared" ref="D250:I250" si="190">+D251</f>
        <v>841481</v>
      </c>
      <c r="E250" s="620">
        <f t="shared" si="190"/>
        <v>0</v>
      </c>
      <c r="F250" s="620">
        <f>+F251</f>
        <v>0</v>
      </c>
      <c r="G250" s="663">
        <f t="shared" si="190"/>
        <v>841481</v>
      </c>
      <c r="H250" s="622">
        <f t="shared" si="190"/>
        <v>0</v>
      </c>
      <c r="I250" s="619">
        <f t="shared" si="190"/>
        <v>841481</v>
      </c>
      <c r="J250" s="617">
        <f t="shared" ref="J250:J251" si="191">I250/D250*100</f>
        <v>100</v>
      </c>
      <c r="K250" s="620">
        <f>+K251</f>
        <v>841481</v>
      </c>
      <c r="L250" s="618">
        <f t="shared" ref="L250:L251" si="192">K250/G250*100</f>
        <v>100</v>
      </c>
      <c r="M250" s="459">
        <f t="shared" si="186"/>
        <v>0</v>
      </c>
      <c r="N250" s="3087"/>
    </row>
    <row r="251" spans="1:14" s="511" customFormat="1" ht="25.5" x14ac:dyDescent="0.2">
      <c r="A251" s="3118"/>
      <c r="B251" s="668" t="s">
        <v>308</v>
      </c>
      <c r="C251" s="3141"/>
      <c r="D251" s="461">
        <f>+E251+F251+G251+H251</f>
        <v>841481</v>
      </c>
      <c r="E251" s="640"/>
      <c r="F251" s="640"/>
      <c r="G251" s="669">
        <v>841481</v>
      </c>
      <c r="H251" s="642">
        <v>0</v>
      </c>
      <c r="I251" s="550">
        <f>E251+F251+K251</f>
        <v>841481</v>
      </c>
      <c r="J251" s="465">
        <f t="shared" si="191"/>
        <v>100</v>
      </c>
      <c r="K251" s="598">
        <v>841481</v>
      </c>
      <c r="L251" s="466">
        <f t="shared" si="192"/>
        <v>100</v>
      </c>
      <c r="M251" s="467">
        <f t="shared" si="186"/>
        <v>0</v>
      </c>
      <c r="N251" s="3087"/>
    </row>
    <row r="252" spans="1:14" s="634" customFormat="1" ht="12.75" customHeight="1" x14ac:dyDescent="0.2">
      <c r="A252" s="3118"/>
      <c r="B252" s="473" t="s">
        <v>12</v>
      </c>
      <c r="C252" s="3141"/>
      <c r="D252" s="558">
        <f>+D253</f>
        <v>26292738</v>
      </c>
      <c r="E252" s="585">
        <v>0</v>
      </c>
      <c r="F252" s="585">
        <f>+F253</f>
        <v>0</v>
      </c>
      <c r="G252" s="559">
        <f t="shared" ref="G252:I252" si="193">+G253</f>
        <v>17875275</v>
      </c>
      <c r="H252" s="600">
        <f t="shared" si="193"/>
        <v>8417463</v>
      </c>
      <c r="I252" s="519">
        <f t="shared" si="193"/>
        <v>17875275</v>
      </c>
      <c r="J252" s="176">
        <f t="shared" si="154"/>
        <v>67.985597391949057</v>
      </c>
      <c r="K252" s="520">
        <f>+K253</f>
        <v>17875275</v>
      </c>
      <c r="L252" s="646">
        <f t="shared" si="177"/>
        <v>100</v>
      </c>
      <c r="M252" s="459">
        <f t="shared" si="186"/>
        <v>0</v>
      </c>
      <c r="N252" s="3087"/>
    </row>
    <row r="253" spans="1:14" s="511" customFormat="1" ht="12.75" customHeight="1" thickBot="1" x14ac:dyDescent="0.25">
      <c r="A253" s="3119"/>
      <c r="B253" s="562" t="s">
        <v>14</v>
      </c>
      <c r="C253" s="3191"/>
      <c r="D253" s="500">
        <f>++E253+F253+G253+H253</f>
        <v>26292738</v>
      </c>
      <c r="E253" s="526">
        <v>0</v>
      </c>
      <c r="F253" s="670">
        <v>0</v>
      </c>
      <c r="G253" s="563">
        <v>17875275</v>
      </c>
      <c r="H253" s="671">
        <v>8417463</v>
      </c>
      <c r="I253" s="565">
        <f>E253+F253+K253</f>
        <v>17875275</v>
      </c>
      <c r="J253" s="539">
        <f t="shared" si="154"/>
        <v>67.985597391949057</v>
      </c>
      <c r="K253" s="502">
        <v>17875275</v>
      </c>
      <c r="L253" s="549">
        <f t="shared" si="177"/>
        <v>100</v>
      </c>
      <c r="M253" s="467">
        <f t="shared" si="186"/>
        <v>0</v>
      </c>
      <c r="N253" s="3090"/>
    </row>
    <row r="254" spans="1:14" ht="26.25" customHeight="1" x14ac:dyDescent="0.2">
      <c r="A254" s="3116" t="s">
        <v>58</v>
      </c>
      <c r="B254" s="541" t="s">
        <v>64</v>
      </c>
      <c r="C254" s="443" t="s">
        <v>168</v>
      </c>
      <c r="D254" s="444"/>
      <c r="E254" s="445"/>
      <c r="F254" s="445"/>
      <c r="G254" s="445"/>
      <c r="H254" s="446"/>
      <c r="I254" s="444"/>
      <c r="J254" s="445"/>
      <c r="K254" s="445"/>
      <c r="L254" s="449"/>
      <c r="M254" s="449"/>
      <c r="N254" s="3113" t="s">
        <v>37</v>
      </c>
    </row>
    <row r="255" spans="1:14" ht="11.25" customHeight="1" x14ac:dyDescent="0.2">
      <c r="A255" s="3117"/>
      <c r="B255" s="334" t="s">
        <v>2</v>
      </c>
      <c r="C255" s="27"/>
      <c r="D255" s="513">
        <f t="shared" ref="D255:I255" si="194">+D256+D258</f>
        <v>16110000</v>
      </c>
      <c r="E255" s="514">
        <f t="shared" si="194"/>
        <v>768834</v>
      </c>
      <c r="F255" s="514">
        <f>+F256+F258</f>
        <v>166758</v>
      </c>
      <c r="G255" s="514">
        <f t="shared" si="194"/>
        <v>10200000</v>
      </c>
      <c r="H255" s="514">
        <f t="shared" si="194"/>
        <v>4974408</v>
      </c>
      <c r="I255" s="513">
        <f t="shared" si="194"/>
        <v>10762541.129999999</v>
      </c>
      <c r="J255" s="516">
        <f t="shared" si="154"/>
        <v>66.806586778398497</v>
      </c>
      <c r="K255" s="514">
        <f>+K256+K258</f>
        <v>9826949.129999999</v>
      </c>
      <c r="L255" s="543">
        <f t="shared" si="177"/>
        <v>96.342638529411744</v>
      </c>
      <c r="M255" s="453">
        <f t="shared" ref="M255:M262" si="195">+K255-G255</f>
        <v>-373050.87000000104</v>
      </c>
      <c r="N255" s="3170"/>
    </row>
    <row r="256" spans="1:14" ht="13.5" customHeight="1" x14ac:dyDescent="0.2">
      <c r="A256" s="3117"/>
      <c r="B256" s="454" t="s">
        <v>17</v>
      </c>
      <c r="C256" s="3086" t="s">
        <v>38</v>
      </c>
      <c r="D256" s="519">
        <f t="shared" ref="D256:I256" si="196">+D257</f>
        <v>3900000</v>
      </c>
      <c r="E256" s="520">
        <f t="shared" si="196"/>
        <v>622029</v>
      </c>
      <c r="F256" s="520">
        <f>+F257</f>
        <v>0</v>
      </c>
      <c r="G256" s="520">
        <f t="shared" si="196"/>
        <v>114965</v>
      </c>
      <c r="H256" s="520">
        <f t="shared" si="196"/>
        <v>3163006</v>
      </c>
      <c r="I256" s="519">
        <f t="shared" si="196"/>
        <v>636994</v>
      </c>
      <c r="J256" s="176">
        <f t="shared" si="154"/>
        <v>16.333179487179486</v>
      </c>
      <c r="K256" s="520">
        <f>+K257</f>
        <v>14965</v>
      </c>
      <c r="L256" s="646">
        <f t="shared" si="177"/>
        <v>13.017005175488192</v>
      </c>
      <c r="M256" s="459">
        <f t="shared" si="195"/>
        <v>-100000</v>
      </c>
      <c r="N256" s="3170"/>
    </row>
    <row r="257" spans="1:14" ht="12" customHeight="1" x14ac:dyDescent="0.2">
      <c r="A257" s="3117"/>
      <c r="B257" s="460" t="s">
        <v>4</v>
      </c>
      <c r="C257" s="3086"/>
      <c r="D257" s="461">
        <f>+E257+F257+G257+H257</f>
        <v>3900000</v>
      </c>
      <c r="E257" s="463">
        <f>56534+79390+486105</f>
        <v>622029</v>
      </c>
      <c r="F257" s="462">
        <v>0</v>
      </c>
      <c r="G257" s="462">
        <v>114965</v>
      </c>
      <c r="H257" s="462">
        <v>3163006</v>
      </c>
      <c r="I257" s="550">
        <f>E257+F257+K257</f>
        <v>636994</v>
      </c>
      <c r="J257" s="469">
        <f t="shared" si="154"/>
        <v>16.333179487179486</v>
      </c>
      <c r="K257" s="463">
        <v>14965</v>
      </c>
      <c r="L257" s="557">
        <f t="shared" si="177"/>
        <v>13.017005175488192</v>
      </c>
      <c r="M257" s="467">
        <f t="shared" si="195"/>
        <v>-100000</v>
      </c>
      <c r="N257" s="3170"/>
    </row>
    <row r="258" spans="1:14" ht="12.75" customHeight="1" x14ac:dyDescent="0.2">
      <c r="A258" s="3117"/>
      <c r="B258" s="473" t="s">
        <v>12</v>
      </c>
      <c r="C258" s="3086"/>
      <c r="D258" s="474">
        <f t="shared" ref="D258:I258" si="197">+D259</f>
        <v>12210000</v>
      </c>
      <c r="E258" s="475">
        <f t="shared" si="197"/>
        <v>146805</v>
      </c>
      <c r="F258" s="475">
        <f>+F259</f>
        <v>166758</v>
      </c>
      <c r="G258" s="475">
        <f t="shared" si="197"/>
        <v>10085035</v>
      </c>
      <c r="H258" s="475">
        <f t="shared" si="197"/>
        <v>1811402</v>
      </c>
      <c r="I258" s="474">
        <f t="shared" si="197"/>
        <v>10125547.129999999</v>
      </c>
      <c r="J258" s="31">
        <f t="shared" si="154"/>
        <v>82.928313923013917</v>
      </c>
      <c r="K258" s="475">
        <f>+K259</f>
        <v>9811984.129999999</v>
      </c>
      <c r="L258" s="545">
        <f t="shared" si="177"/>
        <v>97.292514403767555</v>
      </c>
      <c r="M258" s="459">
        <f t="shared" si="195"/>
        <v>-273050.87000000104</v>
      </c>
      <c r="N258" s="3087"/>
    </row>
    <row r="259" spans="1:14" ht="12" customHeight="1" x14ac:dyDescent="0.2">
      <c r="A259" s="3117"/>
      <c r="B259" s="460" t="s">
        <v>14</v>
      </c>
      <c r="C259" s="3086"/>
      <c r="D259" s="461">
        <f>+E259+F259+G259+H259</f>
        <v>12210000</v>
      </c>
      <c r="E259" s="463">
        <f>20610+126195</f>
        <v>146805</v>
      </c>
      <c r="F259" s="462">
        <v>166758</v>
      </c>
      <c r="G259" s="462">
        <v>10085035</v>
      </c>
      <c r="H259" s="462">
        <v>1811402</v>
      </c>
      <c r="I259" s="550">
        <f>E259+F259+K259</f>
        <v>10125547.129999999</v>
      </c>
      <c r="J259" s="469">
        <f t="shared" si="154"/>
        <v>82.928313923013917</v>
      </c>
      <c r="K259" s="463">
        <f>8123612.46+1688371.67</f>
        <v>9811984.129999999</v>
      </c>
      <c r="L259" s="557">
        <f t="shared" si="177"/>
        <v>97.292514403767555</v>
      </c>
      <c r="M259" s="467">
        <f t="shared" si="195"/>
        <v>-273050.87000000104</v>
      </c>
      <c r="N259" s="3087"/>
    </row>
    <row r="260" spans="1:14" s="511" customFormat="1" ht="12.75" customHeight="1" x14ac:dyDescent="0.2">
      <c r="A260" s="3117"/>
      <c r="B260" s="334" t="s">
        <v>16</v>
      </c>
      <c r="C260" s="27"/>
      <c r="D260" s="415">
        <f>+D261</f>
        <v>12210000</v>
      </c>
      <c r="E260" s="593">
        <v>0</v>
      </c>
      <c r="F260" s="593">
        <f>+F261</f>
        <v>0</v>
      </c>
      <c r="G260" s="416">
        <f t="shared" ref="G260:H261" si="198">+G261</f>
        <v>7872228</v>
      </c>
      <c r="H260" s="594">
        <f t="shared" si="198"/>
        <v>4337772</v>
      </c>
      <c r="I260" s="415">
        <f>+I261</f>
        <v>8420990</v>
      </c>
      <c r="J260" s="516">
        <f t="shared" ref="J260:J293" si="199">I260/D260*100</f>
        <v>68.967977067977074</v>
      </c>
      <c r="K260" s="416">
        <f>+K261</f>
        <v>8420990</v>
      </c>
      <c r="L260" s="543">
        <f t="shared" si="177"/>
        <v>106.97086009195871</v>
      </c>
      <c r="M260" s="453">
        <f t="shared" si="195"/>
        <v>548762</v>
      </c>
      <c r="N260" s="3087"/>
    </row>
    <row r="261" spans="1:14" s="634" customFormat="1" ht="12.75" customHeight="1" x14ac:dyDescent="0.2">
      <c r="A261" s="3117"/>
      <c r="B261" s="473" t="s">
        <v>12</v>
      </c>
      <c r="C261" s="3086" t="s">
        <v>34</v>
      </c>
      <c r="D261" s="558">
        <f>+D262</f>
        <v>12210000</v>
      </c>
      <c r="E261" s="585">
        <v>0</v>
      </c>
      <c r="F261" s="585">
        <f>+F262</f>
        <v>0</v>
      </c>
      <c r="G261" s="559">
        <f t="shared" si="198"/>
        <v>7872228</v>
      </c>
      <c r="H261" s="600">
        <f t="shared" si="198"/>
        <v>4337772</v>
      </c>
      <c r="I261" s="558">
        <f>+I262</f>
        <v>8420990</v>
      </c>
      <c r="J261" s="176">
        <f t="shared" si="199"/>
        <v>68.967977067977074</v>
      </c>
      <c r="K261" s="559">
        <f>+K262</f>
        <v>8420990</v>
      </c>
      <c r="L261" s="646">
        <f t="shared" si="177"/>
        <v>106.97086009195871</v>
      </c>
      <c r="M261" s="459">
        <f t="shared" si="195"/>
        <v>548762</v>
      </c>
      <c r="N261" s="3087"/>
    </row>
    <row r="262" spans="1:14" s="511" customFormat="1" ht="12.75" customHeight="1" thickBot="1" x14ac:dyDescent="0.25">
      <c r="A262" s="3190"/>
      <c r="B262" s="562" t="s">
        <v>14</v>
      </c>
      <c r="C262" s="3090"/>
      <c r="D262" s="500">
        <f>+E262+F262+G262+H262</f>
        <v>12210000</v>
      </c>
      <c r="E262" s="526">
        <v>0</v>
      </c>
      <c r="F262" s="670">
        <v>0</v>
      </c>
      <c r="G262" s="563">
        <v>7872228</v>
      </c>
      <c r="H262" s="671">
        <v>4337772</v>
      </c>
      <c r="I262" s="565">
        <f>E262+F262+K262</f>
        <v>8420990</v>
      </c>
      <c r="J262" s="539">
        <f t="shared" si="199"/>
        <v>68.967977067977074</v>
      </c>
      <c r="K262" s="563">
        <v>8420990</v>
      </c>
      <c r="L262" s="549">
        <f t="shared" si="177"/>
        <v>106.97086009195871</v>
      </c>
      <c r="M262" s="467">
        <f t="shared" si="195"/>
        <v>548762</v>
      </c>
      <c r="N262" s="3090"/>
    </row>
    <row r="263" spans="1:14" ht="26.25" customHeight="1" thickBot="1" x14ac:dyDescent="0.25">
      <c r="A263" s="3188" t="s">
        <v>60</v>
      </c>
      <c r="B263" s="672" t="s">
        <v>279</v>
      </c>
      <c r="C263" s="443" t="s">
        <v>168</v>
      </c>
      <c r="D263" s="610"/>
      <c r="E263" s="611"/>
      <c r="F263" s="611"/>
      <c r="G263" s="611"/>
      <c r="H263" s="612"/>
      <c r="I263" s="610"/>
      <c r="J263" s="611"/>
      <c r="K263" s="611"/>
      <c r="L263" s="613"/>
      <c r="M263" s="613"/>
      <c r="N263" s="3104" t="s">
        <v>37</v>
      </c>
    </row>
    <row r="264" spans="1:14" ht="13.5" customHeight="1" thickBot="1" x14ac:dyDescent="0.25">
      <c r="A264" s="3188"/>
      <c r="B264" s="334" t="s">
        <v>2</v>
      </c>
      <c r="C264" s="27"/>
      <c r="D264" s="513">
        <f t="shared" ref="D264:I264" si="200">+D265+D267</f>
        <v>29082967</v>
      </c>
      <c r="E264" s="514">
        <f t="shared" si="200"/>
        <v>696120</v>
      </c>
      <c r="F264" s="514">
        <f>+F265+F267</f>
        <v>861723</v>
      </c>
      <c r="G264" s="514">
        <f t="shared" si="200"/>
        <v>7053277</v>
      </c>
      <c r="H264" s="514">
        <f t="shared" si="200"/>
        <v>20471847</v>
      </c>
      <c r="I264" s="513">
        <f t="shared" si="200"/>
        <v>8577019.2200000007</v>
      </c>
      <c r="J264" s="516">
        <f t="shared" si="199"/>
        <v>29.491555039759188</v>
      </c>
      <c r="K264" s="514">
        <f>+K265+K267</f>
        <v>7019176.2199999997</v>
      </c>
      <c r="L264" s="543">
        <f t="shared" si="177"/>
        <v>99.516525722724339</v>
      </c>
      <c r="M264" s="453">
        <f t="shared" ref="M264:M271" si="201">+K264-G264</f>
        <v>-34100.780000000261</v>
      </c>
      <c r="N264" s="3104"/>
    </row>
    <row r="265" spans="1:14" ht="13.5" customHeight="1" thickBot="1" x14ac:dyDescent="0.25">
      <c r="A265" s="3188"/>
      <c r="B265" s="454" t="s">
        <v>17</v>
      </c>
      <c r="C265" s="3086" t="s">
        <v>38</v>
      </c>
      <c r="D265" s="519">
        <f t="shared" ref="D265:I265" si="202">+D266</f>
        <v>4532967</v>
      </c>
      <c r="E265" s="520">
        <f t="shared" si="202"/>
        <v>0</v>
      </c>
      <c r="F265" s="520">
        <f>+F266</f>
        <v>0</v>
      </c>
      <c r="G265" s="520">
        <f t="shared" si="202"/>
        <v>997033</v>
      </c>
      <c r="H265" s="520">
        <f t="shared" si="202"/>
        <v>3535934</v>
      </c>
      <c r="I265" s="519">
        <f t="shared" si="202"/>
        <v>962932.22</v>
      </c>
      <c r="J265" s="176">
        <f t="shared" si="199"/>
        <v>21.242868522978437</v>
      </c>
      <c r="K265" s="520">
        <f>+K266</f>
        <v>962932.22</v>
      </c>
      <c r="L265" s="646">
        <f t="shared" si="177"/>
        <v>96.579774190021794</v>
      </c>
      <c r="M265" s="459">
        <f t="shared" si="201"/>
        <v>-34100.780000000028</v>
      </c>
      <c r="N265" s="3104"/>
    </row>
    <row r="266" spans="1:14" ht="13.5" customHeight="1" thickBot="1" x14ac:dyDescent="0.25">
      <c r="A266" s="3188"/>
      <c r="B266" s="460" t="s">
        <v>4</v>
      </c>
      <c r="C266" s="3087"/>
      <c r="D266" s="461">
        <f>+E266+F266+G266+H266</f>
        <v>4532967</v>
      </c>
      <c r="E266" s="463">
        <v>0</v>
      </c>
      <c r="F266" s="462">
        <v>0</v>
      </c>
      <c r="G266" s="462">
        <v>997033</v>
      </c>
      <c r="H266" s="462">
        <v>3535934</v>
      </c>
      <c r="I266" s="550">
        <f>E266+F266+K266</f>
        <v>962932.22</v>
      </c>
      <c r="J266" s="469">
        <f t="shared" si="199"/>
        <v>21.242868522978437</v>
      </c>
      <c r="K266" s="462">
        <v>962932.22</v>
      </c>
      <c r="L266" s="557">
        <f t="shared" si="177"/>
        <v>96.579774190021794</v>
      </c>
      <c r="M266" s="467">
        <f t="shared" si="201"/>
        <v>-34100.780000000028</v>
      </c>
      <c r="N266" s="3104"/>
    </row>
    <row r="267" spans="1:14" ht="13.5" customHeight="1" thickBot="1" x14ac:dyDescent="0.25">
      <c r="A267" s="3188"/>
      <c r="B267" s="473" t="s">
        <v>12</v>
      </c>
      <c r="C267" s="3087"/>
      <c r="D267" s="519">
        <f t="shared" ref="D267:I267" si="203">+D268</f>
        <v>24550000</v>
      </c>
      <c r="E267" s="520">
        <f t="shared" si="203"/>
        <v>696120</v>
      </c>
      <c r="F267" s="520">
        <f t="shared" si="203"/>
        <v>861723</v>
      </c>
      <c r="G267" s="520">
        <f t="shared" si="203"/>
        <v>6056244</v>
      </c>
      <c r="H267" s="520">
        <f t="shared" si="203"/>
        <v>16935913</v>
      </c>
      <c r="I267" s="519">
        <f t="shared" si="203"/>
        <v>7614087</v>
      </c>
      <c r="J267" s="469">
        <f t="shared" si="199"/>
        <v>31.014610997963338</v>
      </c>
      <c r="K267" s="520">
        <f>+K268</f>
        <v>6056244</v>
      </c>
      <c r="L267" s="557">
        <f t="shared" si="177"/>
        <v>100</v>
      </c>
      <c r="M267" s="459">
        <f t="shared" si="201"/>
        <v>0</v>
      </c>
      <c r="N267" s="3104"/>
    </row>
    <row r="268" spans="1:14" ht="13.5" customHeight="1" thickBot="1" x14ac:dyDescent="0.25">
      <c r="A268" s="3188"/>
      <c r="B268" s="460" t="s">
        <v>14</v>
      </c>
      <c r="C268" s="3087"/>
      <c r="D268" s="461">
        <f>++E268+F268+G268+H268</f>
        <v>24550000</v>
      </c>
      <c r="E268" s="463">
        <f>81977+521360+92783</f>
        <v>696120</v>
      </c>
      <c r="F268" s="462">
        <v>861723</v>
      </c>
      <c r="G268" s="462">
        <v>6056244</v>
      </c>
      <c r="H268" s="462">
        <v>16935913</v>
      </c>
      <c r="I268" s="550">
        <f>E268+F268+K268</f>
        <v>7614087</v>
      </c>
      <c r="J268" s="469">
        <f t="shared" si="199"/>
        <v>31.014610997963338</v>
      </c>
      <c r="K268" s="462">
        <v>6056244</v>
      </c>
      <c r="L268" s="557">
        <f t="shared" si="177"/>
        <v>100</v>
      </c>
      <c r="M268" s="467">
        <f t="shared" si="201"/>
        <v>0</v>
      </c>
      <c r="N268" s="3104"/>
    </row>
    <row r="269" spans="1:14" s="511" customFormat="1" ht="13.5" customHeight="1" thickBot="1" x14ac:dyDescent="0.25">
      <c r="A269" s="3189"/>
      <c r="B269" s="334" t="s">
        <v>16</v>
      </c>
      <c r="C269" s="27"/>
      <c r="D269" s="513">
        <f>+D270</f>
        <v>24550000</v>
      </c>
      <c r="E269" s="514">
        <v>0</v>
      </c>
      <c r="F269" s="514">
        <f t="shared" ref="F269:H270" si="204">+F270</f>
        <v>0</v>
      </c>
      <c r="G269" s="514">
        <f t="shared" si="204"/>
        <v>0</v>
      </c>
      <c r="H269" s="514">
        <f t="shared" si="204"/>
        <v>24550000</v>
      </c>
      <c r="I269" s="673">
        <f>+I270</f>
        <v>0</v>
      </c>
      <c r="J269" s="516">
        <f t="shared" si="199"/>
        <v>0</v>
      </c>
      <c r="K269" s="416">
        <f>+K270</f>
        <v>0</v>
      </c>
      <c r="L269" s="674">
        <v>0</v>
      </c>
      <c r="M269" s="453">
        <f t="shared" si="201"/>
        <v>0</v>
      </c>
      <c r="N269" s="3102"/>
    </row>
    <row r="270" spans="1:14" s="634" customFormat="1" ht="13.5" customHeight="1" thickBot="1" x14ac:dyDescent="0.25">
      <c r="A270" s="3189"/>
      <c r="B270" s="473" t="s">
        <v>12</v>
      </c>
      <c r="C270" s="3108" t="s">
        <v>34</v>
      </c>
      <c r="D270" s="519">
        <f>+D271</f>
        <v>24550000</v>
      </c>
      <c r="E270" s="520">
        <v>0</v>
      </c>
      <c r="F270" s="520">
        <f t="shared" si="204"/>
        <v>0</v>
      </c>
      <c r="G270" s="520">
        <f t="shared" si="204"/>
        <v>0</v>
      </c>
      <c r="H270" s="520">
        <f t="shared" si="204"/>
        <v>24550000</v>
      </c>
      <c r="I270" s="675">
        <f>+I271</f>
        <v>0</v>
      </c>
      <c r="J270" s="176">
        <f t="shared" si="199"/>
        <v>0</v>
      </c>
      <c r="K270" s="559">
        <f>+K271</f>
        <v>0</v>
      </c>
      <c r="L270" s="676">
        <v>0</v>
      </c>
      <c r="M270" s="459">
        <f t="shared" si="201"/>
        <v>0</v>
      </c>
      <c r="N270" s="3102"/>
    </row>
    <row r="271" spans="1:14" s="511" customFormat="1" ht="13.5" customHeight="1" thickBot="1" x14ac:dyDescent="0.25">
      <c r="A271" s="3189"/>
      <c r="B271" s="562" t="s">
        <v>14</v>
      </c>
      <c r="C271" s="3102"/>
      <c r="D271" s="500">
        <f>++E271+F271+G271+H271</f>
        <v>24550000</v>
      </c>
      <c r="E271" s="502">
        <v>0</v>
      </c>
      <c r="F271" s="501">
        <v>0</v>
      </c>
      <c r="G271" s="501">
        <v>0</v>
      </c>
      <c r="H271" s="501">
        <f>22550000+2000000</f>
        <v>24550000</v>
      </c>
      <c r="I271" s="688">
        <f>E271+F271+K271</f>
        <v>0</v>
      </c>
      <c r="J271" s="539">
        <f t="shared" si="199"/>
        <v>0</v>
      </c>
      <c r="K271" s="577">
        <v>0</v>
      </c>
      <c r="L271" s="2526">
        <v>0</v>
      </c>
      <c r="M271" s="502">
        <f t="shared" si="201"/>
        <v>0</v>
      </c>
      <c r="N271" s="3102"/>
    </row>
    <row r="272" spans="1:14" ht="25.5" customHeight="1" thickBot="1" x14ac:dyDescent="0.25">
      <c r="A272" s="3188" t="s">
        <v>61</v>
      </c>
      <c r="B272" s="681" t="s">
        <v>252</v>
      </c>
      <c r="C272" s="682"/>
      <c r="D272" s="610"/>
      <c r="E272" s="611"/>
      <c r="F272" s="611"/>
      <c r="G272" s="611"/>
      <c r="H272" s="612"/>
      <c r="I272" s="610"/>
      <c r="J272" s="611"/>
      <c r="K272" s="611"/>
      <c r="L272" s="613"/>
      <c r="M272" s="611"/>
      <c r="N272" s="3104" t="s">
        <v>37</v>
      </c>
    </row>
    <row r="273" spans="1:14" ht="14.25" customHeight="1" thickBot="1" x14ac:dyDescent="0.25">
      <c r="A273" s="3188"/>
      <c r="B273" s="334" t="s">
        <v>2</v>
      </c>
      <c r="C273" s="27"/>
      <c r="D273" s="513">
        <f t="shared" ref="D273:I273" si="205">+D274+D276</f>
        <v>3841880</v>
      </c>
      <c r="E273" s="514">
        <f t="shared" si="205"/>
        <v>422286</v>
      </c>
      <c r="F273" s="514">
        <f t="shared" si="205"/>
        <v>3414594</v>
      </c>
      <c r="G273" s="514">
        <f t="shared" si="205"/>
        <v>5000</v>
      </c>
      <c r="H273" s="568">
        <f t="shared" si="205"/>
        <v>0</v>
      </c>
      <c r="I273" s="513">
        <f t="shared" si="205"/>
        <v>3837480</v>
      </c>
      <c r="J273" s="516">
        <f t="shared" si="199"/>
        <v>99.88547273730569</v>
      </c>
      <c r="K273" s="514">
        <f>+K274+K276</f>
        <v>600</v>
      </c>
      <c r="L273" s="543">
        <f t="shared" si="177"/>
        <v>12</v>
      </c>
      <c r="M273" s="453">
        <f t="shared" ref="M273:M280" si="206">+K273-G273</f>
        <v>-4400</v>
      </c>
      <c r="N273" s="3104"/>
    </row>
    <row r="274" spans="1:14" ht="14.25" customHeight="1" thickBot="1" x14ac:dyDescent="0.25">
      <c r="A274" s="3188"/>
      <c r="B274" s="454" t="s">
        <v>17</v>
      </c>
      <c r="C274" s="3086" t="s">
        <v>38</v>
      </c>
      <c r="D274" s="519">
        <f t="shared" ref="D274:I274" si="207">+D275</f>
        <v>3841880</v>
      </c>
      <c r="E274" s="520">
        <f t="shared" si="207"/>
        <v>422286</v>
      </c>
      <c r="F274" s="520">
        <f t="shared" si="207"/>
        <v>3414594</v>
      </c>
      <c r="G274" s="520">
        <f t="shared" si="207"/>
        <v>5000</v>
      </c>
      <c r="H274" s="570">
        <f t="shared" si="207"/>
        <v>0</v>
      </c>
      <c r="I274" s="519">
        <f t="shared" si="207"/>
        <v>3837480</v>
      </c>
      <c r="J274" s="176">
        <f t="shared" si="199"/>
        <v>99.88547273730569</v>
      </c>
      <c r="K274" s="520">
        <f>+K275</f>
        <v>600</v>
      </c>
      <c r="L274" s="646">
        <f t="shared" si="177"/>
        <v>12</v>
      </c>
      <c r="M274" s="459">
        <f t="shared" si="206"/>
        <v>-4400</v>
      </c>
      <c r="N274" s="3104"/>
    </row>
    <row r="275" spans="1:14" ht="14.25" customHeight="1" thickBot="1" x14ac:dyDescent="0.25">
      <c r="A275" s="3188"/>
      <c r="B275" s="647" t="s">
        <v>4</v>
      </c>
      <c r="C275" s="3087"/>
      <c r="D275" s="461">
        <f>+E275+F275+G275+H275</f>
        <v>3841880</v>
      </c>
      <c r="E275" s="463">
        <f>6266+366000+50020</f>
        <v>422286</v>
      </c>
      <c r="F275" s="462">
        <v>3414594</v>
      </c>
      <c r="G275" s="462">
        <v>5000</v>
      </c>
      <c r="H275" s="535">
        <v>0</v>
      </c>
      <c r="I275" s="550">
        <f>E275+F275+K275</f>
        <v>3837480</v>
      </c>
      <c r="J275" s="469">
        <f t="shared" si="199"/>
        <v>99.88547273730569</v>
      </c>
      <c r="K275" s="462">
        <v>600</v>
      </c>
      <c r="L275" s="557">
        <f t="shared" si="177"/>
        <v>12</v>
      </c>
      <c r="M275" s="467">
        <f t="shared" si="206"/>
        <v>-4400</v>
      </c>
      <c r="N275" s="3104"/>
    </row>
    <row r="276" spans="1:14" ht="14.25" customHeight="1" thickBot="1" x14ac:dyDescent="0.25">
      <c r="A276" s="3188"/>
      <c r="B276" s="473" t="s">
        <v>12</v>
      </c>
      <c r="C276" s="3087"/>
      <c r="D276" s="683">
        <f t="shared" ref="D276:I276" si="208">+D277</f>
        <v>0</v>
      </c>
      <c r="E276" s="477">
        <f t="shared" si="208"/>
        <v>0</v>
      </c>
      <c r="F276" s="477">
        <f t="shared" si="208"/>
        <v>0</v>
      </c>
      <c r="G276" s="477">
        <f t="shared" si="208"/>
        <v>0</v>
      </c>
      <c r="H276" s="476">
        <f t="shared" si="208"/>
        <v>0</v>
      </c>
      <c r="I276" s="683">
        <f t="shared" si="208"/>
        <v>0</v>
      </c>
      <c r="J276" s="477">
        <v>0</v>
      </c>
      <c r="K276" s="477">
        <f>+K277</f>
        <v>0</v>
      </c>
      <c r="L276" s="478">
        <v>0</v>
      </c>
      <c r="M276" s="459">
        <f t="shared" si="206"/>
        <v>0</v>
      </c>
      <c r="N276" s="3104"/>
    </row>
    <row r="277" spans="1:14" ht="14.25" customHeight="1" thickBot="1" x14ac:dyDescent="0.25">
      <c r="A277" s="3188"/>
      <c r="B277" s="647" t="s">
        <v>14</v>
      </c>
      <c r="C277" s="3087"/>
      <c r="D277" s="480">
        <f>+E277+F277+G277+H277</f>
        <v>0</v>
      </c>
      <c r="E277" s="470">
        <v>0</v>
      </c>
      <c r="F277" s="482">
        <v>0</v>
      </c>
      <c r="G277" s="482">
        <v>0</v>
      </c>
      <c r="H277" s="522">
        <v>0</v>
      </c>
      <c r="I277" s="684">
        <f>E277+F277+K277</f>
        <v>0</v>
      </c>
      <c r="J277" s="482">
        <v>0</v>
      </c>
      <c r="K277" s="470">
        <v>0</v>
      </c>
      <c r="L277" s="471">
        <v>0</v>
      </c>
      <c r="M277" s="467">
        <f t="shared" si="206"/>
        <v>0</v>
      </c>
      <c r="N277" s="3104"/>
    </row>
    <row r="278" spans="1:14" s="511" customFormat="1" ht="14.25" customHeight="1" thickBot="1" x14ac:dyDescent="0.25">
      <c r="A278" s="3189"/>
      <c r="B278" s="334" t="s">
        <v>16</v>
      </c>
      <c r="C278" s="27"/>
      <c r="D278" s="673">
        <f>+D279</f>
        <v>0</v>
      </c>
      <c r="E278" s="593">
        <f t="shared" ref="E278:H279" si="209">+E279</f>
        <v>0</v>
      </c>
      <c r="F278" s="593">
        <f t="shared" si="209"/>
        <v>0</v>
      </c>
      <c r="G278" s="593">
        <f t="shared" si="209"/>
        <v>0</v>
      </c>
      <c r="H278" s="484">
        <f t="shared" si="209"/>
        <v>0</v>
      </c>
      <c r="I278" s="673">
        <f>+I279</f>
        <v>0</v>
      </c>
      <c r="J278" s="593">
        <v>0</v>
      </c>
      <c r="K278" s="593">
        <f>+K279</f>
        <v>0</v>
      </c>
      <c r="L278" s="532">
        <v>0</v>
      </c>
      <c r="M278" s="453">
        <f t="shared" si="206"/>
        <v>0</v>
      </c>
      <c r="N278" s="3102"/>
    </row>
    <row r="279" spans="1:14" s="634" customFormat="1" ht="14.25" customHeight="1" thickBot="1" x14ac:dyDescent="0.25">
      <c r="A279" s="3189"/>
      <c r="B279" s="473" t="s">
        <v>12</v>
      </c>
      <c r="C279" s="3086" t="s">
        <v>34</v>
      </c>
      <c r="D279" s="675">
        <f>+D280</f>
        <v>0</v>
      </c>
      <c r="E279" s="585">
        <v>0</v>
      </c>
      <c r="F279" s="585">
        <f t="shared" si="209"/>
        <v>0</v>
      </c>
      <c r="G279" s="605">
        <f t="shared" si="209"/>
        <v>0</v>
      </c>
      <c r="H279" s="576">
        <f t="shared" si="209"/>
        <v>0</v>
      </c>
      <c r="I279" s="675">
        <f>+I280</f>
        <v>0</v>
      </c>
      <c r="J279" s="585">
        <v>0</v>
      </c>
      <c r="K279" s="585">
        <f>+K280</f>
        <v>0</v>
      </c>
      <c r="L279" s="685">
        <v>0</v>
      </c>
      <c r="M279" s="459">
        <f t="shared" si="206"/>
        <v>0</v>
      </c>
      <c r="N279" s="3102"/>
    </row>
    <row r="280" spans="1:14" s="634" customFormat="1" ht="14.25" customHeight="1" thickBot="1" x14ac:dyDescent="0.25">
      <c r="A280" s="3189"/>
      <c r="B280" s="649" t="s">
        <v>14</v>
      </c>
      <c r="C280" s="3090"/>
      <c r="D280" s="525">
        <f>+E280+F280+G280+H280</f>
        <v>0</v>
      </c>
      <c r="E280" s="650">
        <v>0</v>
      </c>
      <c r="F280" s="650">
        <v>0</v>
      </c>
      <c r="G280" s="686">
        <v>0</v>
      </c>
      <c r="H280" s="687">
        <v>0</v>
      </c>
      <c r="I280" s="688">
        <f>E280+F280+K280</f>
        <v>0</v>
      </c>
      <c r="J280" s="601">
        <v>0</v>
      </c>
      <c r="K280" s="650">
        <v>0</v>
      </c>
      <c r="L280" s="689">
        <v>0</v>
      </c>
      <c r="M280" s="502">
        <f t="shared" si="206"/>
        <v>0</v>
      </c>
      <c r="N280" s="3102"/>
    </row>
    <row r="281" spans="1:14" ht="25.5" x14ac:dyDescent="0.2">
      <c r="A281" s="3173" t="s">
        <v>63</v>
      </c>
      <c r="B281" s="690" t="s">
        <v>253</v>
      </c>
      <c r="C281" s="580" t="s">
        <v>168</v>
      </c>
      <c r="D281" s="691"/>
      <c r="E281" s="692"/>
      <c r="F281" s="692"/>
      <c r="G281" s="692"/>
      <c r="H281" s="693"/>
      <c r="I281" s="692"/>
      <c r="J281" s="692"/>
      <c r="K281" s="692"/>
      <c r="L281" s="694"/>
      <c r="M281" s="694"/>
      <c r="N281" s="3174" t="s">
        <v>37</v>
      </c>
    </row>
    <row r="282" spans="1:14" ht="15" customHeight="1" x14ac:dyDescent="0.2">
      <c r="A282" s="3117"/>
      <c r="B282" s="334" t="s">
        <v>2</v>
      </c>
      <c r="C282" s="27"/>
      <c r="D282" s="513">
        <f t="shared" ref="D282:I282" si="210">+D283+D285</f>
        <v>4559294</v>
      </c>
      <c r="E282" s="514">
        <f t="shared" si="210"/>
        <v>559294</v>
      </c>
      <c r="F282" s="606">
        <f t="shared" si="210"/>
        <v>0</v>
      </c>
      <c r="G282" s="514">
        <f t="shared" si="210"/>
        <v>0</v>
      </c>
      <c r="H282" s="514">
        <f t="shared" si="210"/>
        <v>4000000</v>
      </c>
      <c r="I282" s="513">
        <f t="shared" si="210"/>
        <v>559294</v>
      </c>
      <c r="J282" s="516">
        <f t="shared" si="199"/>
        <v>12.267118549494723</v>
      </c>
      <c r="K282" s="514">
        <f>+K283+K285</f>
        <v>0</v>
      </c>
      <c r="L282" s="674">
        <v>0</v>
      </c>
      <c r="M282" s="453">
        <f t="shared" ref="M282:M289" si="211">+K282-G282</f>
        <v>0</v>
      </c>
      <c r="N282" s="3170"/>
    </row>
    <row r="283" spans="1:14" ht="14.25" customHeight="1" x14ac:dyDescent="0.2">
      <c r="A283" s="3117"/>
      <c r="B283" s="454" t="s">
        <v>17</v>
      </c>
      <c r="C283" s="3086" t="s">
        <v>38</v>
      </c>
      <c r="D283" s="519">
        <f t="shared" ref="D283:I283" si="212">+D284</f>
        <v>4559294</v>
      </c>
      <c r="E283" s="520">
        <f t="shared" si="212"/>
        <v>559294</v>
      </c>
      <c r="F283" s="607">
        <f t="shared" si="212"/>
        <v>0</v>
      </c>
      <c r="G283" s="520">
        <f t="shared" si="212"/>
        <v>0</v>
      </c>
      <c r="H283" s="520">
        <f t="shared" si="212"/>
        <v>4000000</v>
      </c>
      <c r="I283" s="519">
        <f t="shared" si="212"/>
        <v>559294</v>
      </c>
      <c r="J283" s="176">
        <f t="shared" si="199"/>
        <v>12.267118549494723</v>
      </c>
      <c r="K283" s="520">
        <f>+K284</f>
        <v>0</v>
      </c>
      <c r="L283" s="676">
        <v>0</v>
      </c>
      <c r="M283" s="459">
        <f t="shared" si="211"/>
        <v>0</v>
      </c>
      <c r="N283" s="3170"/>
    </row>
    <row r="284" spans="1:14" ht="15" customHeight="1" x14ac:dyDescent="0.2">
      <c r="A284" s="3117"/>
      <c r="B284" s="647" t="s">
        <v>4</v>
      </c>
      <c r="C284" s="3087"/>
      <c r="D284" s="461">
        <f>+E284+F284+G284+H284</f>
        <v>4559294</v>
      </c>
      <c r="E284" s="462">
        <f>315360+243934</f>
        <v>559294</v>
      </c>
      <c r="F284" s="482">
        <v>0</v>
      </c>
      <c r="G284" s="462">
        <v>0</v>
      </c>
      <c r="H284" s="462">
        <v>4000000</v>
      </c>
      <c r="I284" s="550">
        <f>E284+F284+K284</f>
        <v>559294</v>
      </c>
      <c r="J284" s="469">
        <f t="shared" si="199"/>
        <v>12.267118549494723</v>
      </c>
      <c r="K284" s="462">
        <v>0</v>
      </c>
      <c r="L284" s="471">
        <v>0</v>
      </c>
      <c r="M284" s="467">
        <f t="shared" si="211"/>
        <v>0</v>
      </c>
      <c r="N284" s="3170"/>
    </row>
    <row r="285" spans="1:14" ht="15" customHeight="1" x14ac:dyDescent="0.2">
      <c r="A285" s="3117"/>
      <c r="B285" s="473" t="s">
        <v>12</v>
      </c>
      <c r="C285" s="3087"/>
      <c r="D285" s="683">
        <f t="shared" ref="D285:I285" si="213">+D286</f>
        <v>0</v>
      </c>
      <c r="E285" s="477">
        <f t="shared" si="213"/>
        <v>0</v>
      </c>
      <c r="F285" s="477">
        <f t="shared" si="213"/>
        <v>0</v>
      </c>
      <c r="G285" s="477">
        <f t="shared" si="213"/>
        <v>0</v>
      </c>
      <c r="H285" s="524">
        <f t="shared" si="213"/>
        <v>0</v>
      </c>
      <c r="I285" s="683">
        <f t="shared" si="213"/>
        <v>0</v>
      </c>
      <c r="J285" s="477">
        <v>0</v>
      </c>
      <c r="K285" s="477">
        <f>+K286</f>
        <v>0</v>
      </c>
      <c r="L285" s="478">
        <v>0</v>
      </c>
      <c r="M285" s="459">
        <f t="shared" si="211"/>
        <v>0</v>
      </c>
      <c r="N285" s="3170"/>
    </row>
    <row r="286" spans="1:14" ht="12" customHeight="1" x14ac:dyDescent="0.2">
      <c r="A286" s="3117"/>
      <c r="B286" s="647" t="s">
        <v>14</v>
      </c>
      <c r="C286" s="3087"/>
      <c r="D286" s="480">
        <f>+E286+F286+G286+H286</f>
        <v>0</v>
      </c>
      <c r="E286" s="482">
        <v>0</v>
      </c>
      <c r="F286" s="482">
        <v>0</v>
      </c>
      <c r="G286" s="482">
        <v>0</v>
      </c>
      <c r="H286" s="522">
        <v>0</v>
      </c>
      <c r="I286" s="684">
        <f>E286+F286+K286</f>
        <v>0</v>
      </c>
      <c r="J286" s="482">
        <v>0</v>
      </c>
      <c r="K286" s="470">
        <v>0</v>
      </c>
      <c r="L286" s="471">
        <v>0</v>
      </c>
      <c r="M286" s="467">
        <f t="shared" si="211"/>
        <v>0</v>
      </c>
      <c r="N286" s="3170"/>
    </row>
    <row r="287" spans="1:14" s="511" customFormat="1" ht="15" customHeight="1" x14ac:dyDescent="0.2">
      <c r="A287" s="3118"/>
      <c r="B287" s="334" t="s">
        <v>16</v>
      </c>
      <c r="C287" s="27"/>
      <c r="D287" s="673">
        <f>+D288</f>
        <v>0</v>
      </c>
      <c r="E287" s="593">
        <v>0</v>
      </c>
      <c r="F287" s="593">
        <f t="shared" ref="F287:H288" si="214">+F288</f>
        <v>0</v>
      </c>
      <c r="G287" s="593">
        <f t="shared" si="214"/>
        <v>0</v>
      </c>
      <c r="H287" s="484">
        <f t="shared" si="214"/>
        <v>0</v>
      </c>
      <c r="I287" s="673">
        <f>+I288</f>
        <v>0</v>
      </c>
      <c r="J287" s="593">
        <v>0</v>
      </c>
      <c r="K287" s="593">
        <f>+K288</f>
        <v>0</v>
      </c>
      <c r="L287" s="532">
        <v>0</v>
      </c>
      <c r="M287" s="453">
        <f t="shared" si="211"/>
        <v>0</v>
      </c>
      <c r="N287" s="3087"/>
    </row>
    <row r="288" spans="1:14" s="634" customFormat="1" ht="12.75" customHeight="1" x14ac:dyDescent="0.2">
      <c r="A288" s="3118"/>
      <c r="B288" s="473" t="s">
        <v>12</v>
      </c>
      <c r="C288" s="3086" t="s">
        <v>34</v>
      </c>
      <c r="D288" s="675">
        <f>+D289</f>
        <v>0</v>
      </c>
      <c r="E288" s="585">
        <v>0</v>
      </c>
      <c r="F288" s="585">
        <f t="shared" si="214"/>
        <v>0</v>
      </c>
      <c r="G288" s="605">
        <f t="shared" si="214"/>
        <v>0</v>
      </c>
      <c r="H288" s="576">
        <f t="shared" si="214"/>
        <v>0</v>
      </c>
      <c r="I288" s="675">
        <f>+I289</f>
        <v>0</v>
      </c>
      <c r="J288" s="585">
        <v>0</v>
      </c>
      <c r="K288" s="585">
        <f>+K289</f>
        <v>0</v>
      </c>
      <c r="L288" s="685">
        <v>0</v>
      </c>
      <c r="M288" s="459">
        <f t="shared" si="211"/>
        <v>0</v>
      </c>
      <c r="N288" s="3087"/>
    </row>
    <row r="289" spans="1:14" s="634" customFormat="1" ht="15" customHeight="1" thickBot="1" x14ac:dyDescent="0.25">
      <c r="A289" s="3119"/>
      <c r="B289" s="649" t="s">
        <v>14</v>
      </c>
      <c r="C289" s="3090"/>
      <c r="D289" s="525">
        <f>+E289+F289+G289+H289</f>
        <v>0</v>
      </c>
      <c r="E289" s="695">
        <v>0</v>
      </c>
      <c r="F289" s="650">
        <v>0</v>
      </c>
      <c r="G289" s="686">
        <v>0</v>
      </c>
      <c r="H289" s="687">
        <v>0</v>
      </c>
      <c r="I289" s="688">
        <f>E289+F289+K289</f>
        <v>0</v>
      </c>
      <c r="J289" s="601">
        <v>0</v>
      </c>
      <c r="K289" s="650">
        <v>0</v>
      </c>
      <c r="L289" s="689">
        <v>0</v>
      </c>
      <c r="M289" s="467">
        <f t="shared" si="211"/>
        <v>0</v>
      </c>
      <c r="N289" s="3090"/>
    </row>
    <row r="290" spans="1:14" ht="25.5" x14ac:dyDescent="0.2">
      <c r="A290" s="3116" t="s">
        <v>65</v>
      </c>
      <c r="B290" s="681" t="s">
        <v>254</v>
      </c>
      <c r="C290" s="443" t="s">
        <v>168</v>
      </c>
      <c r="D290" s="610"/>
      <c r="E290" s="611"/>
      <c r="F290" s="611"/>
      <c r="G290" s="611"/>
      <c r="H290" s="612"/>
      <c r="I290" s="610"/>
      <c r="J290" s="611"/>
      <c r="K290" s="611"/>
      <c r="L290" s="613"/>
      <c r="M290" s="613"/>
      <c r="N290" s="3113" t="s">
        <v>37</v>
      </c>
    </row>
    <row r="291" spans="1:14" ht="15.75" customHeight="1" x14ac:dyDescent="0.2">
      <c r="A291" s="3117"/>
      <c r="B291" s="334" t="s">
        <v>2</v>
      </c>
      <c r="C291" s="27"/>
      <c r="D291" s="513">
        <f t="shared" ref="D291" si="215">+D292+D294</f>
        <v>2102340</v>
      </c>
      <c r="E291" s="606">
        <v>0</v>
      </c>
      <c r="F291" s="514">
        <f>+F292+F294</f>
        <v>57340</v>
      </c>
      <c r="G291" s="514">
        <f>+G292+G294</f>
        <v>225000</v>
      </c>
      <c r="H291" s="514">
        <f>+H292+H294</f>
        <v>1820000</v>
      </c>
      <c r="I291" s="513">
        <f>+I292+I294</f>
        <v>280890</v>
      </c>
      <c r="J291" s="516">
        <f t="shared" si="199"/>
        <v>13.360826507605811</v>
      </c>
      <c r="K291" s="514">
        <f>+K292+K294</f>
        <v>223550</v>
      </c>
      <c r="L291" s="543">
        <f t="shared" ref="L291:L309" si="216">K291/G291*100</f>
        <v>99.355555555555554</v>
      </c>
      <c r="M291" s="453">
        <f t="shared" ref="M291:M298" si="217">+K291-G291</f>
        <v>-1450</v>
      </c>
      <c r="N291" s="3170"/>
    </row>
    <row r="292" spans="1:14" ht="14.25" customHeight="1" x14ac:dyDescent="0.2">
      <c r="A292" s="3117"/>
      <c r="B292" s="454" t="s">
        <v>17</v>
      </c>
      <c r="C292" s="3086" t="s">
        <v>38</v>
      </c>
      <c r="D292" s="519">
        <f t="shared" ref="D292" si="218">+D293</f>
        <v>2102340</v>
      </c>
      <c r="E292" s="607">
        <v>0</v>
      </c>
      <c r="F292" s="520">
        <f>+F293</f>
        <v>57340</v>
      </c>
      <c r="G292" s="520">
        <f>+G293</f>
        <v>225000</v>
      </c>
      <c r="H292" s="520">
        <f>+H293</f>
        <v>1820000</v>
      </c>
      <c r="I292" s="519">
        <f>+I293</f>
        <v>280890</v>
      </c>
      <c r="J292" s="176">
        <f t="shared" si="199"/>
        <v>13.360826507605811</v>
      </c>
      <c r="K292" s="520">
        <f>+K293</f>
        <v>223550</v>
      </c>
      <c r="L292" s="646">
        <f t="shared" si="216"/>
        <v>99.355555555555554</v>
      </c>
      <c r="M292" s="459">
        <f t="shared" si="217"/>
        <v>-1450</v>
      </c>
      <c r="N292" s="3170"/>
    </row>
    <row r="293" spans="1:14" ht="14.25" customHeight="1" x14ac:dyDescent="0.2">
      <c r="A293" s="3117"/>
      <c r="B293" s="647" t="s">
        <v>4</v>
      </c>
      <c r="C293" s="3087"/>
      <c r="D293" s="461">
        <f>+E293+F293+G293+H293</f>
        <v>2102340</v>
      </c>
      <c r="E293" s="470">
        <v>0</v>
      </c>
      <c r="F293" s="463">
        <v>57340</v>
      </c>
      <c r="G293" s="463">
        <v>225000</v>
      </c>
      <c r="H293" s="463">
        <v>1820000</v>
      </c>
      <c r="I293" s="550">
        <f>E293+F293+K293</f>
        <v>280890</v>
      </c>
      <c r="J293" s="469">
        <f t="shared" si="199"/>
        <v>13.360826507605811</v>
      </c>
      <c r="K293" s="462">
        <v>223550</v>
      </c>
      <c r="L293" s="557">
        <f t="shared" si="216"/>
        <v>99.355555555555554</v>
      </c>
      <c r="M293" s="467">
        <f t="shared" si="217"/>
        <v>-1450</v>
      </c>
      <c r="N293" s="3170"/>
    </row>
    <row r="294" spans="1:14" ht="14.25" customHeight="1" x14ac:dyDescent="0.2">
      <c r="A294" s="3117"/>
      <c r="B294" s="473" t="s">
        <v>12</v>
      </c>
      <c r="C294" s="3087"/>
      <c r="D294" s="683">
        <f t="shared" ref="D294" si="219">+D295</f>
        <v>0</v>
      </c>
      <c r="E294" s="477">
        <v>0</v>
      </c>
      <c r="F294" s="477">
        <f>+F295</f>
        <v>0</v>
      </c>
      <c r="G294" s="477">
        <f>+G295</f>
        <v>0</v>
      </c>
      <c r="H294" s="524">
        <f>+H295</f>
        <v>0</v>
      </c>
      <c r="I294" s="683">
        <f>+I295</f>
        <v>0</v>
      </c>
      <c r="J294" s="477">
        <v>0</v>
      </c>
      <c r="K294" s="477">
        <f>+K295</f>
        <v>0</v>
      </c>
      <c r="L294" s="478">
        <v>0</v>
      </c>
      <c r="M294" s="459">
        <f t="shared" si="217"/>
        <v>0</v>
      </c>
      <c r="N294" s="3170"/>
    </row>
    <row r="295" spans="1:14" ht="14.25" customHeight="1" x14ac:dyDescent="0.2">
      <c r="A295" s="3117"/>
      <c r="B295" s="647" t="s">
        <v>14</v>
      </c>
      <c r="C295" s="3087"/>
      <c r="D295" s="480">
        <f>+E295+F295+G295+H295</f>
        <v>0</v>
      </c>
      <c r="E295" s="470">
        <v>0</v>
      </c>
      <c r="F295" s="470">
        <f>163508-163508</f>
        <v>0</v>
      </c>
      <c r="G295" s="470">
        <v>0</v>
      </c>
      <c r="H295" s="494">
        <v>0</v>
      </c>
      <c r="I295" s="684">
        <f>E295+F295+K295</f>
        <v>0</v>
      </c>
      <c r="J295" s="482">
        <v>0</v>
      </c>
      <c r="K295" s="470">
        <v>0</v>
      </c>
      <c r="L295" s="471">
        <v>0</v>
      </c>
      <c r="M295" s="467">
        <f t="shared" si="217"/>
        <v>0</v>
      </c>
      <c r="N295" s="3170"/>
    </row>
    <row r="296" spans="1:14" s="511" customFormat="1" ht="14.25" customHeight="1" x14ac:dyDescent="0.2">
      <c r="A296" s="3118"/>
      <c r="B296" s="334" t="s">
        <v>16</v>
      </c>
      <c r="C296" s="27"/>
      <c r="D296" s="673">
        <f>+D297</f>
        <v>0</v>
      </c>
      <c r="E296" s="593">
        <v>0</v>
      </c>
      <c r="F296" s="593">
        <f t="shared" ref="F296:H297" si="220">+F297</f>
        <v>0</v>
      </c>
      <c r="G296" s="593">
        <f t="shared" si="220"/>
        <v>0</v>
      </c>
      <c r="H296" s="515">
        <f t="shared" si="220"/>
        <v>0</v>
      </c>
      <c r="I296" s="673">
        <f>+I297</f>
        <v>0</v>
      </c>
      <c r="J296" s="593">
        <v>0</v>
      </c>
      <c r="K296" s="593">
        <f>+K297</f>
        <v>0</v>
      </c>
      <c r="L296" s="532">
        <v>0</v>
      </c>
      <c r="M296" s="453">
        <f t="shared" si="217"/>
        <v>0</v>
      </c>
      <c r="N296" s="3087"/>
    </row>
    <row r="297" spans="1:14" s="634" customFormat="1" ht="14.25" customHeight="1" x14ac:dyDescent="0.2">
      <c r="A297" s="3118"/>
      <c r="B297" s="473" t="s">
        <v>12</v>
      </c>
      <c r="C297" s="3086" t="s">
        <v>34</v>
      </c>
      <c r="D297" s="675">
        <f>+D298</f>
        <v>0</v>
      </c>
      <c r="E297" s="585">
        <v>0</v>
      </c>
      <c r="F297" s="585">
        <f t="shared" si="220"/>
        <v>0</v>
      </c>
      <c r="G297" s="585">
        <f t="shared" si="220"/>
        <v>0</v>
      </c>
      <c r="H297" s="696">
        <f t="shared" si="220"/>
        <v>0</v>
      </c>
      <c r="I297" s="675">
        <f>+I298</f>
        <v>0</v>
      </c>
      <c r="J297" s="585">
        <v>0</v>
      </c>
      <c r="K297" s="585">
        <f>+K298</f>
        <v>0</v>
      </c>
      <c r="L297" s="685">
        <v>0</v>
      </c>
      <c r="M297" s="459">
        <f t="shared" si="217"/>
        <v>0</v>
      </c>
      <c r="N297" s="3087"/>
    </row>
    <row r="298" spans="1:14" s="634" customFormat="1" ht="14.25" customHeight="1" thickBot="1" x14ac:dyDescent="0.25">
      <c r="A298" s="3164"/>
      <c r="B298" s="697" t="s">
        <v>14</v>
      </c>
      <c r="C298" s="3169"/>
      <c r="D298" s="698">
        <f>+E298+F298+G298+H298</f>
        <v>0</v>
      </c>
      <c r="E298" s="699">
        <v>0</v>
      </c>
      <c r="F298" s="699">
        <v>0</v>
      </c>
      <c r="G298" s="699">
        <v>0</v>
      </c>
      <c r="H298" s="700">
        <v>0</v>
      </c>
      <c r="I298" s="677">
        <f>E298+F298+K298</f>
        <v>0</v>
      </c>
      <c r="J298" s="701">
        <v>0</v>
      </c>
      <c r="K298" s="699">
        <v>0</v>
      </c>
      <c r="L298" s="702">
        <v>0</v>
      </c>
      <c r="M298" s="467">
        <f t="shared" si="217"/>
        <v>0</v>
      </c>
      <c r="N298" s="3169"/>
    </row>
    <row r="299" spans="1:14" ht="39.75" customHeight="1" x14ac:dyDescent="0.2">
      <c r="A299" s="3116" t="s">
        <v>66</v>
      </c>
      <c r="B299" s="541" t="s">
        <v>72</v>
      </c>
      <c r="C299" s="443" t="s">
        <v>168</v>
      </c>
      <c r="D299" s="610"/>
      <c r="E299" s="611"/>
      <c r="F299" s="611"/>
      <c r="G299" s="611"/>
      <c r="H299" s="612"/>
      <c r="I299" s="610"/>
      <c r="J299" s="611"/>
      <c r="K299" s="611"/>
      <c r="L299" s="613"/>
      <c r="M299" s="613"/>
      <c r="N299" s="3113" t="s">
        <v>281</v>
      </c>
    </row>
    <row r="300" spans="1:14" ht="14.25" customHeight="1" x14ac:dyDescent="0.2">
      <c r="A300" s="3117"/>
      <c r="B300" s="334" t="s">
        <v>2</v>
      </c>
      <c r="C300" s="27"/>
      <c r="D300" s="703">
        <f t="shared" ref="D300:H304" si="221">+D301</f>
        <v>46900000</v>
      </c>
      <c r="E300" s="704">
        <f t="shared" si="221"/>
        <v>0</v>
      </c>
      <c r="F300" s="704">
        <f t="shared" si="221"/>
        <v>0</v>
      </c>
      <c r="G300" s="514">
        <f t="shared" si="221"/>
        <v>26800000</v>
      </c>
      <c r="H300" s="705">
        <f t="shared" si="221"/>
        <v>20100000</v>
      </c>
      <c r="I300" s="513">
        <f>+I301</f>
        <v>26800000</v>
      </c>
      <c r="J300" s="29">
        <f t="shared" ref="J300:J339" si="222">I300/D300*100</f>
        <v>57.142857142857139</v>
      </c>
      <c r="K300" s="514">
        <f>+K301</f>
        <v>26800000</v>
      </c>
      <c r="L300" s="452">
        <f t="shared" si="216"/>
        <v>100</v>
      </c>
      <c r="M300" s="453">
        <f t="shared" ref="M300:M305" si="223">+K300-G300</f>
        <v>0</v>
      </c>
      <c r="N300" s="3170"/>
    </row>
    <row r="301" spans="1:14" ht="14.25" customHeight="1" x14ac:dyDescent="0.2">
      <c r="A301" s="3117"/>
      <c r="B301" s="473" t="s">
        <v>12</v>
      </c>
      <c r="C301" s="3171" t="s">
        <v>33</v>
      </c>
      <c r="D301" s="474">
        <f t="shared" si="221"/>
        <v>46900000</v>
      </c>
      <c r="E301" s="477">
        <f t="shared" si="221"/>
        <v>0</v>
      </c>
      <c r="F301" s="477">
        <f t="shared" si="221"/>
        <v>0</v>
      </c>
      <c r="G301" s="520">
        <f t="shared" si="221"/>
        <v>26800000</v>
      </c>
      <c r="H301" s="706">
        <f t="shared" si="221"/>
        <v>20100000</v>
      </c>
      <c r="I301" s="519">
        <f>+I302</f>
        <v>26800000</v>
      </c>
      <c r="J301" s="617">
        <f t="shared" si="222"/>
        <v>57.142857142857139</v>
      </c>
      <c r="K301" s="520">
        <f>+K302</f>
        <v>26800000</v>
      </c>
      <c r="L301" s="618">
        <f t="shared" si="216"/>
        <v>100</v>
      </c>
      <c r="M301" s="459">
        <f t="shared" si="223"/>
        <v>0</v>
      </c>
      <c r="N301" s="3170"/>
    </row>
    <row r="302" spans="1:14" ht="14.25" customHeight="1" x14ac:dyDescent="0.2">
      <c r="A302" s="3117"/>
      <c r="B302" s="460" t="s">
        <v>14</v>
      </c>
      <c r="C302" s="3171"/>
      <c r="D302" s="461">
        <f>+E302+F302+G302+H302</f>
        <v>46900000</v>
      </c>
      <c r="E302" s="470">
        <v>0</v>
      </c>
      <c r="F302" s="482">
        <v>0</v>
      </c>
      <c r="G302" s="462">
        <v>26800000</v>
      </c>
      <c r="H302" s="648">
        <v>20100000</v>
      </c>
      <c r="I302" s="550">
        <f>E302+F302+K302</f>
        <v>26800000</v>
      </c>
      <c r="J302" s="465">
        <f t="shared" si="222"/>
        <v>57.142857142857139</v>
      </c>
      <c r="K302" s="462">
        <v>26800000</v>
      </c>
      <c r="L302" s="466">
        <f t="shared" si="216"/>
        <v>100</v>
      </c>
      <c r="M302" s="467">
        <f t="shared" si="223"/>
        <v>0</v>
      </c>
      <c r="N302" s="3170"/>
    </row>
    <row r="303" spans="1:14" ht="14.25" customHeight="1" x14ac:dyDescent="0.2">
      <c r="A303" s="3118"/>
      <c r="B303" s="334" t="s">
        <v>16</v>
      </c>
      <c r="C303" s="27"/>
      <c r="D303" s="451">
        <f t="shared" ref="D303:F303" si="224">+D304</f>
        <v>46900000</v>
      </c>
      <c r="E303" s="532">
        <f t="shared" si="224"/>
        <v>0</v>
      </c>
      <c r="F303" s="532">
        <f t="shared" si="224"/>
        <v>0</v>
      </c>
      <c r="G303" s="514">
        <f t="shared" si="221"/>
        <v>26800000</v>
      </c>
      <c r="H303" s="705">
        <f t="shared" si="221"/>
        <v>20100000</v>
      </c>
      <c r="I303" s="513">
        <f>+I304+I306</f>
        <v>26800000</v>
      </c>
      <c r="J303" s="29">
        <f t="shared" si="222"/>
        <v>57.142857142857139</v>
      </c>
      <c r="K303" s="514">
        <f>+K304+K306</f>
        <v>26800000</v>
      </c>
      <c r="L303" s="452">
        <f t="shared" si="216"/>
        <v>100</v>
      </c>
      <c r="M303" s="453">
        <f t="shared" si="223"/>
        <v>0</v>
      </c>
      <c r="N303" s="3087"/>
    </row>
    <row r="304" spans="1:14" ht="14.25" customHeight="1" x14ac:dyDescent="0.2">
      <c r="A304" s="3118"/>
      <c r="B304" s="473" t="s">
        <v>12</v>
      </c>
      <c r="C304" s="3143" t="s">
        <v>34</v>
      </c>
      <c r="D304" s="474">
        <f t="shared" ref="D304:F304" si="225">+D305</f>
        <v>46900000</v>
      </c>
      <c r="E304" s="477">
        <f t="shared" si="225"/>
        <v>0</v>
      </c>
      <c r="F304" s="477">
        <f t="shared" si="225"/>
        <v>0</v>
      </c>
      <c r="G304" s="520">
        <f t="shared" si="221"/>
        <v>26800000</v>
      </c>
      <c r="H304" s="706">
        <f t="shared" si="221"/>
        <v>20100000</v>
      </c>
      <c r="I304" s="519">
        <f>+I305</f>
        <v>26800000</v>
      </c>
      <c r="J304" s="617">
        <f t="shared" si="222"/>
        <v>57.142857142857139</v>
      </c>
      <c r="K304" s="520">
        <f>+K305</f>
        <v>26800000</v>
      </c>
      <c r="L304" s="618">
        <f t="shared" si="216"/>
        <v>100</v>
      </c>
      <c r="M304" s="459">
        <f t="shared" si="223"/>
        <v>0</v>
      </c>
      <c r="N304" s="3087"/>
    </row>
    <row r="305" spans="1:14" ht="14.25" customHeight="1" thickBot="1" x14ac:dyDescent="0.25">
      <c r="A305" s="3119"/>
      <c r="B305" s="537" t="s">
        <v>14</v>
      </c>
      <c r="C305" s="3145"/>
      <c r="D305" s="500">
        <f>+E305+F305+G305+H305</f>
        <v>46900000</v>
      </c>
      <c r="E305" s="526">
        <v>0</v>
      </c>
      <c r="F305" s="526">
        <v>0</v>
      </c>
      <c r="G305" s="501">
        <v>26800000</v>
      </c>
      <c r="H305" s="707">
        <v>20100000</v>
      </c>
      <c r="I305" s="565">
        <f>E305+F305+K305</f>
        <v>26800000</v>
      </c>
      <c r="J305" s="505">
        <f t="shared" si="222"/>
        <v>57.142857142857139</v>
      </c>
      <c r="K305" s="501">
        <v>26800000</v>
      </c>
      <c r="L305" s="635">
        <f t="shared" si="216"/>
        <v>100</v>
      </c>
      <c r="M305" s="467">
        <f t="shared" si="223"/>
        <v>0</v>
      </c>
      <c r="N305" s="3090"/>
    </row>
    <row r="306" spans="1:14" ht="13.5" customHeight="1" x14ac:dyDescent="0.2">
      <c r="A306" s="3175" t="s">
        <v>73</v>
      </c>
      <c r="B306" s="708" t="s">
        <v>74</v>
      </c>
      <c r="C306" s="709"/>
      <c r="D306" s="366"/>
      <c r="E306" s="367"/>
      <c r="F306" s="367"/>
      <c r="G306" s="367"/>
      <c r="H306" s="368"/>
      <c r="I306" s="366"/>
      <c r="J306" s="367"/>
      <c r="K306" s="367"/>
      <c r="L306" s="372"/>
      <c r="M306" s="372"/>
      <c r="N306" s="3179"/>
    </row>
    <row r="307" spans="1:14" s="472" customFormat="1" ht="15" customHeight="1" x14ac:dyDescent="0.2">
      <c r="A307" s="3176"/>
      <c r="B307" s="373" t="s">
        <v>2</v>
      </c>
      <c r="C307" s="710"/>
      <c r="D307" s="375">
        <f t="shared" ref="D307:I307" si="226">+D308+D310</f>
        <v>17754926.879999999</v>
      </c>
      <c r="E307" s="376">
        <f t="shared" si="226"/>
        <v>6985875</v>
      </c>
      <c r="F307" s="376">
        <f t="shared" si="226"/>
        <v>10706506.879999999</v>
      </c>
      <c r="G307" s="376">
        <f>+G308+G310</f>
        <v>4742</v>
      </c>
      <c r="H307" s="377">
        <f>+H308+H310</f>
        <v>57803</v>
      </c>
      <c r="I307" s="375">
        <f t="shared" si="226"/>
        <v>17697123.370000001</v>
      </c>
      <c r="J307" s="711">
        <f t="shared" si="222"/>
        <v>99.674436789344881</v>
      </c>
      <c r="K307" s="376">
        <f>+K308+K310</f>
        <v>4741.49</v>
      </c>
      <c r="L307" s="379">
        <f t="shared" si="216"/>
        <v>99.989245044285099</v>
      </c>
      <c r="M307" s="712">
        <f t="shared" ref="M307:M314" si="227">+K307-G307</f>
        <v>-0.51000000000021828</v>
      </c>
      <c r="N307" s="3180"/>
    </row>
    <row r="308" spans="1:14" s="720" customFormat="1" ht="15" customHeight="1" x14ac:dyDescent="0.2">
      <c r="A308" s="3176"/>
      <c r="B308" s="713" t="s">
        <v>3</v>
      </c>
      <c r="C308" s="3183"/>
      <c r="D308" s="714">
        <f t="shared" ref="D308:K308" si="228">+D309</f>
        <v>3040429.88</v>
      </c>
      <c r="E308" s="715">
        <f t="shared" si="228"/>
        <v>1196784</v>
      </c>
      <c r="F308" s="715">
        <f t="shared" si="228"/>
        <v>1781100.88</v>
      </c>
      <c r="G308" s="715">
        <f t="shared" si="228"/>
        <v>4742</v>
      </c>
      <c r="H308" s="716">
        <f t="shared" si="228"/>
        <v>57803</v>
      </c>
      <c r="I308" s="714">
        <f t="shared" si="228"/>
        <v>2982626.37</v>
      </c>
      <c r="J308" s="717">
        <f t="shared" si="222"/>
        <v>98.098837589374043</v>
      </c>
      <c r="K308" s="715">
        <f t="shared" si="228"/>
        <v>4741.49</v>
      </c>
      <c r="L308" s="718">
        <f t="shared" si="216"/>
        <v>99.989245044285099</v>
      </c>
      <c r="M308" s="719">
        <f t="shared" si="227"/>
        <v>-0.51000000000021828</v>
      </c>
      <c r="N308" s="3180"/>
    </row>
    <row r="309" spans="1:14" s="472" customFormat="1" ht="15" customHeight="1" x14ac:dyDescent="0.2">
      <c r="A309" s="3176"/>
      <c r="B309" s="427" t="s">
        <v>4</v>
      </c>
      <c r="C309" s="3184"/>
      <c r="D309" s="391">
        <f t="shared" ref="D309:I309" si="229">+D318+D336+D345+D354+D327</f>
        <v>3040429.88</v>
      </c>
      <c r="E309" s="392">
        <f t="shared" si="229"/>
        <v>1196784</v>
      </c>
      <c r="F309" s="392">
        <f t="shared" si="229"/>
        <v>1781100.88</v>
      </c>
      <c r="G309" s="392">
        <f t="shared" si="229"/>
        <v>4742</v>
      </c>
      <c r="H309" s="393">
        <f t="shared" si="229"/>
        <v>57803</v>
      </c>
      <c r="I309" s="391">
        <f t="shared" si="229"/>
        <v>2982626.37</v>
      </c>
      <c r="J309" s="721">
        <f t="shared" si="222"/>
        <v>98.098837589374043</v>
      </c>
      <c r="K309" s="392">
        <f>+K318+K336+K345+K354+K327</f>
        <v>4741.49</v>
      </c>
      <c r="L309" s="395">
        <f t="shared" si="216"/>
        <v>99.989245044285099</v>
      </c>
      <c r="M309" s="722">
        <f t="shared" si="227"/>
        <v>-0.51000000000021828</v>
      </c>
      <c r="N309" s="3180"/>
    </row>
    <row r="310" spans="1:14" s="720" customFormat="1" ht="15" customHeight="1" x14ac:dyDescent="0.2">
      <c r="A310" s="3176"/>
      <c r="B310" s="401" t="s">
        <v>75</v>
      </c>
      <c r="C310" s="3184"/>
      <c r="D310" s="383">
        <f t="shared" ref="D310:K310" si="230">+D311</f>
        <v>14714497</v>
      </c>
      <c r="E310" s="384">
        <f t="shared" si="230"/>
        <v>5789091</v>
      </c>
      <c r="F310" s="384">
        <f t="shared" si="230"/>
        <v>8925406</v>
      </c>
      <c r="G310" s="384">
        <f t="shared" si="230"/>
        <v>0</v>
      </c>
      <c r="H310" s="385">
        <f t="shared" si="230"/>
        <v>0</v>
      </c>
      <c r="I310" s="723">
        <f t="shared" si="230"/>
        <v>14714497</v>
      </c>
      <c r="J310" s="717">
        <f t="shared" si="222"/>
        <v>100</v>
      </c>
      <c r="K310" s="724">
        <f t="shared" si="230"/>
        <v>0</v>
      </c>
      <c r="L310" s="725">
        <v>0</v>
      </c>
      <c r="M310" s="719">
        <f t="shared" si="227"/>
        <v>0</v>
      </c>
      <c r="N310" s="3180"/>
    </row>
    <row r="311" spans="1:14" s="472" customFormat="1" ht="15" customHeight="1" x14ac:dyDescent="0.2">
      <c r="A311" s="3176"/>
      <c r="B311" s="427" t="s">
        <v>13</v>
      </c>
      <c r="C311" s="3184"/>
      <c r="D311" s="391">
        <f t="shared" ref="D311:I311" si="231">+D320+D329+D338+D347+D356</f>
        <v>14714497</v>
      </c>
      <c r="E311" s="392">
        <f t="shared" si="231"/>
        <v>5789091</v>
      </c>
      <c r="F311" s="392">
        <f t="shared" si="231"/>
        <v>8925406</v>
      </c>
      <c r="G311" s="392">
        <f t="shared" si="231"/>
        <v>0</v>
      </c>
      <c r="H311" s="393">
        <f t="shared" si="231"/>
        <v>0</v>
      </c>
      <c r="I311" s="391">
        <f t="shared" si="231"/>
        <v>14714497</v>
      </c>
      <c r="J311" s="721">
        <f t="shared" si="222"/>
        <v>100</v>
      </c>
      <c r="K311" s="399">
        <f>+K320+K329+K338+K347+K356</f>
        <v>0</v>
      </c>
      <c r="L311" s="726">
        <v>0</v>
      </c>
      <c r="M311" s="722">
        <f t="shared" si="227"/>
        <v>0</v>
      </c>
      <c r="N311" s="3180"/>
    </row>
    <row r="312" spans="1:14" s="472" customFormat="1" ht="15" customHeight="1" x14ac:dyDescent="0.2">
      <c r="A312" s="3177"/>
      <c r="B312" s="373" t="s">
        <v>16</v>
      </c>
      <c r="C312" s="710"/>
      <c r="D312" s="375">
        <f t="shared" ref="D312:K313" si="232">+D313</f>
        <v>14714497</v>
      </c>
      <c r="E312" s="376">
        <f t="shared" si="232"/>
        <v>842747</v>
      </c>
      <c r="F312" s="376">
        <f t="shared" si="232"/>
        <v>1907886</v>
      </c>
      <c r="G312" s="376">
        <f t="shared" si="232"/>
        <v>8635187</v>
      </c>
      <c r="H312" s="377">
        <f t="shared" si="232"/>
        <v>3328677</v>
      </c>
      <c r="I312" s="727">
        <f t="shared" si="232"/>
        <v>14439930</v>
      </c>
      <c r="J312" s="711">
        <f t="shared" si="222"/>
        <v>98.13403747338424</v>
      </c>
      <c r="K312" s="376">
        <f t="shared" si="232"/>
        <v>11689297</v>
      </c>
      <c r="L312" s="379">
        <f t="shared" ref="L312:L377" si="233">K312/G312*100</f>
        <v>135.36819758506678</v>
      </c>
      <c r="M312" s="712">
        <f t="shared" si="227"/>
        <v>3054110</v>
      </c>
      <c r="N312" s="3181"/>
    </row>
    <row r="313" spans="1:14" s="472" customFormat="1" ht="15" customHeight="1" x14ac:dyDescent="0.2">
      <c r="A313" s="3177"/>
      <c r="B313" s="728" t="s">
        <v>12</v>
      </c>
      <c r="C313" s="3185"/>
      <c r="D313" s="714">
        <f t="shared" si="232"/>
        <v>14714497</v>
      </c>
      <c r="E313" s="715">
        <f t="shared" si="232"/>
        <v>842747</v>
      </c>
      <c r="F313" s="715">
        <f t="shared" si="232"/>
        <v>1907886</v>
      </c>
      <c r="G313" s="715">
        <f t="shared" si="232"/>
        <v>8635187</v>
      </c>
      <c r="H313" s="716">
        <f t="shared" si="232"/>
        <v>3328677</v>
      </c>
      <c r="I313" s="729">
        <f t="shared" si="232"/>
        <v>14439930</v>
      </c>
      <c r="J313" s="717">
        <f t="shared" si="222"/>
        <v>98.13403747338424</v>
      </c>
      <c r="K313" s="715">
        <f t="shared" si="232"/>
        <v>11689297</v>
      </c>
      <c r="L313" s="718">
        <f t="shared" si="233"/>
        <v>135.36819758506678</v>
      </c>
      <c r="M313" s="719">
        <f t="shared" si="227"/>
        <v>3054110</v>
      </c>
      <c r="N313" s="3181"/>
    </row>
    <row r="314" spans="1:14" s="472" customFormat="1" ht="15" customHeight="1" thickBot="1" x14ac:dyDescent="0.25">
      <c r="A314" s="3178"/>
      <c r="B314" s="730" t="s">
        <v>13</v>
      </c>
      <c r="C314" s="3186"/>
      <c r="D314" s="731">
        <f t="shared" ref="D314:H314" si="234">+D323+D332+D341+D350+D359</f>
        <v>14714497</v>
      </c>
      <c r="E314" s="732">
        <f t="shared" si="234"/>
        <v>842747</v>
      </c>
      <c r="F314" s="732">
        <f t="shared" si="234"/>
        <v>1907886</v>
      </c>
      <c r="G314" s="732">
        <f t="shared" si="234"/>
        <v>8635187</v>
      </c>
      <c r="H314" s="733">
        <f t="shared" si="234"/>
        <v>3328677</v>
      </c>
      <c r="I314" s="731">
        <f>+I323+I332+I341+I350+I359</f>
        <v>14439930</v>
      </c>
      <c r="J314" s="734">
        <f t="shared" si="222"/>
        <v>98.13403747338424</v>
      </c>
      <c r="K314" s="732">
        <f>+K323+K332+K341+K350+K359</f>
        <v>11689297</v>
      </c>
      <c r="L314" s="735">
        <f t="shared" si="233"/>
        <v>135.36819758506678</v>
      </c>
      <c r="M314" s="722">
        <f t="shared" si="227"/>
        <v>3054110</v>
      </c>
      <c r="N314" s="3182"/>
    </row>
    <row r="315" spans="1:14" ht="22.5" hidden="1" customHeight="1" x14ac:dyDescent="0.25">
      <c r="A315" s="3173" t="s">
        <v>71</v>
      </c>
      <c r="B315" s="736" t="s">
        <v>76</v>
      </c>
      <c r="C315" s="737"/>
      <c r="D315" s="738"/>
      <c r="E315" s="739"/>
      <c r="F315" s="739"/>
      <c r="G315" s="739"/>
      <c r="H315" s="740"/>
      <c r="I315" s="741"/>
      <c r="J315" s="742" t="e">
        <f t="shared" si="222"/>
        <v>#DIV/0!</v>
      </c>
      <c r="K315" s="739"/>
      <c r="L315" s="743" t="e">
        <f t="shared" si="233"/>
        <v>#DIV/0!</v>
      </c>
      <c r="M315" s="744">
        <f t="shared" ref="M315:M323" si="235">+K315-G315*0.5</f>
        <v>0</v>
      </c>
      <c r="N315" s="3187" t="s">
        <v>77</v>
      </c>
    </row>
    <row r="316" spans="1:14" ht="13.5" hidden="1" customHeight="1" x14ac:dyDescent="0.25">
      <c r="A316" s="3117"/>
      <c r="B316" s="334" t="s">
        <v>2</v>
      </c>
      <c r="C316" s="27"/>
      <c r="D316" s="745"/>
      <c r="E316" s="746"/>
      <c r="F316" s="746"/>
      <c r="G316" s="746"/>
      <c r="H316" s="747"/>
      <c r="I316" s="745"/>
      <c r="J316" s="469" t="e">
        <f t="shared" si="222"/>
        <v>#DIV/0!</v>
      </c>
      <c r="K316" s="746"/>
      <c r="L316" s="557" t="e">
        <f t="shared" si="233"/>
        <v>#DIV/0!</v>
      </c>
      <c r="M316" s="748">
        <f t="shared" si="235"/>
        <v>0</v>
      </c>
      <c r="N316" s="3121"/>
    </row>
    <row r="317" spans="1:14" ht="13.5" hidden="1" customHeight="1" x14ac:dyDescent="0.25">
      <c r="A317" s="3117"/>
      <c r="B317" s="454" t="s">
        <v>17</v>
      </c>
      <c r="C317" s="3086" t="s">
        <v>38</v>
      </c>
      <c r="D317" s="749"/>
      <c r="E317" s="750"/>
      <c r="F317" s="750"/>
      <c r="G317" s="750"/>
      <c r="H317" s="751"/>
      <c r="I317" s="749"/>
      <c r="J317" s="469" t="e">
        <f t="shared" si="222"/>
        <v>#DIV/0!</v>
      </c>
      <c r="K317" s="750"/>
      <c r="L317" s="557" t="e">
        <f t="shared" si="233"/>
        <v>#DIV/0!</v>
      </c>
      <c r="M317" s="752">
        <f t="shared" si="235"/>
        <v>0</v>
      </c>
      <c r="N317" s="3121"/>
    </row>
    <row r="318" spans="1:14" ht="13.5" hidden="1" customHeight="1" x14ac:dyDescent="0.25">
      <c r="A318" s="3117"/>
      <c r="B318" s="608" t="s">
        <v>4</v>
      </c>
      <c r="C318" s="3087"/>
      <c r="D318" s="550"/>
      <c r="E318" s="462"/>
      <c r="F318" s="462"/>
      <c r="G318" s="462"/>
      <c r="H318" s="591"/>
      <c r="I318" s="550"/>
      <c r="J318" s="469" t="e">
        <f t="shared" si="222"/>
        <v>#DIV/0!</v>
      </c>
      <c r="K318" s="462"/>
      <c r="L318" s="557" t="e">
        <f t="shared" si="233"/>
        <v>#DIV/0!</v>
      </c>
      <c r="M318" s="573">
        <f t="shared" si="235"/>
        <v>0</v>
      </c>
      <c r="N318" s="3121"/>
    </row>
    <row r="319" spans="1:14" ht="12.75" hidden="1" customHeight="1" x14ac:dyDescent="0.25">
      <c r="A319" s="3117"/>
      <c r="B319" s="473" t="s">
        <v>12</v>
      </c>
      <c r="C319" s="3087"/>
      <c r="D319" s="474"/>
      <c r="E319" s="475"/>
      <c r="F319" s="475"/>
      <c r="G319" s="475"/>
      <c r="H319" s="592"/>
      <c r="I319" s="474"/>
      <c r="J319" s="469" t="e">
        <f t="shared" si="222"/>
        <v>#DIV/0!</v>
      </c>
      <c r="K319" s="475"/>
      <c r="L319" s="557" t="e">
        <f t="shared" si="233"/>
        <v>#DIV/0!</v>
      </c>
      <c r="M319" s="479">
        <f t="shared" si="235"/>
        <v>0</v>
      </c>
      <c r="N319" s="3121"/>
    </row>
    <row r="320" spans="1:14" ht="10.5" hidden="1" customHeight="1" x14ac:dyDescent="0.25">
      <c r="A320" s="3117"/>
      <c r="B320" s="460" t="s">
        <v>13</v>
      </c>
      <c r="C320" s="3087"/>
      <c r="D320" s="550"/>
      <c r="E320" s="462"/>
      <c r="F320" s="462"/>
      <c r="G320" s="462"/>
      <c r="H320" s="591"/>
      <c r="I320" s="550"/>
      <c r="J320" s="469" t="e">
        <f t="shared" si="222"/>
        <v>#DIV/0!</v>
      </c>
      <c r="K320" s="462"/>
      <c r="L320" s="557" t="e">
        <f t="shared" si="233"/>
        <v>#DIV/0!</v>
      </c>
      <c r="M320" s="573">
        <f t="shared" si="235"/>
        <v>0</v>
      </c>
      <c r="N320" s="3121"/>
    </row>
    <row r="321" spans="1:14" s="511" customFormat="1" ht="12.75" hidden="1" customHeight="1" x14ac:dyDescent="0.25">
      <c r="A321" s="3118"/>
      <c r="B321" s="334" t="s">
        <v>16</v>
      </c>
      <c r="C321" s="27"/>
      <c r="D321" s="415"/>
      <c r="E321" s="416"/>
      <c r="F321" s="416"/>
      <c r="G321" s="416"/>
      <c r="H321" s="417"/>
      <c r="I321" s="415"/>
      <c r="J321" s="469" t="e">
        <f t="shared" si="222"/>
        <v>#DIV/0!</v>
      </c>
      <c r="K321" s="416"/>
      <c r="L321" s="557" t="e">
        <f t="shared" si="233"/>
        <v>#DIV/0!</v>
      </c>
      <c r="M321" s="453">
        <f t="shared" si="235"/>
        <v>0</v>
      </c>
      <c r="N321" s="3087"/>
    </row>
    <row r="322" spans="1:14" s="634" customFormat="1" ht="11.25" hidden="1" customHeight="1" x14ac:dyDescent="0.25">
      <c r="A322" s="3118"/>
      <c r="B322" s="473" t="s">
        <v>12</v>
      </c>
      <c r="C322" s="3086" t="s">
        <v>38</v>
      </c>
      <c r="D322" s="558"/>
      <c r="E322" s="559"/>
      <c r="F322" s="559"/>
      <c r="G322" s="559"/>
      <c r="H322" s="753"/>
      <c r="I322" s="558"/>
      <c r="J322" s="469" t="e">
        <f t="shared" si="222"/>
        <v>#DIV/0!</v>
      </c>
      <c r="K322" s="559"/>
      <c r="L322" s="557" t="e">
        <f t="shared" si="233"/>
        <v>#DIV/0!</v>
      </c>
      <c r="M322" s="604">
        <f t="shared" si="235"/>
        <v>0</v>
      </c>
      <c r="N322" s="3087"/>
    </row>
    <row r="323" spans="1:14" s="511" customFormat="1" ht="12" hidden="1" customHeight="1" thickBot="1" x14ac:dyDescent="0.25">
      <c r="A323" s="3164"/>
      <c r="B323" s="664" t="s">
        <v>13</v>
      </c>
      <c r="C323" s="3169"/>
      <c r="D323" s="754"/>
      <c r="E323" s="666"/>
      <c r="F323" s="666"/>
      <c r="G323" s="666"/>
      <c r="H323" s="755"/>
      <c r="I323" s="754"/>
      <c r="J323" s="678" t="e">
        <f t="shared" si="222"/>
        <v>#DIV/0!</v>
      </c>
      <c r="K323" s="666"/>
      <c r="L323" s="756" t="e">
        <f t="shared" si="233"/>
        <v>#DIV/0!</v>
      </c>
      <c r="M323" s="757">
        <f t="shared" si="235"/>
        <v>0</v>
      </c>
      <c r="N323" s="3169"/>
    </row>
    <row r="324" spans="1:14" ht="39" customHeight="1" x14ac:dyDescent="0.2">
      <c r="A324" s="3116" t="s">
        <v>67</v>
      </c>
      <c r="B324" s="541" t="s">
        <v>255</v>
      </c>
      <c r="C324" s="443" t="s">
        <v>168</v>
      </c>
      <c r="D324" s="610"/>
      <c r="E324" s="611"/>
      <c r="F324" s="611"/>
      <c r="G324" s="611"/>
      <c r="H324" s="612"/>
      <c r="I324" s="610"/>
      <c r="J324" s="611"/>
      <c r="K324" s="611"/>
      <c r="L324" s="613"/>
      <c r="M324" s="613"/>
      <c r="N324" s="3113" t="s">
        <v>77</v>
      </c>
    </row>
    <row r="325" spans="1:14" ht="11.25" customHeight="1" x14ac:dyDescent="0.2">
      <c r="A325" s="3117"/>
      <c r="B325" s="334" t="s">
        <v>2</v>
      </c>
      <c r="C325" s="27"/>
      <c r="D325" s="758">
        <f>+D326+D328</f>
        <v>6202668.8799999999</v>
      </c>
      <c r="E325" s="759">
        <f>+E326+E328</f>
        <v>424264</v>
      </c>
      <c r="F325" s="759">
        <f>+F326+F328</f>
        <v>5778404.8799999999</v>
      </c>
      <c r="G325" s="760">
        <f>+G326+G328</f>
        <v>0</v>
      </c>
      <c r="H325" s="761">
        <v>0</v>
      </c>
      <c r="I325" s="758">
        <f>+I326+I328</f>
        <v>6202668.8799999999</v>
      </c>
      <c r="J325" s="516">
        <f t="shared" si="222"/>
        <v>100</v>
      </c>
      <c r="K325" s="760">
        <f>+K326+K328</f>
        <v>0</v>
      </c>
      <c r="L325" s="674">
        <v>0</v>
      </c>
      <c r="M325" s="453">
        <f t="shared" ref="M325:M332" si="236">+K325-G325</f>
        <v>0</v>
      </c>
      <c r="N325" s="3170"/>
    </row>
    <row r="326" spans="1:14" ht="11.25" customHeight="1" x14ac:dyDescent="0.2">
      <c r="A326" s="3117"/>
      <c r="B326" s="454" t="s">
        <v>17</v>
      </c>
      <c r="C326" s="3086" t="s">
        <v>38</v>
      </c>
      <c r="D326" s="455">
        <f>+D327</f>
        <v>1102668.8799999999</v>
      </c>
      <c r="E326" s="456">
        <f>+E327</f>
        <v>63640</v>
      </c>
      <c r="F326" s="456">
        <f>+F327</f>
        <v>1039028.88</v>
      </c>
      <c r="G326" s="762">
        <f>+G327</f>
        <v>0</v>
      </c>
      <c r="H326" s="533">
        <v>0</v>
      </c>
      <c r="I326" s="455">
        <f>+I327</f>
        <v>1102668.8799999999</v>
      </c>
      <c r="J326" s="176">
        <f t="shared" si="222"/>
        <v>100</v>
      </c>
      <c r="K326" s="762">
        <f>+K327</f>
        <v>0</v>
      </c>
      <c r="L326" s="676">
        <v>0</v>
      </c>
      <c r="M326" s="459">
        <f t="shared" si="236"/>
        <v>0</v>
      </c>
      <c r="N326" s="3170"/>
    </row>
    <row r="327" spans="1:14" ht="11.25" customHeight="1" x14ac:dyDescent="0.2">
      <c r="A327" s="3117"/>
      <c r="B327" s="608" t="s">
        <v>4</v>
      </c>
      <c r="C327" s="3106"/>
      <c r="D327" s="461">
        <f>+E327+F327+G327+H327</f>
        <v>1102668.8799999999</v>
      </c>
      <c r="E327" s="463">
        <f>1098+62542</f>
        <v>63640</v>
      </c>
      <c r="F327" s="462">
        <v>1039028.88</v>
      </c>
      <c r="G327" s="482">
        <v>0</v>
      </c>
      <c r="H327" s="522">
        <v>0</v>
      </c>
      <c r="I327" s="550">
        <f>E327+F327+K327</f>
        <v>1102668.8799999999</v>
      </c>
      <c r="J327" s="469">
        <f t="shared" si="222"/>
        <v>100</v>
      </c>
      <c r="K327" s="482">
        <v>0</v>
      </c>
      <c r="L327" s="471">
        <v>0</v>
      </c>
      <c r="M327" s="467">
        <f t="shared" si="236"/>
        <v>0</v>
      </c>
      <c r="N327" s="3170"/>
    </row>
    <row r="328" spans="1:14" ht="11.25" customHeight="1" x14ac:dyDescent="0.2">
      <c r="A328" s="3117"/>
      <c r="B328" s="473" t="s">
        <v>12</v>
      </c>
      <c r="C328" s="3106"/>
      <c r="D328" s="474">
        <f>+D329</f>
        <v>5100000</v>
      </c>
      <c r="E328" s="475">
        <f>+E329</f>
        <v>360624</v>
      </c>
      <c r="F328" s="475">
        <f>+F329</f>
        <v>4739376</v>
      </c>
      <c r="G328" s="477">
        <f>+G329</f>
        <v>0</v>
      </c>
      <c r="H328" s="524">
        <v>0</v>
      </c>
      <c r="I328" s="474">
        <f>+I329</f>
        <v>5100000</v>
      </c>
      <c r="J328" s="31">
        <f t="shared" si="222"/>
        <v>100</v>
      </c>
      <c r="K328" s="477">
        <f>+K329</f>
        <v>0</v>
      </c>
      <c r="L328" s="478">
        <v>0</v>
      </c>
      <c r="M328" s="459">
        <f t="shared" si="236"/>
        <v>0</v>
      </c>
      <c r="N328" s="3170"/>
    </row>
    <row r="329" spans="1:14" ht="11.25" customHeight="1" x14ac:dyDescent="0.2">
      <c r="A329" s="3117"/>
      <c r="B329" s="460" t="s">
        <v>13</v>
      </c>
      <c r="C329" s="3106"/>
      <c r="D329" s="461">
        <f>+E329+F329+G329+H329</f>
        <v>5100000</v>
      </c>
      <c r="E329" s="463">
        <f>6222+354402</f>
        <v>360624</v>
      </c>
      <c r="F329" s="462">
        <v>4739376</v>
      </c>
      <c r="G329" s="482">
        <v>0</v>
      </c>
      <c r="H329" s="522">
        <v>0</v>
      </c>
      <c r="I329" s="550">
        <f>E329+F329+K329</f>
        <v>5100000</v>
      </c>
      <c r="J329" s="469">
        <f t="shared" si="222"/>
        <v>100</v>
      </c>
      <c r="K329" s="482">
        <v>0</v>
      </c>
      <c r="L329" s="471">
        <v>0</v>
      </c>
      <c r="M329" s="467">
        <f t="shared" si="236"/>
        <v>0</v>
      </c>
      <c r="N329" s="3170"/>
    </row>
    <row r="330" spans="1:14" s="511" customFormat="1" ht="11.25" customHeight="1" x14ac:dyDescent="0.2">
      <c r="A330" s="3118"/>
      <c r="B330" s="334" t="s">
        <v>16</v>
      </c>
      <c r="C330" s="27"/>
      <c r="D330" s="758">
        <f>+D331</f>
        <v>5100000</v>
      </c>
      <c r="E330" s="759">
        <f t="shared" ref="E330:F331" si="237">+E331</f>
        <v>0</v>
      </c>
      <c r="F330" s="759">
        <f t="shared" si="237"/>
        <v>529894</v>
      </c>
      <c r="G330" s="759">
        <f>G331</f>
        <v>4570106</v>
      </c>
      <c r="H330" s="763">
        <f>H331</f>
        <v>0</v>
      </c>
      <c r="I330" s="758">
        <f>+I331</f>
        <v>5086264</v>
      </c>
      <c r="J330" s="516">
        <f t="shared" si="222"/>
        <v>99.730666666666664</v>
      </c>
      <c r="K330" s="759">
        <f>+K331</f>
        <v>4556370</v>
      </c>
      <c r="L330" s="543">
        <f t="shared" si="233"/>
        <v>99.699438043669005</v>
      </c>
      <c r="M330" s="453">
        <f t="shared" si="236"/>
        <v>-13736</v>
      </c>
      <c r="N330" s="3170"/>
    </row>
    <row r="331" spans="1:14" s="634" customFormat="1" ht="12" customHeight="1" x14ac:dyDescent="0.2">
      <c r="A331" s="3118"/>
      <c r="B331" s="473" t="s">
        <v>12</v>
      </c>
      <c r="C331" s="3171" t="s">
        <v>38</v>
      </c>
      <c r="D331" s="455">
        <f>+D332</f>
        <v>5100000</v>
      </c>
      <c r="E331" s="456">
        <f t="shared" si="237"/>
        <v>0</v>
      </c>
      <c r="F331" s="456">
        <f t="shared" si="237"/>
        <v>529894</v>
      </c>
      <c r="G331" s="456">
        <f>G332</f>
        <v>4570106</v>
      </c>
      <c r="H331" s="533">
        <f>H332</f>
        <v>0</v>
      </c>
      <c r="I331" s="661">
        <f>+I332</f>
        <v>5086264</v>
      </c>
      <c r="J331" s="176">
        <f t="shared" si="222"/>
        <v>99.730666666666664</v>
      </c>
      <c r="K331" s="456">
        <f>+K332</f>
        <v>4556370</v>
      </c>
      <c r="L331" s="646">
        <f t="shared" si="233"/>
        <v>99.699438043669005</v>
      </c>
      <c r="M331" s="459">
        <f t="shared" si="236"/>
        <v>-13736</v>
      </c>
      <c r="N331" s="3087"/>
    </row>
    <row r="332" spans="1:14" s="511" customFormat="1" ht="13.5" customHeight="1" thickBot="1" x14ac:dyDescent="0.25">
      <c r="A332" s="3119"/>
      <c r="B332" s="562" t="s">
        <v>13</v>
      </c>
      <c r="C332" s="3172"/>
      <c r="D332" s="500">
        <f>+E332+F332+G332+H332</f>
        <v>5100000</v>
      </c>
      <c r="E332" s="502">
        <v>0</v>
      </c>
      <c r="F332" s="501">
        <v>529894</v>
      </c>
      <c r="G332" s="501">
        <v>4570106</v>
      </c>
      <c r="H332" s="538">
        <v>0</v>
      </c>
      <c r="I332" s="504">
        <f>E332+F332+K332</f>
        <v>5086264</v>
      </c>
      <c r="J332" s="539">
        <f>I332/D332*100</f>
        <v>99.730666666666664</v>
      </c>
      <c r="K332" s="501">
        <v>4556370</v>
      </c>
      <c r="L332" s="549">
        <f t="shared" si="233"/>
        <v>99.699438043669005</v>
      </c>
      <c r="M332" s="502">
        <f t="shared" si="236"/>
        <v>-13736</v>
      </c>
      <c r="N332" s="3090"/>
    </row>
    <row r="333" spans="1:14" ht="39.75" customHeight="1" x14ac:dyDescent="0.2">
      <c r="A333" s="3173" t="s">
        <v>68</v>
      </c>
      <c r="B333" s="579" t="s">
        <v>264</v>
      </c>
      <c r="C333" s="580" t="s">
        <v>168</v>
      </c>
      <c r="D333" s="691"/>
      <c r="E333" s="692"/>
      <c r="F333" s="692"/>
      <c r="G333" s="692"/>
      <c r="H333" s="693"/>
      <c r="I333" s="691"/>
      <c r="J333" s="692"/>
      <c r="K333" s="692"/>
      <c r="L333" s="694"/>
      <c r="M333" s="694"/>
      <c r="N333" s="3174" t="s">
        <v>77</v>
      </c>
    </row>
    <row r="334" spans="1:14" x14ac:dyDescent="0.2">
      <c r="A334" s="3117"/>
      <c r="B334" s="334" t="s">
        <v>2</v>
      </c>
      <c r="C334" s="27"/>
      <c r="D334" s="758">
        <f>+D335+D337</f>
        <v>5542000</v>
      </c>
      <c r="E334" s="759">
        <f>+E335+E337</f>
        <v>612517</v>
      </c>
      <c r="F334" s="759">
        <f>+F335+F337</f>
        <v>4924741</v>
      </c>
      <c r="G334" s="759">
        <f>+G335+G337</f>
        <v>4742</v>
      </c>
      <c r="H334" s="761">
        <v>0</v>
      </c>
      <c r="I334" s="758">
        <f>+I335+I337</f>
        <v>5541999.4900000002</v>
      </c>
      <c r="J334" s="516">
        <f t="shared" si="222"/>
        <v>99.999990797546019</v>
      </c>
      <c r="K334" s="759">
        <f>+K335+K337</f>
        <v>4741.49</v>
      </c>
      <c r="L334" s="543">
        <f t="shared" si="233"/>
        <v>99.989245044285099</v>
      </c>
      <c r="M334" s="453">
        <f t="shared" ref="M334:M341" si="238">+K334-G334</f>
        <v>-0.51000000000021828</v>
      </c>
      <c r="N334" s="3170"/>
    </row>
    <row r="335" spans="1:14" x14ac:dyDescent="0.2">
      <c r="A335" s="3117"/>
      <c r="B335" s="454" t="s">
        <v>17</v>
      </c>
      <c r="C335" s="3086" t="s">
        <v>38</v>
      </c>
      <c r="D335" s="455">
        <f>+D336</f>
        <v>835331</v>
      </c>
      <c r="E335" s="456">
        <f>+E336</f>
        <v>91878</v>
      </c>
      <c r="F335" s="456">
        <f>+F336</f>
        <v>738711</v>
      </c>
      <c r="G335" s="456">
        <f>+G336</f>
        <v>4742</v>
      </c>
      <c r="H335" s="533">
        <v>0</v>
      </c>
      <c r="I335" s="455">
        <f>+I336</f>
        <v>835330.49</v>
      </c>
      <c r="J335" s="176">
        <f t="shared" si="222"/>
        <v>99.999938946357787</v>
      </c>
      <c r="K335" s="456">
        <f>+K336</f>
        <v>4741.49</v>
      </c>
      <c r="L335" s="646">
        <f t="shared" si="233"/>
        <v>99.989245044285099</v>
      </c>
      <c r="M335" s="459">
        <f t="shared" si="238"/>
        <v>-0.51000000000021828</v>
      </c>
      <c r="N335" s="3170"/>
    </row>
    <row r="336" spans="1:14" x14ac:dyDescent="0.2">
      <c r="A336" s="3117"/>
      <c r="B336" s="608" t="s">
        <v>4</v>
      </c>
      <c r="C336" s="3106"/>
      <c r="D336" s="461">
        <f>+E336+F336+G336+H336</f>
        <v>835331</v>
      </c>
      <c r="E336" s="462">
        <v>91878</v>
      </c>
      <c r="F336" s="462">
        <v>738711</v>
      </c>
      <c r="G336" s="462">
        <v>4742</v>
      </c>
      <c r="H336" s="522">
        <v>0</v>
      </c>
      <c r="I336" s="550">
        <f>E336+F336+K336</f>
        <v>835330.49</v>
      </c>
      <c r="J336" s="469">
        <f t="shared" si="222"/>
        <v>99.999938946357787</v>
      </c>
      <c r="K336" s="462">
        <v>4741.49</v>
      </c>
      <c r="L336" s="557">
        <f t="shared" si="233"/>
        <v>99.989245044285099</v>
      </c>
      <c r="M336" s="467">
        <f t="shared" si="238"/>
        <v>-0.51000000000021828</v>
      </c>
      <c r="N336" s="3170"/>
    </row>
    <row r="337" spans="1:14" ht="12.75" customHeight="1" x14ac:dyDescent="0.2">
      <c r="A337" s="3117"/>
      <c r="B337" s="473" t="s">
        <v>12</v>
      </c>
      <c r="C337" s="3106"/>
      <c r="D337" s="474">
        <f>+D338</f>
        <v>4706669</v>
      </c>
      <c r="E337" s="475">
        <f>+E338</f>
        <v>520639</v>
      </c>
      <c r="F337" s="475">
        <f>+F338</f>
        <v>4186030</v>
      </c>
      <c r="G337" s="477">
        <f>+G338</f>
        <v>0</v>
      </c>
      <c r="H337" s="524">
        <v>0</v>
      </c>
      <c r="I337" s="474">
        <f>+I338</f>
        <v>4706669</v>
      </c>
      <c r="J337" s="31">
        <f t="shared" si="222"/>
        <v>100</v>
      </c>
      <c r="K337" s="477">
        <f>+K338</f>
        <v>0</v>
      </c>
      <c r="L337" s="478">
        <v>0</v>
      </c>
      <c r="M337" s="459">
        <f t="shared" si="238"/>
        <v>0</v>
      </c>
      <c r="N337" s="3170"/>
    </row>
    <row r="338" spans="1:14" x14ac:dyDescent="0.2">
      <c r="A338" s="3117"/>
      <c r="B338" s="460" t="s">
        <v>13</v>
      </c>
      <c r="C338" s="3106"/>
      <c r="D338" s="461">
        <f>+E338+F338+G338+H338</f>
        <v>4706669</v>
      </c>
      <c r="E338" s="462">
        <v>520639</v>
      </c>
      <c r="F338" s="462">
        <v>4186030</v>
      </c>
      <c r="G338" s="482">
        <v>0</v>
      </c>
      <c r="H338" s="522">
        <v>0</v>
      </c>
      <c r="I338" s="550">
        <f>E338+F338+K338</f>
        <v>4706669</v>
      </c>
      <c r="J338" s="469">
        <f t="shared" si="222"/>
        <v>100</v>
      </c>
      <c r="K338" s="482">
        <v>0</v>
      </c>
      <c r="L338" s="471">
        <v>0</v>
      </c>
      <c r="M338" s="467">
        <f t="shared" si="238"/>
        <v>0</v>
      </c>
      <c r="N338" s="3170"/>
    </row>
    <row r="339" spans="1:14" s="511" customFormat="1" ht="11.25" customHeight="1" x14ac:dyDescent="0.2">
      <c r="A339" s="3118"/>
      <c r="B339" s="334" t="s">
        <v>16</v>
      </c>
      <c r="C339" s="27"/>
      <c r="D339" s="758">
        <f>+D340+D342</f>
        <v>4706669</v>
      </c>
      <c r="E339" s="760">
        <v>0</v>
      </c>
      <c r="F339" s="759">
        <f>+F340</f>
        <v>1377992</v>
      </c>
      <c r="G339" s="759">
        <f>+G340</f>
        <v>0</v>
      </c>
      <c r="H339" s="759">
        <f>H340</f>
        <v>3328677</v>
      </c>
      <c r="I339" s="758">
        <f>+I340</f>
        <v>4445838</v>
      </c>
      <c r="J339" s="516">
        <f t="shared" si="222"/>
        <v>94.458267619838992</v>
      </c>
      <c r="K339" s="759">
        <f>+K340</f>
        <v>3067846</v>
      </c>
      <c r="L339" s="674">
        <v>0</v>
      </c>
      <c r="M339" s="453">
        <f t="shared" si="238"/>
        <v>3067846</v>
      </c>
      <c r="N339" s="3170"/>
    </row>
    <row r="340" spans="1:14" s="634" customFormat="1" ht="12.75" customHeight="1" x14ac:dyDescent="0.2">
      <c r="A340" s="3118"/>
      <c r="B340" s="473" t="s">
        <v>12</v>
      </c>
      <c r="C340" s="3086" t="s">
        <v>38</v>
      </c>
      <c r="D340" s="455">
        <f>+D341</f>
        <v>4706669</v>
      </c>
      <c r="E340" s="762">
        <v>0</v>
      </c>
      <c r="F340" s="456">
        <f>+F341</f>
        <v>1377992</v>
      </c>
      <c r="G340" s="456">
        <f>+G341</f>
        <v>0</v>
      </c>
      <c r="H340" s="456">
        <f>H341</f>
        <v>3328677</v>
      </c>
      <c r="I340" s="455">
        <f>+I341</f>
        <v>4445838</v>
      </c>
      <c r="J340" s="176">
        <f t="shared" ref="J340:J391" si="239">I340/D340*100</f>
        <v>94.458267619838992</v>
      </c>
      <c r="K340" s="456">
        <f>+K341</f>
        <v>3067846</v>
      </c>
      <c r="L340" s="676">
        <v>0</v>
      </c>
      <c r="M340" s="459">
        <f t="shared" si="238"/>
        <v>3067846</v>
      </c>
      <c r="N340" s="3087"/>
    </row>
    <row r="341" spans="1:14" s="511" customFormat="1" ht="14.25" customHeight="1" thickBot="1" x14ac:dyDescent="0.25">
      <c r="A341" s="3119"/>
      <c r="B341" s="562" t="s">
        <v>13</v>
      </c>
      <c r="C341" s="3090"/>
      <c r="D341" s="500">
        <f>+E341+F341+G341+H341</f>
        <v>4706669</v>
      </c>
      <c r="E341" s="526">
        <v>0</v>
      </c>
      <c r="F341" s="501">
        <v>1377992</v>
      </c>
      <c r="G341" s="501">
        <v>0</v>
      </c>
      <c r="H341" s="501">
        <v>3328677</v>
      </c>
      <c r="I341" s="565">
        <f>E341+F341+K341</f>
        <v>4445838</v>
      </c>
      <c r="J341" s="539">
        <f t="shared" si="239"/>
        <v>94.458267619838992</v>
      </c>
      <c r="K341" s="501">
        <v>3067846</v>
      </c>
      <c r="L341" s="540">
        <v>0</v>
      </c>
      <c r="M341" s="467">
        <f t="shared" si="238"/>
        <v>3067846</v>
      </c>
      <c r="N341" s="3090"/>
    </row>
    <row r="342" spans="1:14" ht="39" thickBot="1" x14ac:dyDescent="0.25">
      <c r="A342" s="3116" t="s">
        <v>69</v>
      </c>
      <c r="B342" s="541" t="s">
        <v>256</v>
      </c>
      <c r="C342" s="443" t="s">
        <v>168</v>
      </c>
      <c r="D342" s="610"/>
      <c r="E342" s="611"/>
      <c r="F342" s="611"/>
      <c r="G342" s="611"/>
      <c r="H342" s="612"/>
      <c r="I342" s="610"/>
      <c r="J342" s="611"/>
      <c r="K342" s="611"/>
      <c r="L342" s="613"/>
      <c r="M342" s="613"/>
      <c r="N342" s="3104" t="s">
        <v>77</v>
      </c>
    </row>
    <row r="343" spans="1:14" ht="13.5" thickBot="1" x14ac:dyDescent="0.25">
      <c r="A343" s="3117"/>
      <c r="B343" s="334" t="s">
        <v>2</v>
      </c>
      <c r="C343" s="27"/>
      <c r="D343" s="758">
        <f t="shared" ref="D343:I343" si="240">+D344+D346</f>
        <v>6010258</v>
      </c>
      <c r="E343" s="759">
        <f t="shared" si="240"/>
        <v>5949094</v>
      </c>
      <c r="F343" s="759">
        <f t="shared" si="240"/>
        <v>3361</v>
      </c>
      <c r="G343" s="759">
        <f t="shared" si="240"/>
        <v>0</v>
      </c>
      <c r="H343" s="759">
        <f>+H344+H346</f>
        <v>57803</v>
      </c>
      <c r="I343" s="758">
        <f t="shared" si="240"/>
        <v>5952455</v>
      </c>
      <c r="J343" s="516">
        <f t="shared" si="239"/>
        <v>99.038260919913924</v>
      </c>
      <c r="K343" s="759">
        <f>+K344+K346</f>
        <v>0</v>
      </c>
      <c r="L343" s="674">
        <v>0</v>
      </c>
      <c r="M343" s="453">
        <f t="shared" ref="M343:M350" si="241">+K343-G343</f>
        <v>0</v>
      </c>
      <c r="N343" s="3104"/>
    </row>
    <row r="344" spans="1:14" ht="14.25" customHeight="1" thickBot="1" x14ac:dyDescent="0.25">
      <c r="A344" s="3117"/>
      <c r="B344" s="454" t="s">
        <v>17</v>
      </c>
      <c r="C344" s="3086" t="s">
        <v>38</v>
      </c>
      <c r="D344" s="455">
        <f t="shared" ref="D344:I344" si="242">+D345</f>
        <v>1102430</v>
      </c>
      <c r="E344" s="456">
        <f t="shared" si="242"/>
        <v>1041266</v>
      </c>
      <c r="F344" s="456">
        <f t="shared" si="242"/>
        <v>3361</v>
      </c>
      <c r="G344" s="456">
        <f t="shared" si="242"/>
        <v>0</v>
      </c>
      <c r="H344" s="456">
        <f t="shared" si="242"/>
        <v>57803</v>
      </c>
      <c r="I344" s="455">
        <f t="shared" si="242"/>
        <v>1044627</v>
      </c>
      <c r="J344" s="176">
        <f t="shared" si="239"/>
        <v>94.756764601834135</v>
      </c>
      <c r="K344" s="456">
        <f>+K345</f>
        <v>0</v>
      </c>
      <c r="L344" s="676">
        <v>0</v>
      </c>
      <c r="M344" s="459">
        <f t="shared" si="241"/>
        <v>0</v>
      </c>
      <c r="N344" s="3104"/>
    </row>
    <row r="345" spans="1:14" ht="14.25" customHeight="1" thickBot="1" x14ac:dyDescent="0.25">
      <c r="A345" s="3117"/>
      <c r="B345" s="608" t="s">
        <v>4</v>
      </c>
      <c r="C345" s="3106"/>
      <c r="D345" s="461">
        <f>+E345+F345+G345+H345</f>
        <v>1102430</v>
      </c>
      <c r="E345" s="462">
        <f>146389+894877</f>
        <v>1041266</v>
      </c>
      <c r="F345" s="462">
        <v>3361</v>
      </c>
      <c r="G345" s="462">
        <v>0</v>
      </c>
      <c r="H345" s="462">
        <v>57803</v>
      </c>
      <c r="I345" s="550">
        <f>E345+F345+K345</f>
        <v>1044627</v>
      </c>
      <c r="J345" s="469">
        <f t="shared" si="239"/>
        <v>94.756764601834135</v>
      </c>
      <c r="K345" s="462">
        <v>0</v>
      </c>
      <c r="L345" s="471">
        <v>0</v>
      </c>
      <c r="M345" s="467">
        <f t="shared" si="241"/>
        <v>0</v>
      </c>
      <c r="N345" s="3104"/>
    </row>
    <row r="346" spans="1:14" ht="14.25" customHeight="1" thickBot="1" x14ac:dyDescent="0.25">
      <c r="A346" s="3117"/>
      <c r="B346" s="473" t="s">
        <v>12</v>
      </c>
      <c r="C346" s="3106"/>
      <c r="D346" s="474">
        <f>+D347</f>
        <v>4907828</v>
      </c>
      <c r="E346" s="475">
        <f>+E347</f>
        <v>4907828</v>
      </c>
      <c r="F346" s="477">
        <f>+F347</f>
        <v>0</v>
      </c>
      <c r="G346" s="477">
        <f>+G347</f>
        <v>0</v>
      </c>
      <c r="H346" s="524">
        <v>0</v>
      </c>
      <c r="I346" s="474">
        <f>+I347</f>
        <v>4907828</v>
      </c>
      <c r="J346" s="31">
        <f t="shared" si="239"/>
        <v>100</v>
      </c>
      <c r="K346" s="477">
        <f>+K347</f>
        <v>0</v>
      </c>
      <c r="L346" s="478">
        <v>0</v>
      </c>
      <c r="M346" s="459">
        <f t="shared" si="241"/>
        <v>0</v>
      </c>
      <c r="N346" s="3104"/>
    </row>
    <row r="347" spans="1:14" ht="14.25" customHeight="1" thickBot="1" x14ac:dyDescent="0.25">
      <c r="A347" s="3117"/>
      <c r="B347" s="608" t="s">
        <v>79</v>
      </c>
      <c r="C347" s="3106"/>
      <c r="D347" s="461">
        <f>+E347+F347+G347+H347</f>
        <v>4907828</v>
      </c>
      <c r="E347" s="462">
        <f>829536+4078292</f>
        <v>4907828</v>
      </c>
      <c r="F347" s="482">
        <v>0</v>
      </c>
      <c r="G347" s="482">
        <v>0</v>
      </c>
      <c r="H347" s="522">
        <v>0</v>
      </c>
      <c r="I347" s="550">
        <f>E347+F347+K347</f>
        <v>4907828</v>
      </c>
      <c r="J347" s="469">
        <f t="shared" si="239"/>
        <v>100</v>
      </c>
      <c r="K347" s="482">
        <v>0</v>
      </c>
      <c r="L347" s="471">
        <v>0</v>
      </c>
      <c r="M347" s="467">
        <f t="shared" si="241"/>
        <v>0</v>
      </c>
      <c r="N347" s="3104"/>
    </row>
    <row r="348" spans="1:14" s="511" customFormat="1" ht="14.25" customHeight="1" thickBot="1" x14ac:dyDescent="0.25">
      <c r="A348" s="3118"/>
      <c r="B348" s="334" t="s">
        <v>16</v>
      </c>
      <c r="C348" s="27"/>
      <c r="D348" s="415">
        <f>+D349</f>
        <v>4907828</v>
      </c>
      <c r="E348" s="416">
        <f t="shared" ref="E348:F349" si="243">+E349</f>
        <v>842747</v>
      </c>
      <c r="F348" s="593">
        <f t="shared" si="243"/>
        <v>0</v>
      </c>
      <c r="G348" s="416">
        <f>G349</f>
        <v>4065081</v>
      </c>
      <c r="H348" s="484">
        <f>H349</f>
        <v>0</v>
      </c>
      <c r="I348" s="415">
        <f>+I349</f>
        <v>4907828</v>
      </c>
      <c r="J348" s="516">
        <f t="shared" si="239"/>
        <v>100</v>
      </c>
      <c r="K348" s="416">
        <f>+K349</f>
        <v>4065081</v>
      </c>
      <c r="L348" s="543">
        <f t="shared" si="233"/>
        <v>100</v>
      </c>
      <c r="M348" s="453">
        <f t="shared" si="241"/>
        <v>0</v>
      </c>
      <c r="N348" s="3104"/>
    </row>
    <row r="349" spans="1:14" s="634" customFormat="1" ht="14.25" customHeight="1" thickBot="1" x14ac:dyDescent="0.25">
      <c r="A349" s="3118"/>
      <c r="B349" s="473" t="s">
        <v>12</v>
      </c>
      <c r="C349" s="3086" t="s">
        <v>38</v>
      </c>
      <c r="D349" s="558">
        <f>+D350</f>
        <v>4907828</v>
      </c>
      <c r="E349" s="559">
        <f t="shared" si="243"/>
        <v>842747</v>
      </c>
      <c r="F349" s="585">
        <f t="shared" si="243"/>
        <v>0</v>
      </c>
      <c r="G349" s="559">
        <f>G350</f>
        <v>4065081</v>
      </c>
      <c r="H349" s="576">
        <f>H350</f>
        <v>0</v>
      </c>
      <c r="I349" s="558">
        <f>+I350</f>
        <v>4907828</v>
      </c>
      <c r="J349" s="176">
        <f t="shared" si="239"/>
        <v>100</v>
      </c>
      <c r="K349" s="559">
        <f>+K350</f>
        <v>4065081</v>
      </c>
      <c r="L349" s="646">
        <f t="shared" si="233"/>
        <v>100</v>
      </c>
      <c r="M349" s="459">
        <f t="shared" si="241"/>
        <v>0</v>
      </c>
      <c r="N349" s="3102"/>
    </row>
    <row r="350" spans="1:14" s="511" customFormat="1" ht="14.25" customHeight="1" thickBot="1" x14ac:dyDescent="0.25">
      <c r="A350" s="3119"/>
      <c r="B350" s="562" t="s">
        <v>13</v>
      </c>
      <c r="C350" s="3090"/>
      <c r="D350" s="500">
        <f>+E350+F350+G350+H350</f>
        <v>4907828</v>
      </c>
      <c r="E350" s="563">
        <v>842747</v>
      </c>
      <c r="F350" s="643">
        <v>0</v>
      </c>
      <c r="G350" s="563">
        <v>4065081</v>
      </c>
      <c r="H350" s="564">
        <v>0</v>
      </c>
      <c r="I350" s="565">
        <f>E350+F350+K350</f>
        <v>4907828</v>
      </c>
      <c r="J350" s="539">
        <f t="shared" si="239"/>
        <v>100</v>
      </c>
      <c r="K350" s="563">
        <v>4065081</v>
      </c>
      <c r="L350" s="549">
        <f t="shared" si="233"/>
        <v>100</v>
      </c>
      <c r="M350" s="502">
        <f t="shared" si="241"/>
        <v>0</v>
      </c>
      <c r="N350" s="3102"/>
    </row>
    <row r="351" spans="1:14" ht="39" hidden="1" customHeight="1" thickBot="1" x14ac:dyDescent="0.25">
      <c r="A351" s="3162"/>
      <c r="B351" s="764" t="s">
        <v>80</v>
      </c>
      <c r="C351" s="765"/>
      <c r="D351" s="3165" t="s">
        <v>81</v>
      </c>
      <c r="E351" s="3166"/>
      <c r="F351" s="3166"/>
      <c r="G351" s="3166"/>
      <c r="H351" s="3167"/>
      <c r="I351" s="766"/>
      <c r="J351" s="469" t="e">
        <f t="shared" si="239"/>
        <v>#VALUE!</v>
      </c>
      <c r="K351" s="767"/>
      <c r="L351" s="557" t="e">
        <f t="shared" si="233"/>
        <v>#DIV/0!</v>
      </c>
      <c r="M351" s="2712">
        <f t="shared" ref="M351:M393" si="244">+K351-G351*0.5</f>
        <v>0</v>
      </c>
      <c r="N351" s="3168" t="s">
        <v>77</v>
      </c>
    </row>
    <row r="352" spans="1:14" ht="13.5" hidden="1" customHeight="1" thickBot="1" x14ac:dyDescent="0.25">
      <c r="A352" s="3163"/>
      <c r="B352" s="334" t="s">
        <v>2</v>
      </c>
      <c r="C352" s="27"/>
      <c r="D352" s="768">
        <f>+D353</f>
        <v>0</v>
      </c>
      <c r="E352" s="769">
        <f>+E353</f>
        <v>0</v>
      </c>
      <c r="F352" s="769">
        <v>0</v>
      </c>
      <c r="G352" s="769">
        <v>0</v>
      </c>
      <c r="H352" s="770">
        <v>0</v>
      </c>
      <c r="I352" s="768">
        <f>+I353+I355</f>
        <v>0</v>
      </c>
      <c r="J352" s="469" t="e">
        <f t="shared" si="239"/>
        <v>#DIV/0!</v>
      </c>
      <c r="K352" s="769">
        <v>0</v>
      </c>
      <c r="L352" s="557" t="e">
        <f t="shared" si="233"/>
        <v>#DIV/0!</v>
      </c>
      <c r="M352" s="2713">
        <f t="shared" si="244"/>
        <v>0</v>
      </c>
      <c r="N352" s="3168"/>
    </row>
    <row r="353" spans="1:14" ht="11.25" hidden="1" customHeight="1" x14ac:dyDescent="0.25">
      <c r="A353" s="3163"/>
      <c r="B353" s="454" t="s">
        <v>17</v>
      </c>
      <c r="C353" s="3086" t="s">
        <v>38</v>
      </c>
      <c r="D353" s="771">
        <f>+D354</f>
        <v>0</v>
      </c>
      <c r="E353" s="772">
        <f>+E354</f>
        <v>0</v>
      </c>
      <c r="F353" s="772">
        <v>0</v>
      </c>
      <c r="G353" s="772">
        <v>0</v>
      </c>
      <c r="H353" s="773">
        <v>0</v>
      </c>
      <c r="I353" s="771">
        <f>+I354</f>
        <v>0</v>
      </c>
      <c r="J353" s="469" t="e">
        <f t="shared" si="239"/>
        <v>#DIV/0!</v>
      </c>
      <c r="K353" s="772">
        <v>0</v>
      </c>
      <c r="L353" s="557" t="e">
        <f t="shared" si="233"/>
        <v>#DIV/0!</v>
      </c>
      <c r="M353" s="2714">
        <f t="shared" si="244"/>
        <v>0</v>
      </c>
      <c r="N353" s="3168"/>
    </row>
    <row r="354" spans="1:14" ht="13.5" hidden="1" customHeight="1" thickBot="1" x14ac:dyDescent="0.25">
      <c r="A354" s="3163"/>
      <c r="B354" s="608" t="s">
        <v>4</v>
      </c>
      <c r="C354" s="3123"/>
      <c r="D354" s="774">
        <v>0</v>
      </c>
      <c r="E354" s="482">
        <v>0</v>
      </c>
      <c r="F354" s="482">
        <v>0</v>
      </c>
      <c r="G354" s="482">
        <v>0</v>
      </c>
      <c r="H354" s="535">
        <v>0</v>
      </c>
      <c r="I354" s="684">
        <v>0</v>
      </c>
      <c r="J354" s="469" t="e">
        <f t="shared" si="239"/>
        <v>#DIV/0!</v>
      </c>
      <c r="K354" s="482">
        <v>0</v>
      </c>
      <c r="L354" s="557" t="e">
        <f t="shared" si="233"/>
        <v>#DIV/0!</v>
      </c>
      <c r="M354" s="2715">
        <f t="shared" si="244"/>
        <v>0</v>
      </c>
      <c r="N354" s="3168"/>
    </row>
    <row r="355" spans="1:14" ht="12.75" hidden="1" customHeight="1" x14ac:dyDescent="0.25">
      <c r="A355" s="3163"/>
      <c r="B355" s="775" t="s">
        <v>12</v>
      </c>
      <c r="C355" s="3123"/>
      <c r="D355" s="683">
        <f>+D356</f>
        <v>0</v>
      </c>
      <c r="E355" s="477">
        <f>+E356</f>
        <v>0</v>
      </c>
      <c r="F355" s="477">
        <v>0</v>
      </c>
      <c r="G355" s="477">
        <v>0</v>
      </c>
      <c r="H355" s="476">
        <v>0</v>
      </c>
      <c r="I355" s="683">
        <f>+I356</f>
        <v>0</v>
      </c>
      <c r="J355" s="469" t="e">
        <f t="shared" si="239"/>
        <v>#DIV/0!</v>
      </c>
      <c r="K355" s="477">
        <v>0</v>
      </c>
      <c r="L355" s="557" t="e">
        <f t="shared" si="233"/>
        <v>#DIV/0!</v>
      </c>
      <c r="M355" s="2716">
        <f t="shared" si="244"/>
        <v>0</v>
      </c>
      <c r="N355" s="3168"/>
    </row>
    <row r="356" spans="1:14" ht="13.5" hidden="1" customHeight="1" thickBot="1" x14ac:dyDescent="0.25">
      <c r="A356" s="3163"/>
      <c r="B356" s="460" t="s">
        <v>13</v>
      </c>
      <c r="C356" s="3123"/>
      <c r="D356" s="774">
        <v>0</v>
      </c>
      <c r="E356" s="482">
        <v>0</v>
      </c>
      <c r="F356" s="482">
        <v>0</v>
      </c>
      <c r="G356" s="482">
        <v>0</v>
      </c>
      <c r="H356" s="535">
        <v>0</v>
      </c>
      <c r="I356" s="684">
        <v>0</v>
      </c>
      <c r="J356" s="469" t="e">
        <f t="shared" si="239"/>
        <v>#DIV/0!</v>
      </c>
      <c r="K356" s="482">
        <v>0</v>
      </c>
      <c r="L356" s="557" t="e">
        <f t="shared" si="233"/>
        <v>#DIV/0!</v>
      </c>
      <c r="M356" s="2715">
        <f t="shared" si="244"/>
        <v>0</v>
      </c>
      <c r="N356" s="3168"/>
    </row>
    <row r="357" spans="1:14" s="511" customFormat="1" ht="12.75" hidden="1" customHeight="1" x14ac:dyDescent="0.25">
      <c r="A357" s="3118"/>
      <c r="B357" s="334" t="s">
        <v>16</v>
      </c>
      <c r="C357" s="27"/>
      <c r="D357" s="673">
        <f>+D358</f>
        <v>0</v>
      </c>
      <c r="E357" s="593">
        <f>+E358</f>
        <v>0</v>
      </c>
      <c r="F357" s="593">
        <v>0</v>
      </c>
      <c r="G357" s="593">
        <v>0</v>
      </c>
      <c r="H357" s="484">
        <v>0</v>
      </c>
      <c r="I357" s="673">
        <f>+I358</f>
        <v>0</v>
      </c>
      <c r="J357" s="469" t="e">
        <f t="shared" si="239"/>
        <v>#DIV/0!</v>
      </c>
      <c r="K357" s="593">
        <v>0</v>
      </c>
      <c r="L357" s="557" t="e">
        <f t="shared" si="233"/>
        <v>#DIV/0!</v>
      </c>
      <c r="M357" s="2717">
        <f t="shared" si="244"/>
        <v>0</v>
      </c>
      <c r="N357" s="3102"/>
    </row>
    <row r="358" spans="1:14" s="634" customFormat="1" ht="12.75" hidden="1" customHeight="1" x14ac:dyDescent="0.25">
      <c r="A358" s="3118"/>
      <c r="B358" s="775" t="s">
        <v>12</v>
      </c>
      <c r="C358" s="3086" t="s">
        <v>38</v>
      </c>
      <c r="D358" s="675">
        <f>+D359</f>
        <v>0</v>
      </c>
      <c r="E358" s="585">
        <f>+E359</f>
        <v>0</v>
      </c>
      <c r="F358" s="585">
        <v>0</v>
      </c>
      <c r="G358" s="585">
        <v>0</v>
      </c>
      <c r="H358" s="576">
        <v>0</v>
      </c>
      <c r="I358" s="675">
        <f>+I359</f>
        <v>0</v>
      </c>
      <c r="J358" s="469" t="e">
        <f t="shared" si="239"/>
        <v>#DIV/0!</v>
      </c>
      <c r="K358" s="585">
        <v>0</v>
      </c>
      <c r="L358" s="557" t="e">
        <f t="shared" si="233"/>
        <v>#DIV/0!</v>
      </c>
      <c r="M358" s="2718">
        <f t="shared" si="244"/>
        <v>0</v>
      </c>
      <c r="N358" s="3102"/>
    </row>
    <row r="359" spans="1:14" s="511" customFormat="1" ht="12.75" hidden="1" customHeight="1" thickBot="1" x14ac:dyDescent="0.25">
      <c r="A359" s="3164"/>
      <c r="B359" s="664" t="s">
        <v>13</v>
      </c>
      <c r="C359" s="3169"/>
      <c r="D359" s="776">
        <v>0</v>
      </c>
      <c r="E359" s="777">
        <v>0</v>
      </c>
      <c r="F359" s="777">
        <v>0</v>
      </c>
      <c r="G359" s="777">
        <v>0</v>
      </c>
      <c r="H359" s="667">
        <v>0</v>
      </c>
      <c r="I359" s="776">
        <v>0</v>
      </c>
      <c r="J359" s="678" t="e">
        <f t="shared" si="239"/>
        <v>#DIV/0!</v>
      </c>
      <c r="K359" s="777">
        <v>0</v>
      </c>
      <c r="L359" s="756" t="e">
        <f t="shared" si="233"/>
        <v>#DIV/0!</v>
      </c>
      <c r="M359" s="2719">
        <f t="shared" si="244"/>
        <v>0</v>
      </c>
      <c r="N359" s="3102"/>
    </row>
    <row r="360" spans="1:14" ht="30" customHeight="1" thickBot="1" x14ac:dyDescent="0.25">
      <c r="A360" s="778" t="s">
        <v>82</v>
      </c>
      <c r="B360" s="779" t="s">
        <v>83</v>
      </c>
      <c r="C360" s="709"/>
      <c r="D360" s="366"/>
      <c r="E360" s="367"/>
      <c r="F360" s="367"/>
      <c r="G360" s="367"/>
      <c r="H360" s="368"/>
      <c r="I360" s="366"/>
      <c r="J360" s="367"/>
      <c r="K360" s="367"/>
      <c r="L360" s="372"/>
      <c r="M360" s="367"/>
      <c r="N360" s="3129" t="s">
        <v>84</v>
      </c>
    </row>
    <row r="361" spans="1:14" ht="13.5" customHeight="1" thickBot="1" x14ac:dyDescent="0.25">
      <c r="A361" s="780"/>
      <c r="B361" s="781" t="s">
        <v>2</v>
      </c>
      <c r="C361" s="710"/>
      <c r="D361" s="375">
        <f>+D362+D366</f>
        <v>208800000</v>
      </c>
      <c r="E361" s="376">
        <f>+E362+E366</f>
        <v>0</v>
      </c>
      <c r="F361" s="376">
        <f>+F362+F366</f>
        <v>0</v>
      </c>
      <c r="G361" s="376">
        <f>+G362+G366</f>
        <v>52200000</v>
      </c>
      <c r="H361" s="377">
        <f>+H362+H366</f>
        <v>156600000</v>
      </c>
      <c r="I361" s="375">
        <f t="shared" ref="I361" si="245">+I362+I366</f>
        <v>52200000</v>
      </c>
      <c r="J361" s="711">
        <f t="shared" si="239"/>
        <v>25</v>
      </c>
      <c r="K361" s="376">
        <f>+K362+K366</f>
        <v>52200000</v>
      </c>
      <c r="L361" s="379">
        <f t="shared" si="233"/>
        <v>100</v>
      </c>
      <c r="M361" s="712">
        <f t="shared" ref="M361:M375" si="246">+K361-G361</f>
        <v>0</v>
      </c>
      <c r="N361" s="3129"/>
    </row>
    <row r="362" spans="1:14" s="314" customFormat="1" ht="13.5" customHeight="1" thickBot="1" x14ac:dyDescent="0.25">
      <c r="A362" s="780"/>
      <c r="B362" s="782" t="s">
        <v>3</v>
      </c>
      <c r="C362" s="3130"/>
      <c r="D362" s="714">
        <f>+D363+D364+D365</f>
        <v>62640000</v>
      </c>
      <c r="E362" s="715">
        <f>+E363+E364+E365</f>
        <v>0</v>
      </c>
      <c r="F362" s="715">
        <f>+F363+F364+F365</f>
        <v>0</v>
      </c>
      <c r="G362" s="715">
        <f>+G363+G364+G365</f>
        <v>15660000</v>
      </c>
      <c r="H362" s="716">
        <f>+H363+H364+H365</f>
        <v>46980000</v>
      </c>
      <c r="I362" s="714">
        <f t="shared" ref="I362:K362" si="247">+I363+I364+I365</f>
        <v>15660000</v>
      </c>
      <c r="J362" s="783">
        <f t="shared" si="239"/>
        <v>25</v>
      </c>
      <c r="K362" s="715">
        <f t="shared" si="247"/>
        <v>15660000</v>
      </c>
      <c r="L362" s="784">
        <f t="shared" si="233"/>
        <v>100</v>
      </c>
      <c r="M362" s="719">
        <f t="shared" si="246"/>
        <v>0</v>
      </c>
      <c r="N362" s="3129"/>
    </row>
    <row r="363" spans="1:14" ht="12.75" customHeight="1" thickBot="1" x14ac:dyDescent="0.25">
      <c r="A363" s="780"/>
      <c r="B363" s="785" t="s">
        <v>4</v>
      </c>
      <c r="C363" s="3130"/>
      <c r="D363" s="391">
        <f t="shared" ref="D363:K365" si="248">+D379</f>
        <v>8563964</v>
      </c>
      <c r="E363" s="392">
        <f t="shared" si="248"/>
        <v>0</v>
      </c>
      <c r="F363" s="392">
        <f t="shared" si="248"/>
        <v>0</v>
      </c>
      <c r="G363" s="392">
        <f t="shared" si="248"/>
        <v>0</v>
      </c>
      <c r="H363" s="393">
        <f t="shared" si="248"/>
        <v>8563964</v>
      </c>
      <c r="I363" s="391">
        <f t="shared" si="248"/>
        <v>0</v>
      </c>
      <c r="J363" s="399">
        <f t="shared" si="239"/>
        <v>0</v>
      </c>
      <c r="K363" s="399">
        <f t="shared" si="248"/>
        <v>0</v>
      </c>
      <c r="L363" s="726">
        <v>0</v>
      </c>
      <c r="M363" s="722">
        <f t="shared" si="246"/>
        <v>0</v>
      </c>
      <c r="N363" s="3129"/>
    </row>
    <row r="364" spans="1:14" ht="12.75" customHeight="1" thickBot="1" x14ac:dyDescent="0.25">
      <c r="A364" s="780"/>
      <c r="B364" s="786" t="s">
        <v>28</v>
      </c>
      <c r="C364" s="3130"/>
      <c r="D364" s="391">
        <f t="shared" si="248"/>
        <v>14587500</v>
      </c>
      <c r="E364" s="392">
        <f t="shared" si="248"/>
        <v>0</v>
      </c>
      <c r="F364" s="392">
        <f t="shared" si="248"/>
        <v>0</v>
      </c>
      <c r="G364" s="392">
        <f t="shared" si="248"/>
        <v>0</v>
      </c>
      <c r="H364" s="393">
        <f t="shared" si="248"/>
        <v>14587500</v>
      </c>
      <c r="I364" s="391">
        <f t="shared" si="248"/>
        <v>0</v>
      </c>
      <c r="J364" s="399">
        <f t="shared" si="239"/>
        <v>0</v>
      </c>
      <c r="K364" s="399">
        <f t="shared" si="248"/>
        <v>0</v>
      </c>
      <c r="L364" s="726">
        <v>0</v>
      </c>
      <c r="M364" s="722">
        <f t="shared" si="246"/>
        <v>0</v>
      </c>
      <c r="N364" s="3129"/>
    </row>
    <row r="365" spans="1:14" ht="12.75" customHeight="1" thickBot="1" x14ac:dyDescent="0.25">
      <c r="A365" s="780"/>
      <c r="B365" s="786" t="s">
        <v>85</v>
      </c>
      <c r="C365" s="3130"/>
      <c r="D365" s="391">
        <f t="shared" si="248"/>
        <v>39488536</v>
      </c>
      <c r="E365" s="392">
        <f t="shared" si="248"/>
        <v>0</v>
      </c>
      <c r="F365" s="392">
        <f t="shared" si="248"/>
        <v>0</v>
      </c>
      <c r="G365" s="392">
        <f t="shared" si="248"/>
        <v>15660000</v>
      </c>
      <c r="H365" s="393">
        <f t="shared" si="248"/>
        <v>23828536</v>
      </c>
      <c r="I365" s="391">
        <f t="shared" si="248"/>
        <v>15660000</v>
      </c>
      <c r="J365" s="721">
        <f t="shared" si="239"/>
        <v>39.657079209013979</v>
      </c>
      <c r="K365" s="392">
        <f t="shared" si="248"/>
        <v>15660000</v>
      </c>
      <c r="L365" s="395">
        <f t="shared" si="233"/>
        <v>100</v>
      </c>
      <c r="M365" s="722">
        <f t="shared" si="246"/>
        <v>0</v>
      </c>
      <c r="N365" s="3129"/>
    </row>
    <row r="366" spans="1:14" s="314" customFormat="1" ht="12.75" customHeight="1" thickBot="1" x14ac:dyDescent="0.25">
      <c r="A366" s="780"/>
      <c r="B366" s="787" t="s">
        <v>12</v>
      </c>
      <c r="C366" s="3130"/>
      <c r="D366" s="383">
        <f>+D368+D367</f>
        <v>146160000</v>
      </c>
      <c r="E366" s="384">
        <f t="shared" ref="E366:F366" si="249">+E368</f>
        <v>0</v>
      </c>
      <c r="F366" s="384">
        <f t="shared" si="249"/>
        <v>0</v>
      </c>
      <c r="G366" s="384">
        <f>+G368+G367</f>
        <v>36540000</v>
      </c>
      <c r="H366" s="385">
        <f>+H368+H367</f>
        <v>109620000</v>
      </c>
      <c r="I366" s="383">
        <f>+I368+I367</f>
        <v>36540000</v>
      </c>
      <c r="J366" s="392">
        <f t="shared" si="239"/>
        <v>25</v>
      </c>
      <c r="K366" s="384">
        <f>+K368+K367</f>
        <v>36540000</v>
      </c>
      <c r="L366" s="788">
        <f t="shared" si="233"/>
        <v>100</v>
      </c>
      <c r="M366" s="789">
        <f>+K366-G366</f>
        <v>0</v>
      </c>
      <c r="N366" s="3129"/>
    </row>
    <row r="367" spans="1:14" s="314" customFormat="1" ht="12.75" customHeight="1" thickBot="1" x14ac:dyDescent="0.25">
      <c r="A367" s="780"/>
      <c r="B367" s="790" t="s">
        <v>358</v>
      </c>
      <c r="C367" s="3130"/>
      <c r="D367" s="791">
        <f>+D383</f>
        <v>0</v>
      </c>
      <c r="E367" s="792"/>
      <c r="F367" s="792"/>
      <c r="G367" s="792">
        <f>+G383</f>
        <v>0</v>
      </c>
      <c r="H367" s="793">
        <f>+H383</f>
        <v>0</v>
      </c>
      <c r="I367" s="791">
        <f>+I383</f>
        <v>1023120</v>
      </c>
      <c r="J367" s="794">
        <v>0</v>
      </c>
      <c r="K367" s="792">
        <f>+K383</f>
        <v>1023120</v>
      </c>
      <c r="L367" s="795">
        <v>0</v>
      </c>
      <c r="M367" s="796">
        <f t="shared" si="246"/>
        <v>1023120</v>
      </c>
      <c r="N367" s="3129"/>
    </row>
    <row r="368" spans="1:14" s="314" customFormat="1" ht="12.75" customHeight="1" thickBot="1" x14ac:dyDescent="0.25">
      <c r="A368" s="780"/>
      <c r="B368" s="786" t="s">
        <v>14</v>
      </c>
      <c r="C368" s="3131"/>
      <c r="D368" s="408">
        <f>+D384</f>
        <v>146160000</v>
      </c>
      <c r="E368" s="409">
        <f>+E384</f>
        <v>0</v>
      </c>
      <c r="F368" s="409">
        <f>+F384</f>
        <v>0</v>
      </c>
      <c r="G368" s="409">
        <f>+G384</f>
        <v>36540000</v>
      </c>
      <c r="H368" s="410">
        <f>+H384</f>
        <v>109620000</v>
      </c>
      <c r="I368" s="408">
        <f t="shared" ref="I368:K368" si="250">+I384</f>
        <v>35516880</v>
      </c>
      <c r="J368" s="392">
        <f t="shared" si="239"/>
        <v>24.3</v>
      </c>
      <c r="K368" s="409">
        <f t="shared" si="250"/>
        <v>35516880</v>
      </c>
      <c r="L368" s="722">
        <f t="shared" si="233"/>
        <v>97.2</v>
      </c>
      <c r="M368" s="722">
        <f t="shared" si="246"/>
        <v>-1023120</v>
      </c>
      <c r="N368" s="3129"/>
    </row>
    <row r="369" spans="1:14" ht="12.75" customHeight="1" thickBot="1" x14ac:dyDescent="0.25">
      <c r="A369" s="780"/>
      <c r="B369" s="781" t="s">
        <v>16</v>
      </c>
      <c r="C369" s="710"/>
      <c r="D369" s="375">
        <f>+D370+D373</f>
        <v>200236036</v>
      </c>
      <c r="E369" s="376">
        <f>+E370+E373</f>
        <v>14488536</v>
      </c>
      <c r="F369" s="376">
        <f>+F370+F373</f>
        <v>6250000</v>
      </c>
      <c r="G369" s="376">
        <f>+G370+G373</f>
        <v>42790000</v>
      </c>
      <c r="H369" s="377">
        <f>+H370+H373</f>
        <v>136707500</v>
      </c>
      <c r="I369" s="375">
        <f t="shared" ref="I369" si="251">+I370+I373</f>
        <v>63528536</v>
      </c>
      <c r="J369" s="711">
        <f t="shared" si="239"/>
        <v>31.726824636100964</v>
      </c>
      <c r="K369" s="376">
        <f>+K370+K373</f>
        <v>42790000</v>
      </c>
      <c r="L369" s="379">
        <f t="shared" si="233"/>
        <v>100</v>
      </c>
      <c r="M369" s="712">
        <f t="shared" si="246"/>
        <v>0</v>
      </c>
      <c r="N369" s="3129"/>
    </row>
    <row r="370" spans="1:14" ht="12.75" customHeight="1" thickBot="1" x14ac:dyDescent="0.25">
      <c r="A370" s="780"/>
      <c r="B370" s="797" t="s">
        <v>17</v>
      </c>
      <c r="C370" s="3132"/>
      <c r="D370" s="798">
        <f>+D371+D372</f>
        <v>54076036</v>
      </c>
      <c r="E370" s="799">
        <f>+E371+E372</f>
        <v>14488536</v>
      </c>
      <c r="F370" s="799">
        <f>+F371+F372</f>
        <v>6250000</v>
      </c>
      <c r="G370" s="799">
        <f>+G371+G372</f>
        <v>6250000</v>
      </c>
      <c r="H370" s="800">
        <f>+H371+H372</f>
        <v>27087500</v>
      </c>
      <c r="I370" s="798">
        <f t="shared" ref="I370" si="252">+I371+I372</f>
        <v>26988536</v>
      </c>
      <c r="J370" s="801">
        <f t="shared" si="239"/>
        <v>49.908495511764208</v>
      </c>
      <c r="K370" s="799">
        <f>+K371+K372</f>
        <v>6250000</v>
      </c>
      <c r="L370" s="802">
        <f t="shared" si="233"/>
        <v>100</v>
      </c>
      <c r="M370" s="719">
        <f t="shared" si="246"/>
        <v>0</v>
      </c>
      <c r="N370" s="3129"/>
    </row>
    <row r="371" spans="1:14" ht="12.75" customHeight="1" thickBot="1" x14ac:dyDescent="0.25">
      <c r="A371" s="803"/>
      <c r="B371" s="804" t="s">
        <v>86</v>
      </c>
      <c r="C371" s="3132"/>
      <c r="D371" s="408">
        <f t="shared" ref="D371:K372" si="253">+D387</f>
        <v>14587500</v>
      </c>
      <c r="E371" s="409">
        <f t="shared" si="253"/>
        <v>0</v>
      </c>
      <c r="F371" s="409">
        <f t="shared" si="253"/>
        <v>0</v>
      </c>
      <c r="G371" s="409">
        <f t="shared" si="253"/>
        <v>0</v>
      </c>
      <c r="H371" s="410">
        <f t="shared" si="253"/>
        <v>14587500</v>
      </c>
      <c r="I371" s="408">
        <f t="shared" si="253"/>
        <v>0</v>
      </c>
      <c r="J371" s="721">
        <f t="shared" si="239"/>
        <v>0</v>
      </c>
      <c r="K371" s="409">
        <f t="shared" si="253"/>
        <v>0</v>
      </c>
      <c r="L371" s="726">
        <v>0</v>
      </c>
      <c r="M371" s="722">
        <f t="shared" si="246"/>
        <v>0</v>
      </c>
      <c r="N371" s="3129"/>
    </row>
    <row r="372" spans="1:14" ht="12.75" customHeight="1" thickBot="1" x14ac:dyDescent="0.25">
      <c r="A372" s="780"/>
      <c r="B372" s="804" t="s">
        <v>85</v>
      </c>
      <c r="C372" s="3132"/>
      <c r="D372" s="408">
        <f t="shared" si="253"/>
        <v>39488536</v>
      </c>
      <c r="E372" s="409">
        <f t="shared" si="253"/>
        <v>14488536</v>
      </c>
      <c r="F372" s="409">
        <f t="shared" si="253"/>
        <v>6250000</v>
      </c>
      <c r="G372" s="409">
        <f t="shared" si="253"/>
        <v>6250000</v>
      </c>
      <c r="H372" s="410">
        <f t="shared" si="253"/>
        <v>12500000</v>
      </c>
      <c r="I372" s="408">
        <f t="shared" si="253"/>
        <v>26988536</v>
      </c>
      <c r="J372" s="721">
        <f t="shared" si="239"/>
        <v>68.34524328782409</v>
      </c>
      <c r="K372" s="409">
        <f t="shared" si="253"/>
        <v>6250000</v>
      </c>
      <c r="L372" s="395">
        <f t="shared" si="233"/>
        <v>100</v>
      </c>
      <c r="M372" s="722">
        <f t="shared" si="246"/>
        <v>0</v>
      </c>
      <c r="N372" s="3129"/>
    </row>
    <row r="373" spans="1:14" s="809" customFormat="1" ht="12.75" customHeight="1" thickBot="1" x14ac:dyDescent="0.25">
      <c r="A373" s="780"/>
      <c r="B373" s="805" t="s">
        <v>12</v>
      </c>
      <c r="C373" s="3132"/>
      <c r="D373" s="806">
        <f>+D375+D374</f>
        <v>146160000</v>
      </c>
      <c r="E373" s="807">
        <f t="shared" ref="E373:H373" si="254">+E375</f>
        <v>0</v>
      </c>
      <c r="F373" s="807">
        <f t="shared" si="254"/>
        <v>0</v>
      </c>
      <c r="G373" s="807">
        <f>+G375</f>
        <v>36540000</v>
      </c>
      <c r="H373" s="808">
        <f t="shared" si="254"/>
        <v>109620000</v>
      </c>
      <c r="I373" s="806">
        <f>+I375+I374</f>
        <v>36540000</v>
      </c>
      <c r="J373" s="721">
        <f t="shared" si="239"/>
        <v>25</v>
      </c>
      <c r="K373" s="807">
        <f>+K375+K374</f>
        <v>36540000</v>
      </c>
      <c r="L373" s="788">
        <f t="shared" si="233"/>
        <v>100</v>
      </c>
      <c r="M373" s="719">
        <f>+K373-G373</f>
        <v>0</v>
      </c>
      <c r="N373" s="3129"/>
    </row>
    <row r="374" spans="1:14" s="809" customFormat="1" ht="12.75" customHeight="1" thickBot="1" x14ac:dyDescent="0.25">
      <c r="A374" s="780"/>
      <c r="B374" s="790" t="s">
        <v>358</v>
      </c>
      <c r="C374" s="3132"/>
      <c r="D374" s="810">
        <f>+D390</f>
        <v>0</v>
      </c>
      <c r="E374" s="810">
        <f t="shared" ref="E374:H374" si="255">+E390</f>
        <v>0</v>
      </c>
      <c r="F374" s="811">
        <f t="shared" si="255"/>
        <v>0</v>
      </c>
      <c r="G374" s="409">
        <f t="shared" si="255"/>
        <v>0</v>
      </c>
      <c r="H374" s="812">
        <f t="shared" si="255"/>
        <v>0</v>
      </c>
      <c r="I374" s="810">
        <f>+I390</f>
        <v>1023120</v>
      </c>
      <c r="J374" s="399">
        <v>0</v>
      </c>
      <c r="K374" s="813">
        <f>+K390</f>
        <v>1023120</v>
      </c>
      <c r="L374" s="726">
        <v>0</v>
      </c>
      <c r="M374" s="722">
        <f t="shared" si="246"/>
        <v>1023120</v>
      </c>
      <c r="N374" s="3129"/>
    </row>
    <row r="375" spans="1:14" ht="12.75" customHeight="1" thickBot="1" x14ac:dyDescent="0.25">
      <c r="A375" s="814"/>
      <c r="B375" s="815" t="s">
        <v>14</v>
      </c>
      <c r="C375" s="3133"/>
      <c r="D375" s="816">
        <f>+D391</f>
        <v>146160000</v>
      </c>
      <c r="E375" s="817">
        <f>+E391</f>
        <v>0</v>
      </c>
      <c r="F375" s="817">
        <f>+F391</f>
        <v>0</v>
      </c>
      <c r="G375" s="817">
        <f>+G391</f>
        <v>36540000</v>
      </c>
      <c r="H375" s="818">
        <f>+H391</f>
        <v>109620000</v>
      </c>
      <c r="I375" s="816">
        <f>+I391</f>
        <v>35516880</v>
      </c>
      <c r="J375" s="734">
        <f t="shared" si="239"/>
        <v>24.3</v>
      </c>
      <c r="K375" s="817">
        <f t="shared" ref="K375" si="256">+K391</f>
        <v>35516880</v>
      </c>
      <c r="L375" s="735">
        <f t="shared" si="233"/>
        <v>97.2</v>
      </c>
      <c r="M375" s="722">
        <f t="shared" si="246"/>
        <v>-1023120</v>
      </c>
      <c r="N375" s="3129"/>
    </row>
    <row r="376" spans="1:14" s="511" customFormat="1" ht="26.25" customHeight="1" x14ac:dyDescent="0.2">
      <c r="A376" s="3134" t="s">
        <v>70</v>
      </c>
      <c r="B376" s="819" t="s">
        <v>87</v>
      </c>
      <c r="C376" s="443" t="s">
        <v>168</v>
      </c>
      <c r="D376" s="820"/>
      <c r="E376" s="821"/>
      <c r="F376" s="821"/>
      <c r="G376" s="822"/>
      <c r="H376" s="823"/>
      <c r="I376" s="824"/>
      <c r="J376" s="821"/>
      <c r="K376" s="821"/>
      <c r="L376" s="825"/>
      <c r="M376" s="826"/>
      <c r="N376" s="3137" t="s">
        <v>88</v>
      </c>
    </row>
    <row r="377" spans="1:14" s="836" customFormat="1" ht="12.75" customHeight="1" x14ac:dyDescent="0.2">
      <c r="A377" s="3135"/>
      <c r="B377" s="827" t="s">
        <v>2</v>
      </c>
      <c r="C377" s="828"/>
      <c r="D377" s="829">
        <f t="shared" ref="D377:H377" si="257">+D378+D382</f>
        <v>208800000</v>
      </c>
      <c r="E377" s="830">
        <f t="shared" si="257"/>
        <v>0</v>
      </c>
      <c r="F377" s="830">
        <f t="shared" si="257"/>
        <v>0</v>
      </c>
      <c r="G377" s="830">
        <f t="shared" si="257"/>
        <v>52200000</v>
      </c>
      <c r="H377" s="831">
        <f t="shared" si="257"/>
        <v>156600000</v>
      </c>
      <c r="I377" s="832">
        <f>+I378+I382</f>
        <v>52200000</v>
      </c>
      <c r="J377" s="833">
        <f t="shared" si="239"/>
        <v>25</v>
      </c>
      <c r="K377" s="830">
        <f>+K378+K382</f>
        <v>52200000</v>
      </c>
      <c r="L377" s="834">
        <f t="shared" si="233"/>
        <v>100</v>
      </c>
      <c r="M377" s="835">
        <f t="shared" ref="M377:M391" si="258">+K377-G377</f>
        <v>0</v>
      </c>
      <c r="N377" s="3138"/>
    </row>
    <row r="378" spans="1:14" s="836" customFormat="1" ht="12.75" customHeight="1" x14ac:dyDescent="0.2">
      <c r="A378" s="3135"/>
      <c r="B378" s="837" t="s">
        <v>17</v>
      </c>
      <c r="C378" s="3140" t="s">
        <v>90</v>
      </c>
      <c r="D378" s="838">
        <f t="shared" ref="D378:K378" si="259">SUM(D379:D381)</f>
        <v>62640000</v>
      </c>
      <c r="E378" s="839">
        <f t="shared" si="259"/>
        <v>0</v>
      </c>
      <c r="F378" s="839">
        <f t="shared" si="259"/>
        <v>0</v>
      </c>
      <c r="G378" s="840">
        <f t="shared" si="259"/>
        <v>15660000</v>
      </c>
      <c r="H378" s="841">
        <f t="shared" si="259"/>
        <v>46980000</v>
      </c>
      <c r="I378" s="840">
        <f>SUM(I379:I381)</f>
        <v>15660000</v>
      </c>
      <c r="J378" s="842">
        <f t="shared" si="239"/>
        <v>25</v>
      </c>
      <c r="K378" s="840">
        <f t="shared" si="259"/>
        <v>15660000</v>
      </c>
      <c r="L378" s="843">
        <f t="shared" ref="L378:L433" si="260">K378/G378*100</f>
        <v>100</v>
      </c>
      <c r="M378" s="844">
        <f t="shared" si="258"/>
        <v>0</v>
      </c>
      <c r="N378" s="3138"/>
    </row>
    <row r="379" spans="1:14" s="511" customFormat="1" ht="12.75" customHeight="1" x14ac:dyDescent="0.2">
      <c r="A379" s="3135"/>
      <c r="B379" s="845" t="s">
        <v>4</v>
      </c>
      <c r="C379" s="3141"/>
      <c r="D379" s="461">
        <f>+E379+F379+G379+H379</f>
        <v>8563964</v>
      </c>
      <c r="E379" s="463"/>
      <c r="F379" s="846">
        <v>0</v>
      </c>
      <c r="G379" s="847">
        <v>0</v>
      </c>
      <c r="H379" s="848">
        <f>1227714+7336250</f>
        <v>8563964</v>
      </c>
      <c r="I379" s="481">
        <f t="shared" ref="I379:I380" si="261">+K379+F379+E379</f>
        <v>0</v>
      </c>
      <c r="J379" s="849">
        <f t="shared" si="239"/>
        <v>0</v>
      </c>
      <c r="K379" s="470">
        <v>0</v>
      </c>
      <c r="L379" s="850">
        <v>0</v>
      </c>
      <c r="M379" s="467">
        <f t="shared" si="258"/>
        <v>0</v>
      </c>
      <c r="N379" s="3138"/>
    </row>
    <row r="380" spans="1:14" s="511" customFormat="1" ht="12.75" customHeight="1" x14ac:dyDescent="0.2">
      <c r="A380" s="3135"/>
      <c r="B380" s="851" t="s">
        <v>28</v>
      </c>
      <c r="C380" s="3141"/>
      <c r="D380" s="461">
        <f>+E380+F380+G380+H380</f>
        <v>14587500</v>
      </c>
      <c r="E380" s="463"/>
      <c r="F380" s="846">
        <v>0</v>
      </c>
      <c r="G380" s="847">
        <v>0</v>
      </c>
      <c r="H380" s="848">
        <v>14587500</v>
      </c>
      <c r="I380" s="481">
        <f t="shared" si="261"/>
        <v>0</v>
      </c>
      <c r="J380" s="849">
        <f t="shared" si="239"/>
        <v>0</v>
      </c>
      <c r="K380" s="470">
        <v>0</v>
      </c>
      <c r="L380" s="850">
        <v>0</v>
      </c>
      <c r="M380" s="467">
        <f t="shared" si="258"/>
        <v>0</v>
      </c>
      <c r="N380" s="3138"/>
    </row>
    <row r="381" spans="1:14" s="511" customFormat="1" ht="12.75" customHeight="1" x14ac:dyDescent="0.2">
      <c r="A381" s="3135"/>
      <c r="B381" s="852" t="s">
        <v>89</v>
      </c>
      <c r="C381" s="3141"/>
      <c r="D381" s="461">
        <f>+E381+F381+G381+H381</f>
        <v>39488536</v>
      </c>
      <c r="E381" s="853"/>
      <c r="F381" s="853">
        <v>0</v>
      </c>
      <c r="G381" s="854">
        <v>15660000</v>
      </c>
      <c r="H381" s="855">
        <f>17578536+6250000</f>
        <v>23828536</v>
      </c>
      <c r="I381" s="856">
        <f>+K381+F381+E381</f>
        <v>15660000</v>
      </c>
      <c r="J381" s="857">
        <f t="shared" si="239"/>
        <v>39.657079209013979</v>
      </c>
      <c r="K381" s="858">
        <v>15660000</v>
      </c>
      <c r="L381" s="859">
        <f t="shared" si="260"/>
        <v>100</v>
      </c>
      <c r="M381" s="467">
        <f t="shared" si="258"/>
        <v>0</v>
      </c>
      <c r="N381" s="3138"/>
    </row>
    <row r="382" spans="1:14" s="836" customFormat="1" ht="12.75" customHeight="1" x14ac:dyDescent="0.2">
      <c r="A382" s="3135"/>
      <c r="B382" s="860" t="s">
        <v>12</v>
      </c>
      <c r="C382" s="3141"/>
      <c r="D382" s="838">
        <f t="shared" ref="D382:H382" si="262">+D384</f>
        <v>146160000</v>
      </c>
      <c r="E382" s="839">
        <f t="shared" si="262"/>
        <v>0</v>
      </c>
      <c r="F382" s="839">
        <f t="shared" si="262"/>
        <v>0</v>
      </c>
      <c r="G382" s="839">
        <f t="shared" si="262"/>
        <v>36540000</v>
      </c>
      <c r="H382" s="861">
        <f t="shared" si="262"/>
        <v>109620000</v>
      </c>
      <c r="I382" s="839">
        <f>+I384+I383</f>
        <v>36540000</v>
      </c>
      <c r="J382" s="857">
        <f t="shared" si="239"/>
        <v>25</v>
      </c>
      <c r="K382" s="862">
        <f>+K384+K383</f>
        <v>36540000</v>
      </c>
      <c r="L382" s="859">
        <f t="shared" si="260"/>
        <v>100</v>
      </c>
      <c r="M382" s="844">
        <f t="shared" si="258"/>
        <v>0</v>
      </c>
      <c r="N382" s="3138"/>
    </row>
    <row r="383" spans="1:14" s="836" customFormat="1" ht="15" customHeight="1" x14ac:dyDescent="0.2">
      <c r="A383" s="3135"/>
      <c r="B383" s="852" t="s">
        <v>360</v>
      </c>
      <c r="C383" s="3141"/>
      <c r="D383" s="461">
        <f>+E383+F383+G383+H383</f>
        <v>0</v>
      </c>
      <c r="E383" s="839"/>
      <c r="F383" s="839"/>
      <c r="G383" s="574">
        <v>0</v>
      </c>
      <c r="H383" s="863">
        <v>0</v>
      </c>
      <c r="I383" s="856">
        <f>+K383+F383+E383</f>
        <v>1023120</v>
      </c>
      <c r="J383" s="849">
        <v>0</v>
      </c>
      <c r="K383" s="864">
        <v>1023120</v>
      </c>
      <c r="L383" s="850">
        <v>0</v>
      </c>
      <c r="M383" s="467">
        <f t="shared" si="258"/>
        <v>1023120</v>
      </c>
      <c r="N383" s="3138"/>
    </row>
    <row r="384" spans="1:14" s="511" customFormat="1" ht="12.75" customHeight="1" x14ac:dyDescent="0.2">
      <c r="A384" s="3135"/>
      <c r="B384" s="845" t="s">
        <v>14</v>
      </c>
      <c r="C384" s="3142"/>
      <c r="D384" s="461">
        <f>+E384+F384+G384+H384</f>
        <v>146160000</v>
      </c>
      <c r="E384" s="865"/>
      <c r="F384" s="866">
        <v>0</v>
      </c>
      <c r="G384" s="866">
        <v>36540000</v>
      </c>
      <c r="H384" s="867">
        <f>60900000+48720000</f>
        <v>109620000</v>
      </c>
      <c r="I384" s="856">
        <f>+K384+F384+E384</f>
        <v>35516880</v>
      </c>
      <c r="J384" s="857">
        <f t="shared" si="239"/>
        <v>24.3</v>
      </c>
      <c r="K384" s="868">
        <f>36540000-1023120</f>
        <v>35516880</v>
      </c>
      <c r="L384" s="859">
        <f t="shared" si="260"/>
        <v>97.2</v>
      </c>
      <c r="M384" s="467">
        <f t="shared" si="258"/>
        <v>-1023120</v>
      </c>
      <c r="N384" s="3138"/>
    </row>
    <row r="385" spans="1:14" s="511" customFormat="1" ht="12.75" customHeight="1" x14ac:dyDescent="0.2">
      <c r="A385" s="3135"/>
      <c r="B385" s="827" t="s">
        <v>16</v>
      </c>
      <c r="C385" s="27"/>
      <c r="D385" s="829">
        <f>+D386+D389</f>
        <v>200236036</v>
      </c>
      <c r="E385" s="830">
        <f>+E386</f>
        <v>14488536</v>
      </c>
      <c r="F385" s="830">
        <f>+F386</f>
        <v>6250000</v>
      </c>
      <c r="G385" s="830">
        <f>+G386+G389</f>
        <v>42790000</v>
      </c>
      <c r="H385" s="869">
        <f>+H386+H389</f>
        <v>136707500</v>
      </c>
      <c r="I385" s="832">
        <f>+I386+I389</f>
        <v>63528536</v>
      </c>
      <c r="J385" s="833">
        <f t="shared" si="239"/>
        <v>31.726824636100964</v>
      </c>
      <c r="K385" s="870">
        <f>+K386+K389</f>
        <v>42790000</v>
      </c>
      <c r="L385" s="834">
        <f>K385/G385*100</f>
        <v>100</v>
      </c>
      <c r="M385" s="835">
        <f t="shared" si="258"/>
        <v>0</v>
      </c>
      <c r="N385" s="3138"/>
    </row>
    <row r="386" spans="1:14" s="836" customFormat="1" ht="12.75" customHeight="1" x14ac:dyDescent="0.2">
      <c r="A386" s="3135"/>
      <c r="B386" s="837" t="s">
        <v>17</v>
      </c>
      <c r="C386" s="3143" t="s">
        <v>90</v>
      </c>
      <c r="D386" s="838">
        <f t="shared" ref="D386:I386" si="263">+D387+D388</f>
        <v>54076036</v>
      </c>
      <c r="E386" s="839">
        <f t="shared" si="263"/>
        <v>14488536</v>
      </c>
      <c r="F386" s="839">
        <f t="shared" si="263"/>
        <v>6250000</v>
      </c>
      <c r="G386" s="839">
        <f>+G387+G388</f>
        <v>6250000</v>
      </c>
      <c r="H386" s="871">
        <f t="shared" si="263"/>
        <v>27087500</v>
      </c>
      <c r="I386" s="872">
        <f t="shared" si="263"/>
        <v>26988536</v>
      </c>
      <c r="J386" s="842">
        <f t="shared" si="239"/>
        <v>49.908495511764208</v>
      </c>
      <c r="K386" s="862">
        <f>+K387+K388</f>
        <v>6250000</v>
      </c>
      <c r="L386" s="843">
        <f t="shared" si="260"/>
        <v>100</v>
      </c>
      <c r="M386" s="844">
        <f t="shared" si="258"/>
        <v>0</v>
      </c>
      <c r="N386" s="3138"/>
    </row>
    <row r="387" spans="1:14" s="511" customFormat="1" ht="12.75" customHeight="1" x14ac:dyDescent="0.2">
      <c r="A387" s="3135"/>
      <c r="B387" s="851" t="s">
        <v>86</v>
      </c>
      <c r="C387" s="3144"/>
      <c r="D387" s="461">
        <f>+E387+F387+G387+H387</f>
        <v>14587500</v>
      </c>
      <c r="E387" s="865"/>
      <c r="F387" s="866">
        <v>0</v>
      </c>
      <c r="G387" s="470">
        <v>0</v>
      </c>
      <c r="H387" s="839">
        <v>14587500</v>
      </c>
      <c r="I387" s="861">
        <f>+K387+F387+E387</f>
        <v>0</v>
      </c>
      <c r="J387" s="857">
        <f t="shared" si="239"/>
        <v>0</v>
      </c>
      <c r="K387" s="868">
        <v>0</v>
      </c>
      <c r="L387" s="850">
        <v>0</v>
      </c>
      <c r="M387" s="467">
        <f t="shared" si="258"/>
        <v>0</v>
      </c>
      <c r="N387" s="3138"/>
    </row>
    <row r="388" spans="1:14" s="511" customFormat="1" ht="12.75" customHeight="1" x14ac:dyDescent="0.2">
      <c r="A388" s="3135"/>
      <c r="B388" s="852" t="s">
        <v>89</v>
      </c>
      <c r="C388" s="3144"/>
      <c r="D388" s="461">
        <f>+E388+F388+G388+H388</f>
        <v>39488536</v>
      </c>
      <c r="E388" s="866">
        <f>8238536+6250000</f>
        <v>14488536</v>
      </c>
      <c r="F388" s="866">
        <v>6250000</v>
      </c>
      <c r="G388" s="866">
        <v>6250000</v>
      </c>
      <c r="H388" s="873">
        <f>6250000+6250000</f>
        <v>12500000</v>
      </c>
      <c r="I388" s="856">
        <f>+K388+F388+E388</f>
        <v>26988536</v>
      </c>
      <c r="J388" s="842">
        <f t="shared" si="239"/>
        <v>68.34524328782409</v>
      </c>
      <c r="K388" s="868">
        <v>6250000</v>
      </c>
      <c r="L388" s="843">
        <f t="shared" si="260"/>
        <v>100</v>
      </c>
      <c r="M388" s="467">
        <f t="shared" si="258"/>
        <v>0</v>
      </c>
      <c r="N388" s="3138"/>
    </row>
    <row r="389" spans="1:14" s="836" customFormat="1" ht="12.75" customHeight="1" x14ac:dyDescent="0.2">
      <c r="A389" s="3135"/>
      <c r="B389" s="860" t="s">
        <v>12</v>
      </c>
      <c r="C389" s="3144"/>
      <c r="D389" s="838">
        <f>+D391+D390</f>
        <v>146160000</v>
      </c>
      <c r="E389" s="874"/>
      <c r="F389" s="875">
        <v>0</v>
      </c>
      <c r="G389" s="839">
        <f>+G391+G390</f>
        <v>36540000</v>
      </c>
      <c r="H389" s="861">
        <f>+H391+H390</f>
        <v>109620000</v>
      </c>
      <c r="I389" s="872">
        <f>+I391+I390</f>
        <v>36540000</v>
      </c>
      <c r="J389" s="842">
        <f t="shared" si="239"/>
        <v>25</v>
      </c>
      <c r="K389" s="862">
        <f>+K391+K390</f>
        <v>36540000</v>
      </c>
      <c r="L389" s="843">
        <f t="shared" si="260"/>
        <v>100</v>
      </c>
      <c r="M389" s="844">
        <f t="shared" si="258"/>
        <v>0</v>
      </c>
      <c r="N389" s="3138"/>
    </row>
    <row r="390" spans="1:14" s="836" customFormat="1" ht="13.5" customHeight="1" x14ac:dyDescent="0.2">
      <c r="A390" s="3135"/>
      <c r="B390" s="852" t="s">
        <v>360</v>
      </c>
      <c r="C390" s="3144"/>
      <c r="D390" s="461">
        <f>+E390+F390+G390+H390</f>
        <v>0</v>
      </c>
      <c r="E390" s="876"/>
      <c r="F390" s="877"/>
      <c r="G390" s="679">
        <v>0</v>
      </c>
      <c r="H390" s="878">
        <v>0</v>
      </c>
      <c r="I390" s="856">
        <f>+K390+F390+E390</f>
        <v>1023120</v>
      </c>
      <c r="J390" s="879">
        <v>0</v>
      </c>
      <c r="K390" s="868">
        <v>1023120</v>
      </c>
      <c r="L390" s="880">
        <v>0</v>
      </c>
      <c r="M390" s="467">
        <f t="shared" si="258"/>
        <v>1023120</v>
      </c>
      <c r="N390" s="3138"/>
    </row>
    <row r="391" spans="1:14" s="511" customFormat="1" ht="16.5" customHeight="1" thickBot="1" x14ac:dyDescent="0.25">
      <c r="A391" s="3136"/>
      <c r="B391" s="881" t="s">
        <v>14</v>
      </c>
      <c r="C391" s="3145"/>
      <c r="D391" s="500">
        <f>+E391+F391+G391+H391</f>
        <v>146160000</v>
      </c>
      <c r="E391" s="643"/>
      <c r="F391" s="882">
        <v>0</v>
      </c>
      <c r="G391" s="882">
        <v>36540000</v>
      </c>
      <c r="H391" s="883">
        <f>60900000+48720000</f>
        <v>109620000</v>
      </c>
      <c r="I391" s="884">
        <f>+K391+F391+E391</f>
        <v>35516880</v>
      </c>
      <c r="J391" s="885">
        <f t="shared" si="239"/>
        <v>24.3</v>
      </c>
      <c r="K391" s="886">
        <f>36540000-1023120</f>
        <v>35516880</v>
      </c>
      <c r="L391" s="887">
        <f t="shared" si="260"/>
        <v>97.2</v>
      </c>
      <c r="M391" s="502">
        <f t="shared" si="258"/>
        <v>-1023120</v>
      </c>
      <c r="N391" s="3139"/>
    </row>
    <row r="392" spans="1:14" s="511" customFormat="1" ht="25.5" hidden="1" customHeight="1" x14ac:dyDescent="0.2">
      <c r="A392" s="3151" t="s">
        <v>91</v>
      </c>
      <c r="B392" s="888" t="s">
        <v>227</v>
      </c>
      <c r="C392" s="889"/>
      <c r="D392" s="890"/>
      <c r="E392" s="891"/>
      <c r="F392" s="891"/>
      <c r="G392" s="891"/>
      <c r="H392" s="892"/>
      <c r="I392" s="890"/>
      <c r="J392" s="891"/>
      <c r="K392" s="891"/>
      <c r="L392" s="893"/>
      <c r="M392" s="893"/>
      <c r="N392" s="3154"/>
    </row>
    <row r="393" spans="1:14" s="511" customFormat="1" ht="12.75" hidden="1" customHeight="1" x14ac:dyDescent="0.2">
      <c r="A393" s="3152"/>
      <c r="B393" s="781" t="s">
        <v>2</v>
      </c>
      <c r="C393" s="710"/>
      <c r="D393" s="375"/>
      <c r="E393" s="376"/>
      <c r="F393" s="376"/>
      <c r="G393" s="376"/>
      <c r="H393" s="377"/>
      <c r="I393" s="375"/>
      <c r="J393" s="711"/>
      <c r="K393" s="894"/>
      <c r="L393" s="895"/>
      <c r="M393" s="712">
        <f t="shared" si="244"/>
        <v>0</v>
      </c>
      <c r="N393" s="3155"/>
    </row>
    <row r="394" spans="1:14" s="511" customFormat="1" ht="12.75" hidden="1" customHeight="1" x14ac:dyDescent="0.2">
      <c r="A394" s="3152"/>
      <c r="B394" s="782" t="s">
        <v>17</v>
      </c>
      <c r="C394" s="3157"/>
      <c r="D394" s="714"/>
      <c r="E394" s="715"/>
      <c r="F394" s="715"/>
      <c r="G394" s="715"/>
      <c r="H394" s="716"/>
      <c r="I394" s="714"/>
      <c r="J394" s="896"/>
      <c r="K394" s="897"/>
      <c r="L394" s="898"/>
      <c r="M394" s="719">
        <f t="shared" ref="M394:M409" si="264">+K394-G394*0.5</f>
        <v>0</v>
      </c>
      <c r="N394" s="3155"/>
    </row>
    <row r="395" spans="1:14" s="511" customFormat="1" ht="12.75" hidden="1" customHeight="1" x14ac:dyDescent="0.2">
      <c r="A395" s="3152"/>
      <c r="B395" s="785" t="s">
        <v>4</v>
      </c>
      <c r="C395" s="3158"/>
      <c r="D395" s="391"/>
      <c r="E395" s="392"/>
      <c r="F395" s="392"/>
      <c r="G395" s="392"/>
      <c r="H395" s="393"/>
      <c r="I395" s="391"/>
      <c r="J395" s="899"/>
      <c r="K395" s="399"/>
      <c r="L395" s="406"/>
      <c r="M395" s="722">
        <f t="shared" si="264"/>
        <v>0</v>
      </c>
      <c r="N395" s="3155"/>
    </row>
    <row r="396" spans="1:14" s="511" customFormat="1" ht="12.75" hidden="1" customHeight="1" x14ac:dyDescent="0.2">
      <c r="A396" s="3152"/>
      <c r="B396" s="787" t="s">
        <v>12</v>
      </c>
      <c r="C396" s="3158"/>
      <c r="D396" s="383"/>
      <c r="E396" s="384"/>
      <c r="F396" s="384"/>
      <c r="G396" s="384"/>
      <c r="H396" s="385"/>
      <c r="I396" s="383"/>
      <c r="J396" s="900"/>
      <c r="K396" s="724"/>
      <c r="L396" s="901"/>
      <c r="M396" s="789">
        <f t="shared" si="264"/>
        <v>0</v>
      </c>
      <c r="N396" s="3155"/>
    </row>
    <row r="397" spans="1:14" s="511" customFormat="1" ht="12.75" hidden="1" customHeight="1" x14ac:dyDescent="0.2">
      <c r="A397" s="3152"/>
      <c r="B397" s="902" t="s">
        <v>13</v>
      </c>
      <c r="C397" s="3159"/>
      <c r="D397" s="391"/>
      <c r="E397" s="392"/>
      <c r="F397" s="392"/>
      <c r="G397" s="392"/>
      <c r="H397" s="393"/>
      <c r="I397" s="391"/>
      <c r="J397" s="899"/>
      <c r="K397" s="399"/>
      <c r="L397" s="406"/>
      <c r="M397" s="722">
        <f t="shared" si="264"/>
        <v>0</v>
      </c>
      <c r="N397" s="3155"/>
    </row>
    <row r="398" spans="1:14" s="511" customFormat="1" ht="12.75" hidden="1" customHeight="1" x14ac:dyDescent="0.2">
      <c r="A398" s="3152"/>
      <c r="B398" s="781" t="s">
        <v>16</v>
      </c>
      <c r="C398" s="710"/>
      <c r="D398" s="375"/>
      <c r="E398" s="376"/>
      <c r="F398" s="376"/>
      <c r="G398" s="376"/>
      <c r="H398" s="377"/>
      <c r="I398" s="375"/>
      <c r="J398" s="711"/>
      <c r="K398" s="376"/>
      <c r="L398" s="379"/>
      <c r="M398" s="712">
        <f t="shared" si="264"/>
        <v>0</v>
      </c>
      <c r="N398" s="3155"/>
    </row>
    <row r="399" spans="1:14" s="511" customFormat="1" ht="12.75" hidden="1" customHeight="1" x14ac:dyDescent="0.2">
      <c r="A399" s="3152"/>
      <c r="B399" s="903" t="s">
        <v>12</v>
      </c>
      <c r="C399" s="3160"/>
      <c r="D399" s="798"/>
      <c r="E399" s="799"/>
      <c r="F399" s="799"/>
      <c r="G399" s="799"/>
      <c r="H399" s="800"/>
      <c r="I399" s="798"/>
      <c r="J399" s="896"/>
      <c r="K399" s="799"/>
      <c r="L399" s="904"/>
      <c r="M399" s="905">
        <f t="shared" si="264"/>
        <v>0</v>
      </c>
      <c r="N399" s="3155"/>
    </row>
    <row r="400" spans="1:14" s="511" customFormat="1" ht="12.75" hidden="1" customHeight="1" thickBot="1" x14ac:dyDescent="0.25">
      <c r="A400" s="3153"/>
      <c r="B400" s="906" t="s">
        <v>13</v>
      </c>
      <c r="C400" s="3161"/>
      <c r="D400" s="810"/>
      <c r="E400" s="813"/>
      <c r="F400" s="813"/>
      <c r="G400" s="813"/>
      <c r="H400" s="907"/>
      <c r="I400" s="810"/>
      <c r="J400" s="908"/>
      <c r="K400" s="813"/>
      <c r="L400" s="909"/>
      <c r="M400" s="910">
        <f t="shared" si="264"/>
        <v>0</v>
      </c>
      <c r="N400" s="3156"/>
    </row>
    <row r="401" spans="1:14" s="511" customFormat="1" ht="42.75" hidden="1" customHeight="1" x14ac:dyDescent="0.2">
      <c r="A401" s="3146" t="s">
        <v>92</v>
      </c>
      <c r="B401" s="911" t="s">
        <v>100</v>
      </c>
      <c r="C401" s="443" t="s">
        <v>173</v>
      </c>
      <c r="D401" s="444"/>
      <c r="E401" s="445"/>
      <c r="F401" s="445"/>
      <c r="G401" s="445"/>
      <c r="H401" s="446"/>
      <c r="I401" s="444"/>
      <c r="J401" s="445"/>
      <c r="K401" s="445"/>
      <c r="L401" s="449"/>
      <c r="M401" s="449"/>
      <c r="N401" s="3137" t="s">
        <v>284</v>
      </c>
    </row>
    <row r="402" spans="1:14" s="511" customFormat="1" ht="12.75" hidden="1" customHeight="1" x14ac:dyDescent="0.2">
      <c r="A402" s="3147"/>
      <c r="B402" s="912" t="s">
        <v>2</v>
      </c>
      <c r="C402" s="27"/>
      <c r="D402" s="415"/>
      <c r="E402" s="416"/>
      <c r="F402" s="416"/>
      <c r="G402" s="593"/>
      <c r="H402" s="484"/>
      <c r="I402" s="415"/>
      <c r="J402" s="516"/>
      <c r="K402" s="593"/>
      <c r="L402" s="674"/>
      <c r="M402" s="453">
        <f t="shared" si="264"/>
        <v>0</v>
      </c>
      <c r="N402" s="3138"/>
    </row>
    <row r="403" spans="1:14" s="511" customFormat="1" ht="12.75" hidden="1" customHeight="1" x14ac:dyDescent="0.2">
      <c r="A403" s="3147"/>
      <c r="B403" s="837" t="s">
        <v>17</v>
      </c>
      <c r="C403" s="3140" t="s">
        <v>96</v>
      </c>
      <c r="D403" s="558"/>
      <c r="E403" s="560"/>
      <c r="F403" s="560"/>
      <c r="G403" s="605"/>
      <c r="H403" s="561"/>
      <c r="I403" s="913"/>
      <c r="J403" s="176"/>
      <c r="K403" s="914"/>
      <c r="L403" s="676"/>
      <c r="M403" s="915">
        <f t="shared" si="264"/>
        <v>0</v>
      </c>
      <c r="N403" s="3138"/>
    </row>
    <row r="404" spans="1:14" s="511" customFormat="1" ht="12.75" hidden="1" customHeight="1" x14ac:dyDescent="0.2">
      <c r="A404" s="3147"/>
      <c r="B404" s="845" t="s">
        <v>4</v>
      </c>
      <c r="C404" s="3141"/>
      <c r="D404" s="461"/>
      <c r="E404" s="463"/>
      <c r="F404" s="463"/>
      <c r="G404" s="470"/>
      <c r="H404" s="468"/>
      <c r="I404" s="464"/>
      <c r="J404" s="469"/>
      <c r="K404" s="470"/>
      <c r="L404" s="471"/>
      <c r="M404" s="467">
        <f t="shared" si="264"/>
        <v>0</v>
      </c>
      <c r="N404" s="3138"/>
    </row>
    <row r="405" spans="1:14" s="511" customFormat="1" ht="12.75" hidden="1" customHeight="1" x14ac:dyDescent="0.2">
      <c r="A405" s="3147"/>
      <c r="B405" s="860" t="s">
        <v>12</v>
      </c>
      <c r="C405" s="3141"/>
      <c r="D405" s="474"/>
      <c r="E405" s="560"/>
      <c r="F405" s="916"/>
      <c r="G405" s="917"/>
      <c r="H405" s="552"/>
      <c r="I405" s="918"/>
      <c r="J405" s="31"/>
      <c r="K405" s="917"/>
      <c r="L405" s="478"/>
      <c r="M405" s="919">
        <f t="shared" si="264"/>
        <v>0</v>
      </c>
      <c r="N405" s="3138"/>
    </row>
    <row r="406" spans="1:14" s="511" customFormat="1" ht="12.75" hidden="1" customHeight="1" x14ac:dyDescent="0.2">
      <c r="A406" s="3147"/>
      <c r="B406" s="920" t="s">
        <v>13</v>
      </c>
      <c r="C406" s="3142"/>
      <c r="D406" s="461"/>
      <c r="E406" s="463"/>
      <c r="F406" s="463"/>
      <c r="G406" s="470"/>
      <c r="H406" s="468"/>
      <c r="I406" s="464"/>
      <c r="J406" s="469"/>
      <c r="K406" s="470"/>
      <c r="L406" s="471"/>
      <c r="M406" s="467">
        <f t="shared" si="264"/>
        <v>0</v>
      </c>
      <c r="N406" s="3138"/>
    </row>
    <row r="407" spans="1:14" s="511" customFormat="1" ht="12.75" hidden="1" customHeight="1" x14ac:dyDescent="0.2">
      <c r="A407" s="3147"/>
      <c r="B407" s="912" t="s">
        <v>16</v>
      </c>
      <c r="C407" s="27"/>
      <c r="D407" s="415"/>
      <c r="E407" s="416"/>
      <c r="F407" s="416"/>
      <c r="G407" s="416"/>
      <c r="H407" s="484"/>
      <c r="I407" s="415"/>
      <c r="J407" s="516"/>
      <c r="K407" s="416"/>
      <c r="L407" s="543"/>
      <c r="M407" s="453">
        <f t="shared" si="264"/>
        <v>0</v>
      </c>
      <c r="N407" s="3138"/>
    </row>
    <row r="408" spans="1:14" s="511" customFormat="1" ht="12.75" hidden="1" customHeight="1" x14ac:dyDescent="0.2">
      <c r="A408" s="3147"/>
      <c r="B408" s="860" t="s">
        <v>12</v>
      </c>
      <c r="C408" s="3149" t="s">
        <v>101</v>
      </c>
      <c r="D408" s="474"/>
      <c r="E408" s="475"/>
      <c r="F408" s="475"/>
      <c r="G408" s="475"/>
      <c r="H408" s="476"/>
      <c r="I408" s="474"/>
      <c r="J408" s="176"/>
      <c r="K408" s="475"/>
      <c r="L408" s="646"/>
      <c r="M408" s="479">
        <f t="shared" si="264"/>
        <v>0</v>
      </c>
      <c r="N408" s="3138"/>
    </row>
    <row r="409" spans="1:14" s="511" customFormat="1" ht="12.75" hidden="1" customHeight="1" thickBot="1" x14ac:dyDescent="0.25">
      <c r="A409" s="3148"/>
      <c r="B409" s="921" t="s">
        <v>13</v>
      </c>
      <c r="C409" s="3150"/>
      <c r="D409" s="500"/>
      <c r="E409" s="502"/>
      <c r="F409" s="502"/>
      <c r="G409" s="502"/>
      <c r="H409" s="548"/>
      <c r="I409" s="504"/>
      <c r="J409" s="539"/>
      <c r="K409" s="922"/>
      <c r="L409" s="549"/>
      <c r="M409" s="507">
        <f t="shared" si="264"/>
        <v>0</v>
      </c>
      <c r="N409" s="3139"/>
    </row>
    <row r="410" spans="1:14" s="511" customFormat="1" ht="27" customHeight="1" thickBot="1" x14ac:dyDescent="0.25">
      <c r="A410" s="923"/>
      <c r="B410" s="924" t="s">
        <v>228</v>
      </c>
      <c r="C410" s="42"/>
      <c r="D410" s="925"/>
      <c r="E410" s="926"/>
      <c r="F410" s="927"/>
      <c r="G410" s="927"/>
      <c r="H410" s="928"/>
      <c r="I410" s="929"/>
      <c r="J410" s="930"/>
      <c r="K410" s="930"/>
      <c r="L410" s="931"/>
      <c r="M410" s="932"/>
      <c r="N410" s="933"/>
    </row>
    <row r="411" spans="1:14" ht="18" customHeight="1" thickBot="1" x14ac:dyDescent="0.25">
      <c r="A411" s="934"/>
      <c r="B411" s="267" t="s">
        <v>164</v>
      </c>
      <c r="C411" s="268"/>
      <c r="D411" s="50">
        <f>D412+D413</f>
        <v>564313089</v>
      </c>
      <c r="E411" s="54">
        <f t="shared" ref="E411:I411" si="265">E412+E413</f>
        <v>51321774</v>
      </c>
      <c r="F411" s="54">
        <f>F412+F413</f>
        <v>50043688</v>
      </c>
      <c r="G411" s="54">
        <f t="shared" si="265"/>
        <v>139722220</v>
      </c>
      <c r="H411" s="55">
        <f t="shared" si="265"/>
        <v>323225407</v>
      </c>
      <c r="I411" s="50">
        <f t="shared" si="265"/>
        <v>238213935</v>
      </c>
      <c r="J411" s="53">
        <f t="shared" ref="J411:J466" si="266">I411/D411*100</f>
        <v>42.213079874176017</v>
      </c>
      <c r="K411" s="51">
        <f>K412+K413</f>
        <v>136848473</v>
      </c>
      <c r="L411" s="53">
        <f t="shared" si="260"/>
        <v>97.943242671065491</v>
      </c>
      <c r="M411" s="54">
        <f t="shared" ref="M411:M416" si="267">+K411-G411</f>
        <v>-2873747</v>
      </c>
      <c r="N411" s="2991"/>
    </row>
    <row r="412" spans="1:14" ht="15" customHeight="1" thickTop="1" x14ac:dyDescent="0.2">
      <c r="A412" s="935"/>
      <c r="B412" s="276" t="s">
        <v>165</v>
      </c>
      <c r="C412" s="277"/>
      <c r="D412" s="59">
        <f>D476+D480+D488+D492+D496</f>
        <v>414769926</v>
      </c>
      <c r="E412" s="279">
        <f t="shared" ref="E412:K412" si="268">E476+E480+E488+E492+E496</f>
        <v>15514140</v>
      </c>
      <c r="F412" s="279">
        <f t="shared" si="268"/>
        <v>12290445</v>
      </c>
      <c r="G412" s="279">
        <f t="shared" si="268"/>
        <v>99443066</v>
      </c>
      <c r="H412" s="65">
        <f t="shared" si="268"/>
        <v>287522275</v>
      </c>
      <c r="I412" s="62">
        <f t="shared" si="268"/>
        <v>125832148</v>
      </c>
      <c r="J412" s="936">
        <f t="shared" si="266"/>
        <v>30.337818658530225</v>
      </c>
      <c r="K412" s="60">
        <f t="shared" si="268"/>
        <v>98027563</v>
      </c>
      <c r="L412" s="63">
        <f t="shared" si="260"/>
        <v>98.576569431195935</v>
      </c>
      <c r="M412" s="279">
        <f t="shared" si="267"/>
        <v>-1415503</v>
      </c>
      <c r="N412" s="2992"/>
    </row>
    <row r="413" spans="1:14" ht="16.5" customHeight="1" thickBot="1" x14ac:dyDescent="0.25">
      <c r="A413" s="937"/>
      <c r="B413" s="938" t="s">
        <v>166</v>
      </c>
      <c r="C413" s="939"/>
      <c r="D413" s="289">
        <f t="shared" ref="D413:I413" si="269">D426+D436+D444+D448+D452+D456+D464+D468+D500</f>
        <v>149543163</v>
      </c>
      <c r="E413" s="940">
        <f t="shared" si="269"/>
        <v>35807634</v>
      </c>
      <c r="F413" s="940">
        <f t="shared" si="269"/>
        <v>37753243</v>
      </c>
      <c r="G413" s="940">
        <f t="shared" si="269"/>
        <v>40279154</v>
      </c>
      <c r="H413" s="941">
        <f>H426+H436+H444+H448+H452+H456+H464+H468+H500</f>
        <v>35703132</v>
      </c>
      <c r="I413" s="942">
        <f t="shared" si="269"/>
        <v>112381787</v>
      </c>
      <c r="J413" s="294">
        <f t="shared" si="266"/>
        <v>75.150066874003457</v>
      </c>
      <c r="K413" s="295">
        <f>K426+K436+K444+K448+K452+K456+K464+K468+K500</f>
        <v>38820910</v>
      </c>
      <c r="L413" s="67">
        <f t="shared" si="260"/>
        <v>96.379655838849047</v>
      </c>
      <c r="M413" s="291">
        <f t="shared" si="267"/>
        <v>-1458244</v>
      </c>
      <c r="N413" s="2993"/>
    </row>
    <row r="414" spans="1:14" ht="15.75" customHeight="1" x14ac:dyDescent="0.2">
      <c r="A414" s="943"/>
      <c r="B414" s="944" t="s">
        <v>2</v>
      </c>
      <c r="C414" s="945"/>
      <c r="D414" s="946">
        <f t="shared" ref="D414:K414" si="270">+D415</f>
        <v>564313089</v>
      </c>
      <c r="E414" s="947">
        <f t="shared" si="270"/>
        <v>51321774</v>
      </c>
      <c r="F414" s="947">
        <f t="shared" si="270"/>
        <v>50043688</v>
      </c>
      <c r="G414" s="947">
        <f t="shared" si="270"/>
        <v>139722220</v>
      </c>
      <c r="H414" s="948">
        <f t="shared" si="270"/>
        <v>323225407</v>
      </c>
      <c r="I414" s="949">
        <f t="shared" si="270"/>
        <v>238213935</v>
      </c>
      <c r="J414" s="950">
        <f t="shared" si="266"/>
        <v>42.213079874176017</v>
      </c>
      <c r="K414" s="951">
        <f t="shared" si="270"/>
        <v>136848473</v>
      </c>
      <c r="L414" s="950">
        <f t="shared" si="260"/>
        <v>97.943242671065491</v>
      </c>
      <c r="M414" s="952">
        <f t="shared" si="267"/>
        <v>-2873747</v>
      </c>
      <c r="N414" s="2989"/>
    </row>
    <row r="415" spans="1:14" s="314" customFormat="1" x14ac:dyDescent="0.2">
      <c r="A415" s="943"/>
      <c r="B415" s="953" t="s">
        <v>361</v>
      </c>
      <c r="C415" s="3124"/>
      <c r="D415" s="954">
        <f t="shared" ref="D415:H415" si="271">+D416+D417+D418+D419</f>
        <v>564313089</v>
      </c>
      <c r="E415" s="955">
        <f>+E416+E417+E418+E419</f>
        <v>51321774</v>
      </c>
      <c r="F415" s="955">
        <f t="shared" si="271"/>
        <v>50043688</v>
      </c>
      <c r="G415" s="955">
        <f t="shared" si="271"/>
        <v>139722220</v>
      </c>
      <c r="H415" s="956">
        <f t="shared" si="271"/>
        <v>323225407</v>
      </c>
      <c r="I415" s="957">
        <f>+I416+I417+I418+I419</f>
        <v>238213935</v>
      </c>
      <c r="J415" s="958">
        <f t="shared" si="266"/>
        <v>42.213079874176017</v>
      </c>
      <c r="K415" s="959">
        <f>+K416+K417+K418+K419</f>
        <v>136848473</v>
      </c>
      <c r="L415" s="958">
        <f t="shared" si="260"/>
        <v>97.943242671065491</v>
      </c>
      <c r="M415" s="955">
        <f t="shared" si="267"/>
        <v>-2873747</v>
      </c>
      <c r="N415" s="2989"/>
    </row>
    <row r="416" spans="1:14" ht="14.25" customHeight="1" x14ac:dyDescent="0.2">
      <c r="A416" s="943"/>
      <c r="B416" s="960" t="s">
        <v>4</v>
      </c>
      <c r="C416" s="3125"/>
      <c r="D416" s="961">
        <f t="shared" ref="D416:I416" si="272">D428+D438+D450+D454+D458+D466+D470+D478+D482+D490+D494+D498+D446+D502</f>
        <v>542405984</v>
      </c>
      <c r="E416" s="962">
        <f t="shared" si="272"/>
        <v>48547494</v>
      </c>
      <c r="F416" s="962">
        <f t="shared" si="272"/>
        <v>42087113</v>
      </c>
      <c r="G416" s="962">
        <f t="shared" si="272"/>
        <v>128545970</v>
      </c>
      <c r="H416" s="963">
        <f t="shared" si="272"/>
        <v>323225407</v>
      </c>
      <c r="I416" s="964">
        <f t="shared" si="272"/>
        <v>216287078</v>
      </c>
      <c r="J416" s="965">
        <f t="shared" si="266"/>
        <v>39.875496285085234</v>
      </c>
      <c r="K416" s="966">
        <f>K428+K438+K450+K454+K458+K466+K470+K478+K482+K490+K494+K498+K446+K502</f>
        <v>125652471</v>
      </c>
      <c r="L416" s="965">
        <f t="shared" si="260"/>
        <v>97.749055065670277</v>
      </c>
      <c r="M416" s="967">
        <f t="shared" si="267"/>
        <v>-2893499</v>
      </c>
      <c r="N416" s="2989"/>
    </row>
    <row r="417" spans="1:14" ht="14.25" customHeight="1" x14ac:dyDescent="0.2">
      <c r="A417" s="943"/>
      <c r="B417" s="968" t="s">
        <v>28</v>
      </c>
      <c r="C417" s="3125"/>
      <c r="D417" s="961">
        <f t="shared" ref="D417:K417" si="273">+D429</f>
        <v>14587500</v>
      </c>
      <c r="E417" s="962">
        <f t="shared" si="273"/>
        <v>0</v>
      </c>
      <c r="F417" s="962">
        <f t="shared" si="273"/>
        <v>7293750</v>
      </c>
      <c r="G417" s="962">
        <f t="shared" si="273"/>
        <v>7293750</v>
      </c>
      <c r="H417" s="963">
        <f t="shared" si="273"/>
        <v>0</v>
      </c>
      <c r="I417" s="969">
        <f t="shared" si="273"/>
        <v>14587500</v>
      </c>
      <c r="J417" s="965">
        <f t="shared" si="266"/>
        <v>100</v>
      </c>
      <c r="K417" s="966">
        <f t="shared" si="273"/>
        <v>7293750</v>
      </c>
      <c r="L417" s="965">
        <f t="shared" si="260"/>
        <v>100</v>
      </c>
      <c r="M417" s="967">
        <f t="shared" ref="M417:M419" si="274">+K417-G417</f>
        <v>0</v>
      </c>
      <c r="N417" s="2989"/>
    </row>
    <row r="418" spans="1:14" ht="14.25" customHeight="1" x14ac:dyDescent="0.2">
      <c r="A418" s="943"/>
      <c r="B418" s="968" t="s">
        <v>56</v>
      </c>
      <c r="C418" s="3125"/>
      <c r="D418" s="961">
        <f>+D439+D459+D471+D483</f>
        <v>6607105</v>
      </c>
      <c r="E418" s="962">
        <f t="shared" ref="E418:H418" si="275">+E439+E459+E471+E483</f>
        <v>2774280</v>
      </c>
      <c r="F418" s="962">
        <f t="shared" si="275"/>
        <v>662825</v>
      </c>
      <c r="G418" s="962">
        <f t="shared" si="275"/>
        <v>3170000</v>
      </c>
      <c r="H418" s="963">
        <f t="shared" si="275"/>
        <v>0</v>
      </c>
      <c r="I418" s="964">
        <f>+I439+I459+I471+I483</f>
        <v>6626857</v>
      </c>
      <c r="J418" s="970">
        <f t="shared" si="266"/>
        <v>100.29895090209706</v>
      </c>
      <c r="K418" s="971">
        <f>+K439+K459+K471+K483</f>
        <v>3189752</v>
      </c>
      <c r="L418" s="972">
        <v>0</v>
      </c>
      <c r="M418" s="967">
        <f t="shared" si="274"/>
        <v>19752</v>
      </c>
      <c r="N418" s="2989"/>
    </row>
    <row r="419" spans="1:14" ht="13.5" customHeight="1" x14ac:dyDescent="0.2">
      <c r="A419" s="943"/>
      <c r="B419" s="973" t="s">
        <v>89</v>
      </c>
      <c r="C419" s="3125"/>
      <c r="D419" s="961">
        <f t="shared" ref="D419:K419" si="276">+D430</f>
        <v>712500</v>
      </c>
      <c r="E419" s="962">
        <f t="shared" si="276"/>
        <v>0</v>
      </c>
      <c r="F419" s="962">
        <f t="shared" si="276"/>
        <v>0</v>
      </c>
      <c r="G419" s="974">
        <f t="shared" si="276"/>
        <v>712500</v>
      </c>
      <c r="H419" s="963">
        <f t="shared" si="276"/>
        <v>0</v>
      </c>
      <c r="I419" s="969">
        <f t="shared" si="276"/>
        <v>712500</v>
      </c>
      <c r="J419" s="970">
        <f t="shared" si="266"/>
        <v>100</v>
      </c>
      <c r="K419" s="975">
        <f t="shared" si="276"/>
        <v>712500</v>
      </c>
      <c r="L419" s="965">
        <f t="shared" si="260"/>
        <v>100</v>
      </c>
      <c r="M419" s="966">
        <f t="shared" si="274"/>
        <v>0</v>
      </c>
      <c r="N419" s="2989"/>
    </row>
    <row r="420" spans="1:14" ht="14.25" customHeight="1" x14ac:dyDescent="0.2">
      <c r="A420" s="943"/>
      <c r="B420" s="373" t="s">
        <v>16</v>
      </c>
      <c r="C420" s="710"/>
      <c r="D420" s="976">
        <f t="shared" ref="D420:K420" si="277">+D421</f>
        <v>21907105</v>
      </c>
      <c r="E420" s="977">
        <f t="shared" si="277"/>
        <v>3486780</v>
      </c>
      <c r="F420" s="978">
        <f t="shared" si="277"/>
        <v>7956575</v>
      </c>
      <c r="G420" s="978">
        <f t="shared" si="277"/>
        <v>10463750</v>
      </c>
      <c r="H420" s="979">
        <f t="shared" si="277"/>
        <v>0</v>
      </c>
      <c r="I420" s="980">
        <f t="shared" si="277"/>
        <v>21926857</v>
      </c>
      <c r="J420" s="981">
        <f t="shared" si="266"/>
        <v>100.09016252946248</v>
      </c>
      <c r="K420" s="982">
        <f t="shared" si="277"/>
        <v>10483502</v>
      </c>
      <c r="L420" s="983">
        <f t="shared" si="260"/>
        <v>100.18876597778043</v>
      </c>
      <c r="M420" s="984">
        <f>+K420-G420</f>
        <v>19752</v>
      </c>
      <c r="N420" s="2989"/>
    </row>
    <row r="421" spans="1:14" ht="13.5" customHeight="1" x14ac:dyDescent="0.2">
      <c r="A421" s="943"/>
      <c r="B421" s="985" t="s">
        <v>362</v>
      </c>
      <c r="C421" s="3126"/>
      <c r="D421" s="954">
        <f t="shared" ref="D421:K421" si="278">+D422+D423+D424</f>
        <v>21907105</v>
      </c>
      <c r="E421" s="955">
        <f t="shared" si="278"/>
        <v>3486780</v>
      </c>
      <c r="F421" s="959">
        <f t="shared" si="278"/>
        <v>7956575</v>
      </c>
      <c r="G421" s="959">
        <f t="shared" si="278"/>
        <v>10463750</v>
      </c>
      <c r="H421" s="956">
        <f t="shared" si="278"/>
        <v>0</v>
      </c>
      <c r="I421" s="957">
        <f t="shared" si="278"/>
        <v>21926857</v>
      </c>
      <c r="J421" s="986">
        <f t="shared" si="266"/>
        <v>100.09016252946248</v>
      </c>
      <c r="K421" s="987">
        <f t="shared" si="278"/>
        <v>10483502</v>
      </c>
      <c r="L421" s="958">
        <f t="shared" si="260"/>
        <v>100.18876597778043</v>
      </c>
      <c r="M421" s="955">
        <f>+K421-G421</f>
        <v>19752</v>
      </c>
      <c r="N421" s="2989"/>
    </row>
    <row r="422" spans="1:14" ht="13.5" customHeight="1" x14ac:dyDescent="0.2">
      <c r="A422" s="943"/>
      <c r="B422" s="973" t="s">
        <v>28</v>
      </c>
      <c r="C422" s="3127"/>
      <c r="D422" s="961">
        <f t="shared" ref="D422:H422" si="279">+D433</f>
        <v>14587500</v>
      </c>
      <c r="E422" s="962">
        <f t="shared" si="279"/>
        <v>0</v>
      </c>
      <c r="F422" s="974">
        <f t="shared" si="279"/>
        <v>7293750</v>
      </c>
      <c r="G422" s="974">
        <f t="shared" si="279"/>
        <v>7293750</v>
      </c>
      <c r="H422" s="963">
        <f t="shared" si="279"/>
        <v>0</v>
      </c>
      <c r="I422" s="969">
        <f t="shared" ref="I422" si="280">+I433</f>
        <v>14587500</v>
      </c>
      <c r="J422" s="970">
        <f t="shared" si="266"/>
        <v>100</v>
      </c>
      <c r="K422" s="975">
        <f t="shared" ref="K422" si="281">+K433</f>
        <v>7293750</v>
      </c>
      <c r="L422" s="965">
        <f t="shared" si="260"/>
        <v>100</v>
      </c>
      <c r="M422" s="967">
        <f>+K422-G422</f>
        <v>0</v>
      </c>
      <c r="N422" s="2989"/>
    </row>
    <row r="423" spans="1:14" ht="13.5" customHeight="1" x14ac:dyDescent="0.2">
      <c r="A423" s="943"/>
      <c r="B423" s="973" t="s">
        <v>56</v>
      </c>
      <c r="C423" s="3127"/>
      <c r="D423" s="961">
        <f>+D442+D462+D474+D486</f>
        <v>6607105</v>
      </c>
      <c r="E423" s="962">
        <f t="shared" ref="E423:I423" si="282">+E442+E462+E474+E486</f>
        <v>2774280</v>
      </c>
      <c r="F423" s="974">
        <f t="shared" si="282"/>
        <v>662825</v>
      </c>
      <c r="G423" s="974">
        <f t="shared" si="282"/>
        <v>3170000</v>
      </c>
      <c r="H423" s="963">
        <f t="shared" si="282"/>
        <v>0</v>
      </c>
      <c r="I423" s="964">
        <f t="shared" si="282"/>
        <v>6626857</v>
      </c>
      <c r="J423" s="970">
        <f t="shared" si="266"/>
        <v>100.29895090209706</v>
      </c>
      <c r="K423" s="971">
        <f>+K442+K462+K474+K486</f>
        <v>3189752</v>
      </c>
      <c r="L423" s="972">
        <v>0</v>
      </c>
      <c r="M423" s="967">
        <f>+K423-G423</f>
        <v>19752</v>
      </c>
      <c r="N423" s="2989"/>
    </row>
    <row r="424" spans="1:14" ht="13.5" customHeight="1" thickBot="1" x14ac:dyDescent="0.25">
      <c r="A424" s="988"/>
      <c r="B424" s="989" t="s">
        <v>89</v>
      </c>
      <c r="C424" s="3128"/>
      <c r="D424" s="990">
        <f t="shared" ref="D424:H424" si="283">+D434</f>
        <v>712500</v>
      </c>
      <c r="E424" s="991">
        <f t="shared" si="283"/>
        <v>712500</v>
      </c>
      <c r="F424" s="992">
        <f t="shared" si="283"/>
        <v>0</v>
      </c>
      <c r="G424" s="992">
        <f t="shared" si="283"/>
        <v>0</v>
      </c>
      <c r="H424" s="993">
        <f t="shared" si="283"/>
        <v>0</v>
      </c>
      <c r="I424" s="994">
        <f t="shared" ref="I424" si="284">+I434</f>
        <v>712500</v>
      </c>
      <c r="J424" s="995">
        <f t="shared" si="266"/>
        <v>100</v>
      </c>
      <c r="K424" s="996">
        <f t="shared" ref="K424" si="285">+K434</f>
        <v>0</v>
      </c>
      <c r="L424" s="997">
        <v>0</v>
      </c>
      <c r="M424" s="967">
        <f>+K424-G424</f>
        <v>0</v>
      </c>
      <c r="N424" s="2990"/>
    </row>
    <row r="425" spans="1:14" ht="25.5" customHeight="1" x14ac:dyDescent="0.2">
      <c r="A425" s="3116" t="s">
        <v>32</v>
      </c>
      <c r="B425" s="998" t="s">
        <v>94</v>
      </c>
      <c r="C425" s="999" t="s">
        <v>168</v>
      </c>
      <c r="D425" s="1000"/>
      <c r="E425" s="1001"/>
      <c r="F425" s="1001"/>
      <c r="G425" s="1002"/>
      <c r="H425" s="1003"/>
      <c r="I425" s="1000"/>
      <c r="J425" s="1001"/>
      <c r="K425" s="1001"/>
      <c r="L425" s="1004"/>
      <c r="M425" s="1004"/>
      <c r="N425" s="3120" t="s">
        <v>93</v>
      </c>
    </row>
    <row r="426" spans="1:14" ht="13.5" customHeight="1" x14ac:dyDescent="0.2">
      <c r="A426" s="3117"/>
      <c r="B426" s="334" t="s">
        <v>2</v>
      </c>
      <c r="C426" s="27"/>
      <c r="D426" s="829">
        <f>SUM(E426:H426)</f>
        <v>20000000</v>
      </c>
      <c r="E426" s="1005">
        <f t="shared" ref="E426:F426" si="286">+E427</f>
        <v>0</v>
      </c>
      <c r="F426" s="830">
        <f t="shared" si="286"/>
        <v>10000000</v>
      </c>
      <c r="G426" s="1006">
        <f>+G427</f>
        <v>10000000</v>
      </c>
      <c r="H426" s="763">
        <f>+H427</f>
        <v>0</v>
      </c>
      <c r="I426" s="1007">
        <f>+I427</f>
        <v>20000000</v>
      </c>
      <c r="J426" s="1008">
        <f t="shared" si="266"/>
        <v>100</v>
      </c>
      <c r="K426" s="830">
        <f>+K427</f>
        <v>10000000</v>
      </c>
      <c r="L426" s="1009">
        <f t="shared" si="260"/>
        <v>100</v>
      </c>
      <c r="M426" s="1010">
        <f t="shared" ref="M426:M434" si="287">+K426-G426</f>
        <v>0</v>
      </c>
      <c r="N426" s="3121"/>
    </row>
    <row r="427" spans="1:14" ht="13.5" customHeight="1" x14ac:dyDescent="0.2">
      <c r="A427" s="3117"/>
      <c r="B427" s="454" t="s">
        <v>17</v>
      </c>
      <c r="C427" s="3086" t="s">
        <v>33</v>
      </c>
      <c r="D427" s="1011">
        <f>SUM(D428:D430)</f>
        <v>20000000</v>
      </c>
      <c r="E427" s="607">
        <v>0</v>
      </c>
      <c r="F427" s="1012">
        <f>SUM(F428:F430)</f>
        <v>10000000</v>
      </c>
      <c r="G427" s="1013">
        <f>SUM(G428:G430)</f>
        <v>10000000</v>
      </c>
      <c r="H427" s="570">
        <f>SUM(H428:H430)</f>
        <v>0</v>
      </c>
      <c r="I427" s="1014">
        <f>+K427+F427+E427</f>
        <v>20000000</v>
      </c>
      <c r="J427" s="1015">
        <f t="shared" si="266"/>
        <v>100</v>
      </c>
      <c r="K427" s="1012">
        <f>+K428+K429+K430</f>
        <v>10000000</v>
      </c>
      <c r="L427" s="1016">
        <f t="shared" si="260"/>
        <v>100</v>
      </c>
      <c r="M427" s="1017">
        <f t="shared" si="287"/>
        <v>0</v>
      </c>
      <c r="N427" s="3121"/>
    </row>
    <row r="428" spans="1:14" ht="13.5" customHeight="1" x14ac:dyDescent="0.2">
      <c r="A428" s="3117"/>
      <c r="B428" s="1018" t="s">
        <v>4</v>
      </c>
      <c r="C428" s="3086"/>
      <c r="D428" s="1019">
        <f t="shared" ref="D428:D434" si="288">SUM(E428:H428)</f>
        <v>4700000</v>
      </c>
      <c r="E428" s="482">
        <v>0</v>
      </c>
      <c r="F428" s="847">
        <v>2706250</v>
      </c>
      <c r="G428" s="1020">
        <v>1993750</v>
      </c>
      <c r="H428" s="522">
        <v>0</v>
      </c>
      <c r="I428" s="1021">
        <f>+K428+F428+E428</f>
        <v>4700000</v>
      </c>
      <c r="J428" s="465">
        <f t="shared" si="266"/>
        <v>100</v>
      </c>
      <c r="K428" s="847">
        <v>1993750</v>
      </c>
      <c r="L428" s="466">
        <f t="shared" si="260"/>
        <v>100</v>
      </c>
      <c r="M428" s="1022">
        <f t="shared" si="287"/>
        <v>0</v>
      </c>
      <c r="N428" s="3121"/>
    </row>
    <row r="429" spans="1:14" ht="13.5" customHeight="1" x14ac:dyDescent="0.2">
      <c r="A429" s="3117"/>
      <c r="B429" s="1018" t="s">
        <v>86</v>
      </c>
      <c r="C429" s="3086"/>
      <c r="D429" s="1019">
        <f t="shared" si="288"/>
        <v>14587500</v>
      </c>
      <c r="E429" s="482">
        <v>0</v>
      </c>
      <c r="F429" s="847">
        <v>7293750</v>
      </c>
      <c r="G429" s="1020">
        <v>7293750</v>
      </c>
      <c r="H429" s="522">
        <v>0</v>
      </c>
      <c r="I429" s="1021">
        <f>+K429+F429+E429</f>
        <v>14587500</v>
      </c>
      <c r="J429" s="465">
        <f t="shared" si="266"/>
        <v>100</v>
      </c>
      <c r="K429" s="847">
        <v>7293750</v>
      </c>
      <c r="L429" s="466">
        <f t="shared" si="260"/>
        <v>100</v>
      </c>
      <c r="M429" s="1022">
        <f t="shared" si="287"/>
        <v>0</v>
      </c>
      <c r="N429" s="3121"/>
    </row>
    <row r="430" spans="1:14" ht="12" customHeight="1" x14ac:dyDescent="0.2">
      <c r="A430" s="3117"/>
      <c r="B430" s="1023" t="s">
        <v>89</v>
      </c>
      <c r="C430" s="3123"/>
      <c r="D430" s="1019">
        <f t="shared" si="288"/>
        <v>712500</v>
      </c>
      <c r="E430" s="482">
        <v>0</v>
      </c>
      <c r="F430" s="847">
        <v>0</v>
      </c>
      <c r="G430" s="1024">
        <v>712500</v>
      </c>
      <c r="H430" s="535">
        <v>0</v>
      </c>
      <c r="I430" s="1021">
        <f>+K430+F430+E430</f>
        <v>712500</v>
      </c>
      <c r="J430" s="465">
        <f t="shared" si="266"/>
        <v>100</v>
      </c>
      <c r="K430" s="847">
        <v>712500</v>
      </c>
      <c r="L430" s="466">
        <f t="shared" si="260"/>
        <v>100</v>
      </c>
      <c r="M430" s="1022">
        <f t="shared" si="287"/>
        <v>0</v>
      </c>
      <c r="N430" s="3121"/>
    </row>
    <row r="431" spans="1:14" s="511" customFormat="1" ht="11.25" customHeight="1" x14ac:dyDescent="0.2">
      <c r="A431" s="3117"/>
      <c r="B431" s="334" t="s">
        <v>16</v>
      </c>
      <c r="C431" s="27"/>
      <c r="D431" s="415">
        <f t="shared" si="288"/>
        <v>15300000</v>
      </c>
      <c r="E431" s="416">
        <f>+E432</f>
        <v>712500</v>
      </c>
      <c r="F431" s="416">
        <f>+F432</f>
        <v>7293750</v>
      </c>
      <c r="G431" s="418">
        <f>+G432</f>
        <v>7293750</v>
      </c>
      <c r="H431" s="484">
        <f>+H432</f>
        <v>0</v>
      </c>
      <c r="I431" s="453">
        <f>+I432</f>
        <v>15300000</v>
      </c>
      <c r="J431" s="1008">
        <f t="shared" si="266"/>
        <v>100</v>
      </c>
      <c r="K431" s="416">
        <f>+K432</f>
        <v>7293750</v>
      </c>
      <c r="L431" s="1009">
        <f t="shared" si="260"/>
        <v>100</v>
      </c>
      <c r="M431" s="453">
        <f t="shared" si="287"/>
        <v>0</v>
      </c>
      <c r="N431" s="3121"/>
    </row>
    <row r="432" spans="1:14" s="634" customFormat="1" ht="12.75" customHeight="1" x14ac:dyDescent="0.2">
      <c r="A432" s="3118"/>
      <c r="B432" s="454" t="s">
        <v>17</v>
      </c>
      <c r="C432" s="3086" t="s">
        <v>33</v>
      </c>
      <c r="D432" s="558">
        <f t="shared" si="288"/>
        <v>15300000</v>
      </c>
      <c r="E432" s="559">
        <f>E433+E434</f>
        <v>712500</v>
      </c>
      <c r="F432" s="560">
        <f>F433+F434</f>
        <v>7293750</v>
      </c>
      <c r="G432" s="1025">
        <f>G433+G434</f>
        <v>7293750</v>
      </c>
      <c r="H432" s="576">
        <f>H433+H434</f>
        <v>0</v>
      </c>
      <c r="I432" s="560">
        <f>I433+I434</f>
        <v>15300000</v>
      </c>
      <c r="J432" s="1015">
        <f t="shared" si="266"/>
        <v>100</v>
      </c>
      <c r="K432" s="560">
        <f>+K433+K434</f>
        <v>7293750</v>
      </c>
      <c r="L432" s="1016">
        <f t="shared" si="260"/>
        <v>100</v>
      </c>
      <c r="M432" s="915">
        <f t="shared" si="287"/>
        <v>0</v>
      </c>
      <c r="N432" s="3121"/>
    </row>
    <row r="433" spans="1:124" s="634" customFormat="1" ht="12.75" customHeight="1" x14ac:dyDescent="0.2">
      <c r="A433" s="3118"/>
      <c r="B433" s="1018" t="s">
        <v>86</v>
      </c>
      <c r="C433" s="3086"/>
      <c r="D433" s="1019">
        <f t="shared" si="288"/>
        <v>14587500</v>
      </c>
      <c r="E433" s="1026">
        <v>0</v>
      </c>
      <c r="F433" s="847">
        <v>7293750</v>
      </c>
      <c r="G433" s="1024">
        <v>7293750</v>
      </c>
      <c r="H433" s="535">
        <v>0</v>
      </c>
      <c r="I433" s="1021">
        <f>+K433+F433+E433</f>
        <v>14587500</v>
      </c>
      <c r="J433" s="465">
        <f t="shared" si="266"/>
        <v>100</v>
      </c>
      <c r="K433" s="1022">
        <v>7293750</v>
      </c>
      <c r="L433" s="466">
        <f t="shared" si="260"/>
        <v>100</v>
      </c>
      <c r="M433" s="1022">
        <f t="shared" si="287"/>
        <v>0</v>
      </c>
      <c r="N433" s="3121"/>
    </row>
    <row r="434" spans="1:124" s="634" customFormat="1" ht="13.5" customHeight="1" thickBot="1" x14ac:dyDescent="0.25">
      <c r="A434" s="3119"/>
      <c r="B434" s="1027" t="s">
        <v>89</v>
      </c>
      <c r="C434" s="3100"/>
      <c r="D434" s="1019">
        <f t="shared" si="288"/>
        <v>712500</v>
      </c>
      <c r="E434" s="1020">
        <v>712500</v>
      </c>
      <c r="F434" s="526">
        <v>0</v>
      </c>
      <c r="G434" s="1028">
        <v>0</v>
      </c>
      <c r="H434" s="578">
        <v>0</v>
      </c>
      <c r="I434" s="1021">
        <f>+K434+F434+E434</f>
        <v>712500</v>
      </c>
      <c r="J434" s="465">
        <f t="shared" si="266"/>
        <v>100</v>
      </c>
      <c r="K434" s="1029">
        <v>0</v>
      </c>
      <c r="L434" s="483">
        <v>0</v>
      </c>
      <c r="M434" s="1022">
        <f t="shared" si="287"/>
        <v>0</v>
      </c>
      <c r="N434" s="3122"/>
    </row>
    <row r="435" spans="1:124" ht="37.5" customHeight="1" x14ac:dyDescent="0.2">
      <c r="A435" s="3109" t="s">
        <v>35</v>
      </c>
      <c r="B435" s="442" t="s">
        <v>257</v>
      </c>
      <c r="C435" s="1030" t="s">
        <v>168</v>
      </c>
      <c r="D435" s="610"/>
      <c r="E435" s="611"/>
      <c r="F435" s="611"/>
      <c r="G435" s="611"/>
      <c r="H435" s="1031"/>
      <c r="I435" s="444"/>
      <c r="J435" s="445"/>
      <c r="K435" s="445"/>
      <c r="L435" s="449"/>
      <c r="M435" s="449"/>
      <c r="N435" s="3113" t="s">
        <v>88</v>
      </c>
    </row>
    <row r="436" spans="1:124" ht="13.5" customHeight="1" x14ac:dyDescent="0.2">
      <c r="A436" s="3110"/>
      <c r="B436" s="334" t="s">
        <v>2</v>
      </c>
      <c r="C436" s="27"/>
      <c r="D436" s="1032">
        <f t="shared" ref="D436:I436" si="289">+D437</f>
        <v>4267201</v>
      </c>
      <c r="E436" s="518">
        <f t="shared" si="289"/>
        <v>4161421</v>
      </c>
      <c r="F436" s="518">
        <f t="shared" si="289"/>
        <v>105780</v>
      </c>
      <c r="G436" s="606">
        <f t="shared" si="289"/>
        <v>0</v>
      </c>
      <c r="H436" s="1033">
        <f t="shared" si="289"/>
        <v>0</v>
      </c>
      <c r="I436" s="513">
        <f t="shared" si="289"/>
        <v>4267201</v>
      </c>
      <c r="J436" s="516">
        <f t="shared" si="266"/>
        <v>100</v>
      </c>
      <c r="K436" s="606">
        <f>+K437</f>
        <v>0</v>
      </c>
      <c r="L436" s="674">
        <v>0</v>
      </c>
      <c r="M436" s="1010">
        <f t="shared" ref="M436:M442" si="290">+K436-G436</f>
        <v>0</v>
      </c>
      <c r="N436" s="3114"/>
    </row>
    <row r="437" spans="1:124" ht="13.5" customHeight="1" x14ac:dyDescent="0.2">
      <c r="A437" s="3110"/>
      <c r="B437" s="454" t="s">
        <v>17</v>
      </c>
      <c r="C437" s="3086" t="s">
        <v>96</v>
      </c>
      <c r="D437" s="544">
        <f>+D438+D439</f>
        <v>4267201</v>
      </c>
      <c r="E437" s="521">
        <f>+E438+E439</f>
        <v>4161421</v>
      </c>
      <c r="F437" s="521">
        <f>++F438+F439</f>
        <v>105780</v>
      </c>
      <c r="G437" s="607">
        <f>++G438+G439</f>
        <v>0</v>
      </c>
      <c r="H437" s="1034">
        <f>++H438+H439</f>
        <v>0</v>
      </c>
      <c r="I437" s="519">
        <f>+I438+I439</f>
        <v>4267201</v>
      </c>
      <c r="J437" s="176">
        <f t="shared" si="266"/>
        <v>100</v>
      </c>
      <c r="K437" s="607">
        <f>+K438+K439</f>
        <v>0</v>
      </c>
      <c r="L437" s="676">
        <v>0</v>
      </c>
      <c r="M437" s="1017">
        <f t="shared" si="290"/>
        <v>0</v>
      </c>
      <c r="N437" s="3114"/>
    </row>
    <row r="438" spans="1:124" ht="13.5" customHeight="1" x14ac:dyDescent="0.2">
      <c r="A438" s="3110"/>
      <c r="B438" s="460" t="s">
        <v>4</v>
      </c>
      <c r="C438" s="3087"/>
      <c r="D438" s="1035">
        <f>+E438+F438+G438+H438</f>
        <v>1422974</v>
      </c>
      <c r="E438" s="1036">
        <f>139894+1247247</f>
        <v>1387141</v>
      </c>
      <c r="F438" s="1036">
        <v>35833</v>
      </c>
      <c r="G438" s="609">
        <v>0</v>
      </c>
      <c r="H438" s="586">
        <v>0</v>
      </c>
      <c r="I438" s="461">
        <f>+K438+F438+E438</f>
        <v>1422974</v>
      </c>
      <c r="J438" s="469">
        <f t="shared" si="266"/>
        <v>100</v>
      </c>
      <c r="K438" s="609">
        <v>0</v>
      </c>
      <c r="L438" s="471">
        <v>0</v>
      </c>
      <c r="M438" s="1022">
        <f t="shared" si="290"/>
        <v>0</v>
      </c>
      <c r="N438" s="3114"/>
    </row>
    <row r="439" spans="1:124" ht="13.5" customHeight="1" x14ac:dyDescent="0.2">
      <c r="A439" s="3110"/>
      <c r="B439" s="460" t="s">
        <v>56</v>
      </c>
      <c r="C439" s="3087"/>
      <c r="D439" s="1035">
        <f>+E439+F439+G439+H439</f>
        <v>2844227</v>
      </c>
      <c r="E439" s="1036">
        <f>279786+2494494</f>
        <v>2774280</v>
      </c>
      <c r="F439" s="1036">
        <v>69947</v>
      </c>
      <c r="G439" s="609">
        <v>0</v>
      </c>
      <c r="H439" s="1037">
        <v>0</v>
      </c>
      <c r="I439" s="461">
        <f>+K439+F439+E439</f>
        <v>2844227</v>
      </c>
      <c r="J439" s="469">
        <f t="shared" si="266"/>
        <v>100</v>
      </c>
      <c r="K439" s="609">
        <v>0</v>
      </c>
      <c r="L439" s="471">
        <v>0</v>
      </c>
      <c r="M439" s="1022">
        <f t="shared" si="290"/>
        <v>0</v>
      </c>
      <c r="N439" s="3114"/>
    </row>
    <row r="440" spans="1:124" s="511" customFormat="1" ht="12.75" customHeight="1" x14ac:dyDescent="0.2">
      <c r="A440" s="3111"/>
      <c r="B440" s="334" t="s">
        <v>16</v>
      </c>
      <c r="C440" s="27"/>
      <c r="D440" s="1032">
        <f>+D441</f>
        <v>2844227</v>
      </c>
      <c r="E440" s="518">
        <f>+E441</f>
        <v>2774280</v>
      </c>
      <c r="F440" s="518">
        <f t="shared" ref="F440:H441" si="291">+F441</f>
        <v>69947</v>
      </c>
      <c r="G440" s="606">
        <f t="shared" si="291"/>
        <v>0</v>
      </c>
      <c r="H440" s="1033">
        <f t="shared" si="291"/>
        <v>0</v>
      </c>
      <c r="I440" s="513">
        <f>+I441</f>
        <v>2844227</v>
      </c>
      <c r="J440" s="516">
        <f t="shared" si="266"/>
        <v>100</v>
      </c>
      <c r="K440" s="606">
        <f>+K441</f>
        <v>0</v>
      </c>
      <c r="L440" s="674">
        <v>0</v>
      </c>
      <c r="M440" s="453">
        <f t="shared" si="290"/>
        <v>0</v>
      </c>
      <c r="N440" s="3114"/>
    </row>
    <row r="441" spans="1:124" ht="13.5" customHeight="1" x14ac:dyDescent="0.2">
      <c r="A441" s="3111"/>
      <c r="B441" s="775" t="s">
        <v>17</v>
      </c>
      <c r="C441" s="3086" t="s">
        <v>96</v>
      </c>
      <c r="D441" s="544">
        <f>+D442</f>
        <v>2844227</v>
      </c>
      <c r="E441" s="521">
        <f>+E442</f>
        <v>2774280</v>
      </c>
      <c r="F441" s="521">
        <f t="shared" si="291"/>
        <v>69947</v>
      </c>
      <c r="G441" s="607">
        <f t="shared" si="291"/>
        <v>0</v>
      </c>
      <c r="H441" s="1034">
        <f t="shared" si="291"/>
        <v>0</v>
      </c>
      <c r="I441" s="519">
        <f>+K441+F441+E441</f>
        <v>2844227</v>
      </c>
      <c r="J441" s="176">
        <f t="shared" si="266"/>
        <v>100</v>
      </c>
      <c r="K441" s="607">
        <f>+K442</f>
        <v>0</v>
      </c>
      <c r="L441" s="676">
        <v>0</v>
      </c>
      <c r="M441" s="915">
        <f t="shared" si="290"/>
        <v>0</v>
      </c>
      <c r="N441" s="3114"/>
    </row>
    <row r="442" spans="1:124" ht="13.5" customHeight="1" thickBot="1" x14ac:dyDescent="0.25">
      <c r="A442" s="3112"/>
      <c r="B442" s="562" t="s">
        <v>56</v>
      </c>
      <c r="C442" s="3090"/>
      <c r="D442" s="1038">
        <f>+E442+F442+G442+H442</f>
        <v>2844227</v>
      </c>
      <c r="E442" s="1039">
        <f>279786+2494494</f>
        <v>2774280</v>
      </c>
      <c r="F442" s="1039">
        <v>69947</v>
      </c>
      <c r="G442" s="601">
        <v>0</v>
      </c>
      <c r="H442" s="1040">
        <v>0</v>
      </c>
      <c r="I442" s="565">
        <f>+K442+F442+E442</f>
        <v>2844227</v>
      </c>
      <c r="J442" s="539">
        <f t="shared" si="266"/>
        <v>100</v>
      </c>
      <c r="K442" s="601">
        <v>0</v>
      </c>
      <c r="L442" s="540">
        <v>0</v>
      </c>
      <c r="M442" s="1022">
        <f t="shared" si="290"/>
        <v>0</v>
      </c>
      <c r="N442" s="3115"/>
    </row>
    <row r="443" spans="1:124" s="1042" customFormat="1" ht="25.5" customHeight="1" x14ac:dyDescent="0.2">
      <c r="A443" s="3091" t="s">
        <v>40</v>
      </c>
      <c r="B443" s="653" t="s">
        <v>97</v>
      </c>
      <c r="C443" s="1030" t="s">
        <v>168</v>
      </c>
      <c r="D443" s="610"/>
      <c r="E443" s="611"/>
      <c r="F443" s="611"/>
      <c r="G443" s="611"/>
      <c r="H443" s="1031"/>
      <c r="I443" s="444"/>
      <c r="J443" s="445"/>
      <c r="K443" s="445"/>
      <c r="L443" s="449"/>
      <c r="M443" s="449"/>
      <c r="N443" s="3083" t="s">
        <v>95</v>
      </c>
      <c r="O443" s="1041"/>
      <c r="P443" s="1041"/>
      <c r="Q443" s="1041"/>
      <c r="R443" s="1041"/>
      <c r="S443" s="1041"/>
      <c r="T443" s="1041"/>
      <c r="U443" s="1041"/>
      <c r="V443" s="1041"/>
      <c r="W443" s="1041"/>
      <c r="X443" s="1041"/>
      <c r="Y443" s="1041"/>
      <c r="Z443" s="1041"/>
      <c r="AA443" s="1041"/>
      <c r="AB443" s="1041"/>
      <c r="AC443" s="1041"/>
      <c r="AD443" s="1041"/>
      <c r="AE443" s="1041"/>
      <c r="AF443" s="1041"/>
      <c r="AG443" s="1041"/>
      <c r="AH443" s="1041"/>
      <c r="AI443" s="1041"/>
      <c r="AJ443" s="1041"/>
      <c r="AK443" s="1041"/>
      <c r="AL443" s="1041"/>
      <c r="AM443" s="1041"/>
      <c r="AN443" s="1041"/>
      <c r="AO443" s="1041"/>
      <c r="AP443" s="1041"/>
      <c r="AQ443" s="1041"/>
      <c r="AR443" s="1041"/>
      <c r="AS443" s="1041"/>
      <c r="AT443" s="1041"/>
      <c r="AU443" s="1041"/>
      <c r="AV443" s="1041"/>
      <c r="AW443" s="1041"/>
      <c r="AX443" s="1041"/>
      <c r="AY443" s="1041"/>
      <c r="AZ443" s="1041"/>
      <c r="BA443" s="1041"/>
      <c r="BB443" s="1041"/>
      <c r="BC443" s="1041"/>
      <c r="BD443" s="1041"/>
      <c r="BE443" s="1041"/>
      <c r="BF443" s="1041"/>
      <c r="BG443" s="1041"/>
      <c r="BH443" s="1041"/>
      <c r="BI443" s="1041"/>
      <c r="BJ443" s="1041"/>
      <c r="BK443" s="1041"/>
      <c r="BL443" s="1041"/>
      <c r="BM443" s="1041"/>
      <c r="BN443" s="1041"/>
      <c r="BO443" s="1041"/>
      <c r="BP443" s="1041"/>
      <c r="BQ443" s="1041"/>
      <c r="BR443" s="1041"/>
      <c r="BS443" s="1041"/>
      <c r="BT443" s="1041"/>
      <c r="BU443" s="1041"/>
      <c r="BV443" s="1041"/>
      <c r="BW443" s="1041"/>
      <c r="BX443" s="1041"/>
      <c r="BY443" s="1041"/>
      <c r="BZ443" s="1041"/>
      <c r="CA443" s="1041"/>
      <c r="CB443" s="1041"/>
      <c r="CC443" s="1041"/>
      <c r="CD443" s="1041"/>
      <c r="CE443" s="1041"/>
      <c r="CF443" s="1041"/>
      <c r="CG443" s="1041"/>
      <c r="CH443" s="1041"/>
      <c r="CI443" s="1041"/>
      <c r="CJ443" s="1041"/>
      <c r="CK443" s="1041"/>
      <c r="CL443" s="1041"/>
      <c r="CM443" s="1041"/>
      <c r="CN443" s="1041"/>
      <c r="CO443" s="1041"/>
      <c r="CP443" s="1041"/>
      <c r="CQ443" s="1041"/>
      <c r="CR443" s="1041"/>
      <c r="CS443" s="1041"/>
      <c r="CT443" s="1041"/>
      <c r="CU443" s="1041"/>
      <c r="CV443" s="1041"/>
      <c r="CW443" s="1041"/>
      <c r="CX443" s="1041"/>
      <c r="CY443" s="1041"/>
      <c r="CZ443" s="1041"/>
      <c r="DA443" s="1041"/>
      <c r="DB443" s="1041"/>
      <c r="DC443" s="1041"/>
      <c r="DD443" s="1041"/>
      <c r="DE443" s="1041"/>
      <c r="DF443" s="1041"/>
      <c r="DG443" s="1041"/>
      <c r="DH443" s="1041"/>
      <c r="DI443" s="1041"/>
      <c r="DJ443" s="1041"/>
      <c r="DK443" s="1041"/>
      <c r="DL443" s="1041"/>
      <c r="DM443" s="1041"/>
      <c r="DN443" s="1041"/>
      <c r="DO443" s="1041"/>
      <c r="DP443" s="1041"/>
      <c r="DQ443" s="1041"/>
      <c r="DR443" s="1041"/>
      <c r="DS443" s="1041"/>
      <c r="DT443" s="1041"/>
    </row>
    <row r="444" spans="1:124" s="1041" customFormat="1" ht="12.75" customHeight="1" x14ac:dyDescent="0.2">
      <c r="A444" s="3092"/>
      <c r="B444" s="334" t="s">
        <v>2</v>
      </c>
      <c r="C444" s="27"/>
      <c r="D444" s="1043">
        <f>SUM(D446:D446)</f>
        <v>7446030</v>
      </c>
      <c r="E444" s="1010">
        <f>SUM(E446:E446)</f>
        <v>901733</v>
      </c>
      <c r="F444" s="1010">
        <f>SUM(F446:F446)</f>
        <v>415162</v>
      </c>
      <c r="G444" s="1010">
        <f>SUM(G446:G446)</f>
        <v>444246</v>
      </c>
      <c r="H444" s="869">
        <f>+H445</f>
        <v>5684889</v>
      </c>
      <c r="I444" s="829">
        <f>+I445</f>
        <v>1755605</v>
      </c>
      <c r="J444" s="516">
        <f t="shared" si="266"/>
        <v>23.577732026328125</v>
      </c>
      <c r="K444" s="830">
        <f>SUM(K446:K446)</f>
        <v>438710</v>
      </c>
      <c r="L444" s="543">
        <f t="shared" ref="L444:L498" si="292">K444/G444*100</f>
        <v>98.753843591163459</v>
      </c>
      <c r="M444" s="1010">
        <f>+K444-G444</f>
        <v>-5536</v>
      </c>
      <c r="N444" s="3084"/>
    </row>
    <row r="445" spans="1:124" s="1041" customFormat="1" ht="13.5" customHeight="1" x14ac:dyDescent="0.2">
      <c r="A445" s="3092"/>
      <c r="B445" s="775" t="s">
        <v>17</v>
      </c>
      <c r="C445" s="3086" t="s">
        <v>38</v>
      </c>
      <c r="D445" s="1044">
        <f>+D446</f>
        <v>7446030</v>
      </c>
      <c r="E445" s="1045">
        <f>+E446</f>
        <v>901733</v>
      </c>
      <c r="F445" s="1045">
        <f>+F446</f>
        <v>415162</v>
      </c>
      <c r="G445" s="1045">
        <f>+G446</f>
        <v>444246</v>
      </c>
      <c r="H445" s="1046">
        <f>+H446</f>
        <v>5684889</v>
      </c>
      <c r="I445" s="1011">
        <f>+I446</f>
        <v>1755605</v>
      </c>
      <c r="J445" s="176">
        <f t="shared" si="266"/>
        <v>23.577732026328125</v>
      </c>
      <c r="K445" s="1047">
        <f>+K446</f>
        <v>438710</v>
      </c>
      <c r="L445" s="646">
        <f t="shared" si="292"/>
        <v>98.753843591163459</v>
      </c>
      <c r="M445" s="1017">
        <f>+K445-G445</f>
        <v>-5536</v>
      </c>
      <c r="N445" s="3084"/>
    </row>
    <row r="446" spans="1:124" s="1041" customFormat="1" ht="14.25" customHeight="1" thickBot="1" x14ac:dyDescent="0.25">
      <c r="A446" s="3093"/>
      <c r="B446" s="562" t="s">
        <v>4</v>
      </c>
      <c r="C446" s="3090"/>
      <c r="D446" s="1038">
        <f>+E446+F446+G446+H446</f>
        <v>7446030</v>
      </c>
      <c r="E446" s="1039">
        <v>901733</v>
      </c>
      <c r="F446" s="1039">
        <v>415162</v>
      </c>
      <c r="G446" s="1039">
        <v>444246</v>
      </c>
      <c r="H446" s="1048">
        <f>1746334+1968555+1970000</f>
        <v>5684889</v>
      </c>
      <c r="I446" s="500">
        <f>E446+F446+K446</f>
        <v>1755605</v>
      </c>
      <c r="J446" s="469">
        <f t="shared" si="266"/>
        <v>23.577732026328125</v>
      </c>
      <c r="K446" s="577">
        <v>438710</v>
      </c>
      <c r="L446" s="557">
        <f t="shared" si="292"/>
        <v>98.753843591163459</v>
      </c>
      <c r="M446" s="1022">
        <f>+K446-G446</f>
        <v>-5536</v>
      </c>
      <c r="N446" s="3089"/>
    </row>
    <row r="447" spans="1:124" ht="22.5" customHeight="1" x14ac:dyDescent="0.2">
      <c r="A447" s="3094" t="s">
        <v>41</v>
      </c>
      <c r="B447" s="998" t="s">
        <v>258</v>
      </c>
      <c r="C447" s="1030" t="s">
        <v>168</v>
      </c>
      <c r="D447" s="1000"/>
      <c r="E447" s="1001"/>
      <c r="F447" s="1001"/>
      <c r="G447" s="1001"/>
      <c r="H447" s="1003"/>
      <c r="I447" s="1000"/>
      <c r="J447" s="1001"/>
      <c r="K447" s="1001"/>
      <c r="L447" s="1004"/>
      <c r="M447" s="1004"/>
      <c r="N447" s="3097" t="s">
        <v>93</v>
      </c>
    </row>
    <row r="448" spans="1:124" x14ac:dyDescent="0.2">
      <c r="A448" s="3095"/>
      <c r="B448" s="566" t="s">
        <v>2</v>
      </c>
      <c r="C448" s="27"/>
      <c r="D448" s="829">
        <f>+D449</f>
        <v>45607289</v>
      </c>
      <c r="E448" s="830">
        <f t="shared" ref="E448:I449" si="293">+E449</f>
        <v>8900000</v>
      </c>
      <c r="F448" s="830">
        <f t="shared" si="293"/>
        <v>3301289</v>
      </c>
      <c r="G448" s="830">
        <f t="shared" si="293"/>
        <v>4200000</v>
      </c>
      <c r="H448" s="869">
        <f t="shared" si="293"/>
        <v>29206000</v>
      </c>
      <c r="I448" s="829">
        <f t="shared" si="293"/>
        <v>16401289</v>
      </c>
      <c r="J448" s="1008">
        <f t="shared" si="266"/>
        <v>35.961990637066812</v>
      </c>
      <c r="K448" s="830">
        <f>+K449</f>
        <v>4200000</v>
      </c>
      <c r="L448" s="1009">
        <f t="shared" si="292"/>
        <v>100</v>
      </c>
      <c r="M448" s="1010">
        <f>+K448-G448</f>
        <v>0</v>
      </c>
      <c r="N448" s="3098"/>
    </row>
    <row r="449" spans="1:14" x14ac:dyDescent="0.2">
      <c r="A449" s="3095"/>
      <c r="B449" s="569" t="s">
        <v>17</v>
      </c>
      <c r="C449" s="3086" t="s">
        <v>96</v>
      </c>
      <c r="D449" s="1011">
        <f>+D450</f>
        <v>45607289</v>
      </c>
      <c r="E449" s="1047">
        <f t="shared" si="293"/>
        <v>8900000</v>
      </c>
      <c r="F449" s="1012">
        <f t="shared" si="293"/>
        <v>3301289</v>
      </c>
      <c r="G449" s="1047">
        <f t="shared" si="293"/>
        <v>4200000</v>
      </c>
      <c r="H449" s="1049">
        <f t="shared" si="293"/>
        <v>29206000</v>
      </c>
      <c r="I449" s="1050">
        <f t="shared" si="293"/>
        <v>16401289</v>
      </c>
      <c r="J449" s="1015">
        <f t="shared" si="266"/>
        <v>35.961990637066812</v>
      </c>
      <c r="K449" s="1012">
        <f>+K450</f>
        <v>4200000</v>
      </c>
      <c r="L449" s="1016">
        <f t="shared" si="292"/>
        <v>100</v>
      </c>
      <c r="M449" s="1017">
        <f>+K449-G449</f>
        <v>0</v>
      </c>
      <c r="N449" s="3098"/>
    </row>
    <row r="450" spans="1:14" ht="13.5" thickBot="1" x14ac:dyDescent="0.25">
      <c r="A450" s="3096"/>
      <c r="B450" s="1051" t="s">
        <v>4</v>
      </c>
      <c r="C450" s="3100"/>
      <c r="D450" s="500">
        <f>+E450+F450+G450+H450</f>
        <v>45607289</v>
      </c>
      <c r="E450" s="502">
        <f>7100000+1800000</f>
        <v>8900000</v>
      </c>
      <c r="F450" s="1052">
        <v>3301289</v>
      </c>
      <c r="G450" s="1053">
        <v>4200000</v>
      </c>
      <c r="H450" s="1054">
        <f>5002000+5002000+5002000+5000000+5000000+4200000</f>
        <v>29206000</v>
      </c>
      <c r="I450" s="504">
        <f>E450+F450+K450</f>
        <v>16401289</v>
      </c>
      <c r="J450" s="465">
        <f>I450/D450*100</f>
        <v>35.961990637066812</v>
      </c>
      <c r="K450" s="1052">
        <v>4200000</v>
      </c>
      <c r="L450" s="466">
        <f t="shared" si="292"/>
        <v>100</v>
      </c>
      <c r="M450" s="1022">
        <f>+K450-G450</f>
        <v>0</v>
      </c>
      <c r="N450" s="3099"/>
    </row>
    <row r="451" spans="1:14" ht="24.75" customHeight="1" x14ac:dyDescent="0.2">
      <c r="A451" s="3080" t="s">
        <v>43</v>
      </c>
      <c r="B451" s="442" t="s">
        <v>278</v>
      </c>
      <c r="C451" s="1030" t="s">
        <v>168</v>
      </c>
      <c r="D451" s="444"/>
      <c r="E451" s="445"/>
      <c r="F451" s="445"/>
      <c r="G451" s="445"/>
      <c r="H451" s="446"/>
      <c r="I451" s="444"/>
      <c r="J451" s="1001"/>
      <c r="K451" s="445"/>
      <c r="L451" s="1004"/>
      <c r="M451" s="449"/>
      <c r="N451" s="3083" t="s">
        <v>95</v>
      </c>
    </row>
    <row r="452" spans="1:14" x14ac:dyDescent="0.2">
      <c r="A452" s="3081"/>
      <c r="B452" s="334" t="s">
        <v>2</v>
      </c>
      <c r="C452" s="27"/>
      <c r="D452" s="513">
        <f>+D453</f>
        <v>423765</v>
      </c>
      <c r="E452" s="514">
        <f t="shared" ref="E452:H453" si="294">+E453</f>
        <v>170789</v>
      </c>
      <c r="F452" s="514">
        <f t="shared" si="294"/>
        <v>237976</v>
      </c>
      <c r="G452" s="514">
        <f t="shared" si="294"/>
        <v>15000</v>
      </c>
      <c r="H452" s="568">
        <f t="shared" si="294"/>
        <v>0</v>
      </c>
      <c r="I452" s="1032">
        <f>+I453</f>
        <v>418535</v>
      </c>
      <c r="J452" s="516">
        <f t="shared" si="266"/>
        <v>98.76582539851097</v>
      </c>
      <c r="K452" s="514">
        <f>+K453</f>
        <v>9770</v>
      </c>
      <c r="L452" s="543">
        <f t="shared" si="292"/>
        <v>65.133333333333326</v>
      </c>
      <c r="M452" s="1010">
        <f>+K452-G452</f>
        <v>-5230</v>
      </c>
      <c r="N452" s="3084"/>
    </row>
    <row r="453" spans="1:14" ht="11.25" customHeight="1" x14ac:dyDescent="0.2">
      <c r="A453" s="3081"/>
      <c r="B453" s="454" t="s">
        <v>17</v>
      </c>
      <c r="C453" s="3086" t="s">
        <v>38</v>
      </c>
      <c r="D453" s="519">
        <f>+D454</f>
        <v>423765</v>
      </c>
      <c r="E453" s="520">
        <f t="shared" si="294"/>
        <v>170789</v>
      </c>
      <c r="F453" s="520">
        <f t="shared" si="294"/>
        <v>237976</v>
      </c>
      <c r="G453" s="520">
        <f t="shared" si="294"/>
        <v>15000</v>
      </c>
      <c r="H453" s="570">
        <f t="shared" si="294"/>
        <v>0</v>
      </c>
      <c r="I453" s="544">
        <f>+I454</f>
        <v>418535</v>
      </c>
      <c r="J453" s="176">
        <f t="shared" si="266"/>
        <v>98.76582539851097</v>
      </c>
      <c r="K453" s="520">
        <f>+K454</f>
        <v>9770</v>
      </c>
      <c r="L453" s="646">
        <f t="shared" si="292"/>
        <v>65.133333333333326</v>
      </c>
      <c r="M453" s="1017">
        <f>+K453-G453</f>
        <v>-5230</v>
      </c>
      <c r="N453" s="3084"/>
    </row>
    <row r="454" spans="1:14" ht="13.5" thickBot="1" x14ac:dyDescent="0.25">
      <c r="A454" s="3082"/>
      <c r="B454" s="460" t="s">
        <v>4</v>
      </c>
      <c r="C454" s="3106"/>
      <c r="D454" s="461">
        <f>+E454+F454+G454+H454</f>
        <v>423765</v>
      </c>
      <c r="E454" s="463">
        <v>170789</v>
      </c>
      <c r="F454" s="462">
        <v>237976</v>
      </c>
      <c r="G454" s="462">
        <v>15000</v>
      </c>
      <c r="H454" s="535">
        <v>0</v>
      </c>
      <c r="I454" s="1055">
        <f>E454+F454+K454</f>
        <v>418535</v>
      </c>
      <c r="J454" s="469">
        <f t="shared" si="266"/>
        <v>98.76582539851097</v>
      </c>
      <c r="K454" s="462">
        <v>9770</v>
      </c>
      <c r="L454" s="557">
        <f t="shared" si="292"/>
        <v>65.133333333333326</v>
      </c>
      <c r="M454" s="1022">
        <f>+K454-G454</f>
        <v>-5230</v>
      </c>
      <c r="N454" s="3089"/>
    </row>
    <row r="455" spans="1:14" ht="12.75" customHeight="1" thickBot="1" x14ac:dyDescent="0.25">
      <c r="A455" s="3103" t="s">
        <v>44</v>
      </c>
      <c r="B455" s="541" t="s">
        <v>98</v>
      </c>
      <c r="C455" s="1030" t="s">
        <v>168</v>
      </c>
      <c r="D455" s="444"/>
      <c r="E455" s="445"/>
      <c r="F455" s="445"/>
      <c r="G455" s="445"/>
      <c r="H455" s="446"/>
      <c r="I455" s="444"/>
      <c r="J455" s="1001"/>
      <c r="K455" s="445"/>
      <c r="L455" s="1004"/>
      <c r="M455" s="449"/>
      <c r="N455" s="3083" t="s">
        <v>95</v>
      </c>
    </row>
    <row r="456" spans="1:14" ht="12.75" customHeight="1" thickBot="1" x14ac:dyDescent="0.25">
      <c r="A456" s="3103"/>
      <c r="B456" s="334" t="s">
        <v>2</v>
      </c>
      <c r="C456" s="27"/>
      <c r="D456" s="513">
        <f t="shared" ref="D456:I456" si="295">+D457</f>
        <v>68671294</v>
      </c>
      <c r="E456" s="514">
        <f t="shared" si="295"/>
        <v>21442291</v>
      </c>
      <c r="F456" s="514">
        <f t="shared" si="295"/>
        <v>23316038</v>
      </c>
      <c r="G456" s="514">
        <f t="shared" si="295"/>
        <v>23912965</v>
      </c>
      <c r="H456" s="568">
        <f t="shared" si="295"/>
        <v>0</v>
      </c>
      <c r="I456" s="1032">
        <f t="shared" si="295"/>
        <v>68669372</v>
      </c>
      <c r="J456" s="516">
        <f t="shared" si="266"/>
        <v>99.997201159483026</v>
      </c>
      <c r="K456" s="514">
        <f>+K457</f>
        <v>23911043</v>
      </c>
      <c r="L456" s="674">
        <v>0</v>
      </c>
      <c r="M456" s="1010">
        <f t="shared" ref="M456:M462" si="296">+K456-G456</f>
        <v>-1922</v>
      </c>
      <c r="N456" s="3084"/>
    </row>
    <row r="457" spans="1:14" ht="12.75" customHeight="1" thickBot="1" x14ac:dyDescent="0.25">
      <c r="A457" s="3103"/>
      <c r="B457" s="454" t="s">
        <v>17</v>
      </c>
      <c r="C457" s="3086" t="s">
        <v>38</v>
      </c>
      <c r="D457" s="519">
        <f>+D458+D459</f>
        <v>68671294</v>
      </c>
      <c r="E457" s="520">
        <f>+E458+E459</f>
        <v>21442291</v>
      </c>
      <c r="F457" s="520">
        <f>+F458+F459</f>
        <v>23316038</v>
      </c>
      <c r="G457" s="520">
        <f>++G458+G459</f>
        <v>23912965</v>
      </c>
      <c r="H457" s="570">
        <f>++H458+H459</f>
        <v>0</v>
      </c>
      <c r="I457" s="544">
        <f>+I458+I459</f>
        <v>68669372</v>
      </c>
      <c r="J457" s="176">
        <f t="shared" si="266"/>
        <v>99.997201159483026</v>
      </c>
      <c r="K457" s="520">
        <f>+K458+K459</f>
        <v>23911043</v>
      </c>
      <c r="L457" s="676">
        <v>0</v>
      </c>
      <c r="M457" s="1017">
        <f t="shared" si="296"/>
        <v>-1922</v>
      </c>
      <c r="N457" s="3084"/>
    </row>
    <row r="458" spans="1:14" ht="12.75" customHeight="1" thickBot="1" x14ac:dyDescent="0.25">
      <c r="A458" s="3103"/>
      <c r="B458" s="460" t="s">
        <v>4</v>
      </c>
      <c r="C458" s="3087"/>
      <c r="D458" s="461">
        <f>+E458+F458+G458+H458</f>
        <v>65151294</v>
      </c>
      <c r="E458" s="463">
        <v>21442291</v>
      </c>
      <c r="F458" s="462">
        <v>22746038</v>
      </c>
      <c r="G458" s="462">
        <v>20962965</v>
      </c>
      <c r="H458" s="468">
        <v>0</v>
      </c>
      <c r="I458" s="1055">
        <f>E458+F458+K458</f>
        <v>65149372</v>
      </c>
      <c r="J458" s="469">
        <f t="shared" si="266"/>
        <v>99.99704994347465</v>
      </c>
      <c r="K458" s="462">
        <v>20961043</v>
      </c>
      <c r="L458" s="471">
        <v>0</v>
      </c>
      <c r="M458" s="1022">
        <f t="shared" si="296"/>
        <v>-1922</v>
      </c>
      <c r="N458" s="3084"/>
    </row>
    <row r="459" spans="1:14" ht="12.75" customHeight="1" thickBot="1" x14ac:dyDescent="0.25">
      <c r="A459" s="3103"/>
      <c r="B459" s="460" t="s">
        <v>56</v>
      </c>
      <c r="C459" s="3087"/>
      <c r="D459" s="461">
        <f>+E459+F459+G459+H459</f>
        <v>3520000</v>
      </c>
      <c r="E459" s="463">
        <v>0</v>
      </c>
      <c r="F459" s="462">
        <v>570000</v>
      </c>
      <c r="G459" s="462">
        <v>2950000</v>
      </c>
      <c r="H459" s="468">
        <v>0</v>
      </c>
      <c r="I459" s="1055">
        <f>+K459+F459+E459</f>
        <v>3520000</v>
      </c>
      <c r="J459" s="469">
        <f t="shared" si="266"/>
        <v>100</v>
      </c>
      <c r="K459" s="462">
        <v>2950000</v>
      </c>
      <c r="L459" s="471">
        <v>0</v>
      </c>
      <c r="M459" s="1022">
        <f t="shared" si="296"/>
        <v>0</v>
      </c>
      <c r="N459" s="3085"/>
    </row>
    <row r="460" spans="1:14" s="511" customFormat="1" ht="12.75" customHeight="1" thickBot="1" x14ac:dyDescent="0.25">
      <c r="A460" s="3107"/>
      <c r="B460" s="334" t="s">
        <v>16</v>
      </c>
      <c r="C460" s="27"/>
      <c r="D460" s="451">
        <f t="shared" ref="D460:K460" si="297">+D461</f>
        <v>3520000</v>
      </c>
      <c r="E460" s="416">
        <f t="shared" si="297"/>
        <v>0</v>
      </c>
      <c r="F460" s="1056">
        <f t="shared" si="297"/>
        <v>570000</v>
      </c>
      <c r="G460" s="1056">
        <f t="shared" si="297"/>
        <v>2950000</v>
      </c>
      <c r="H460" s="484">
        <f t="shared" si="297"/>
        <v>0</v>
      </c>
      <c r="I460" s="451">
        <f t="shared" si="297"/>
        <v>3520000</v>
      </c>
      <c r="J460" s="516">
        <f t="shared" si="266"/>
        <v>100</v>
      </c>
      <c r="K460" s="1056">
        <f t="shared" si="297"/>
        <v>2950000</v>
      </c>
      <c r="L460" s="674">
        <v>0</v>
      </c>
      <c r="M460" s="1010">
        <f t="shared" si="296"/>
        <v>0</v>
      </c>
      <c r="N460" s="3101" t="s">
        <v>88</v>
      </c>
    </row>
    <row r="461" spans="1:14" ht="12.75" customHeight="1" thickBot="1" x14ac:dyDescent="0.25">
      <c r="A461" s="3107"/>
      <c r="B461" s="775" t="s">
        <v>17</v>
      </c>
      <c r="C461" s="3108" t="s">
        <v>38</v>
      </c>
      <c r="D461" s="544">
        <f t="shared" ref="D461:H461" si="298">+D462</f>
        <v>3520000</v>
      </c>
      <c r="E461" s="520">
        <f t="shared" si="298"/>
        <v>0</v>
      </c>
      <c r="F461" s="520">
        <f t="shared" si="298"/>
        <v>570000</v>
      </c>
      <c r="G461" s="520">
        <f t="shared" si="298"/>
        <v>2950000</v>
      </c>
      <c r="H461" s="570">
        <f t="shared" si="298"/>
        <v>0</v>
      </c>
      <c r="I461" s="544">
        <f>+K461+F461+E461</f>
        <v>3520000</v>
      </c>
      <c r="J461" s="176">
        <f t="shared" si="266"/>
        <v>100</v>
      </c>
      <c r="K461" s="520">
        <f>+K462</f>
        <v>2950000</v>
      </c>
      <c r="L461" s="676">
        <v>0</v>
      </c>
      <c r="M461" s="1017">
        <f t="shared" si="296"/>
        <v>0</v>
      </c>
      <c r="N461" s="3102"/>
    </row>
    <row r="462" spans="1:14" ht="12.75" customHeight="1" thickBot="1" x14ac:dyDescent="0.25">
      <c r="A462" s="3107"/>
      <c r="B462" s="562" t="s">
        <v>56</v>
      </c>
      <c r="C462" s="3102"/>
      <c r="D462" s="500">
        <f>+E462+F462+G462+H462</f>
        <v>3520000</v>
      </c>
      <c r="E462" s="502">
        <v>0</v>
      </c>
      <c r="F462" s="501">
        <v>570000</v>
      </c>
      <c r="G462" s="501">
        <v>2950000</v>
      </c>
      <c r="H462" s="548">
        <v>0</v>
      </c>
      <c r="I462" s="1038">
        <f>+K462+F462+E462</f>
        <v>3520000</v>
      </c>
      <c r="J462" s="539">
        <f t="shared" si="266"/>
        <v>100</v>
      </c>
      <c r="K462" s="501">
        <v>2950000</v>
      </c>
      <c r="L462" s="540">
        <v>0</v>
      </c>
      <c r="M462" s="1052">
        <f t="shared" si="296"/>
        <v>0</v>
      </c>
      <c r="N462" s="3102"/>
    </row>
    <row r="463" spans="1:14" ht="26.25" thickBot="1" x14ac:dyDescent="0.25">
      <c r="A463" s="3103" t="s">
        <v>45</v>
      </c>
      <c r="B463" s="541" t="s">
        <v>99</v>
      </c>
      <c r="C463" s="1030" t="s">
        <v>168</v>
      </c>
      <c r="D463" s="444"/>
      <c r="E463" s="445"/>
      <c r="F463" s="445"/>
      <c r="G463" s="445"/>
      <c r="H463" s="446"/>
      <c r="I463" s="444"/>
      <c r="J463" s="445"/>
      <c r="K463" s="445"/>
      <c r="L463" s="449"/>
      <c r="M463" s="445"/>
      <c r="N463" s="3104" t="s">
        <v>95</v>
      </c>
    </row>
    <row r="464" spans="1:14" ht="13.5" thickBot="1" x14ac:dyDescent="0.25">
      <c r="A464" s="3103"/>
      <c r="B464" s="334" t="s">
        <v>2</v>
      </c>
      <c r="C464" s="27"/>
      <c r="D464" s="513">
        <f t="shared" ref="D464:I465" si="299">+D465</f>
        <v>1743306</v>
      </c>
      <c r="E464" s="514">
        <f t="shared" si="299"/>
        <v>0</v>
      </c>
      <c r="F464" s="514">
        <f t="shared" si="299"/>
        <v>354120</v>
      </c>
      <c r="G464" s="514">
        <f t="shared" si="299"/>
        <v>1389186</v>
      </c>
      <c r="H464" s="589">
        <f t="shared" si="299"/>
        <v>0</v>
      </c>
      <c r="I464" s="1032">
        <f t="shared" si="299"/>
        <v>354120</v>
      </c>
      <c r="J464" s="516">
        <f t="shared" si="266"/>
        <v>20.31312919246535</v>
      </c>
      <c r="K464" s="514">
        <f>+K465</f>
        <v>0</v>
      </c>
      <c r="L464" s="543">
        <f t="shared" si="292"/>
        <v>0</v>
      </c>
      <c r="M464" s="1010">
        <f>+K464-G464</f>
        <v>-1389186</v>
      </c>
      <c r="N464" s="3105"/>
    </row>
    <row r="465" spans="1:14" ht="13.5" thickBot="1" x14ac:dyDescent="0.25">
      <c r="A465" s="3103"/>
      <c r="B465" s="454" t="s">
        <v>17</v>
      </c>
      <c r="C465" s="3086" t="s">
        <v>38</v>
      </c>
      <c r="D465" s="519">
        <f>+D466</f>
        <v>1743306</v>
      </c>
      <c r="E465" s="520">
        <f>+E466</f>
        <v>0</v>
      </c>
      <c r="F465" s="520">
        <f t="shared" si="299"/>
        <v>354120</v>
      </c>
      <c r="G465" s="520">
        <f t="shared" si="299"/>
        <v>1389186</v>
      </c>
      <c r="H465" s="590">
        <f t="shared" si="299"/>
        <v>0</v>
      </c>
      <c r="I465" s="544">
        <f>+I466</f>
        <v>354120</v>
      </c>
      <c r="J465" s="176">
        <f t="shared" si="266"/>
        <v>20.31312919246535</v>
      </c>
      <c r="K465" s="520">
        <f>+K466</f>
        <v>0</v>
      </c>
      <c r="L465" s="646">
        <f t="shared" si="292"/>
        <v>0</v>
      </c>
      <c r="M465" s="1017">
        <f>+K465-G465</f>
        <v>-1389186</v>
      </c>
      <c r="N465" s="3105"/>
    </row>
    <row r="466" spans="1:14" ht="13.5" customHeight="1" thickBot="1" x14ac:dyDescent="0.25">
      <c r="A466" s="3103"/>
      <c r="B466" s="460" t="s">
        <v>4</v>
      </c>
      <c r="C466" s="3087"/>
      <c r="D466" s="461">
        <f>+E466+F466+G466+H466</f>
        <v>1743306</v>
      </c>
      <c r="E466" s="463">
        <v>0</v>
      </c>
      <c r="F466" s="462">
        <v>354120</v>
      </c>
      <c r="G466" s="462">
        <v>1389186</v>
      </c>
      <c r="H466" s="591">
        <v>0</v>
      </c>
      <c r="I466" s="1055">
        <f>E466+F466+K466</f>
        <v>354120</v>
      </c>
      <c r="J466" s="469">
        <f t="shared" si="266"/>
        <v>20.31312919246535</v>
      </c>
      <c r="K466" s="462">
        <v>0</v>
      </c>
      <c r="L466" s="557">
        <f t="shared" si="292"/>
        <v>0</v>
      </c>
      <c r="M466" s="1022">
        <f>+K466-G466</f>
        <v>-1389186</v>
      </c>
      <c r="N466" s="3105"/>
    </row>
    <row r="467" spans="1:14" ht="26.25" customHeight="1" x14ac:dyDescent="0.2">
      <c r="A467" s="3080" t="s">
        <v>46</v>
      </c>
      <c r="B467" s="442" t="s">
        <v>259</v>
      </c>
      <c r="C467" s="1030" t="s">
        <v>168</v>
      </c>
      <c r="D467" s="1000"/>
      <c r="E467" s="1001"/>
      <c r="F467" s="1001"/>
      <c r="G467" s="1001"/>
      <c r="H467" s="1003"/>
      <c r="I467" s="1000"/>
      <c r="J467" s="1001"/>
      <c r="K467" s="1001"/>
      <c r="L467" s="1004"/>
      <c r="M467" s="1004"/>
      <c r="N467" s="3083" t="s">
        <v>95</v>
      </c>
    </row>
    <row r="468" spans="1:14" x14ac:dyDescent="0.2">
      <c r="A468" s="3081"/>
      <c r="B468" s="566" t="s">
        <v>2</v>
      </c>
      <c r="C468" s="27"/>
      <c r="D468" s="1057">
        <f t="shared" ref="D468:H469" si="300">+D469</f>
        <v>604278</v>
      </c>
      <c r="E468" s="1058">
        <f t="shared" si="300"/>
        <v>231400</v>
      </c>
      <c r="F468" s="1058">
        <f t="shared" si="300"/>
        <v>22878</v>
      </c>
      <c r="G468" s="1058">
        <f t="shared" si="300"/>
        <v>137917</v>
      </c>
      <c r="H468" s="1058">
        <f t="shared" si="300"/>
        <v>212083</v>
      </c>
      <c r="I468" s="1057">
        <f>+I469</f>
        <v>387471</v>
      </c>
      <c r="J468" s="1008">
        <f t="shared" ref="J468:J498" si="301">I468/D468*100</f>
        <v>64.121315023879731</v>
      </c>
      <c r="K468" s="514">
        <f>+K469</f>
        <v>133193</v>
      </c>
      <c r="L468" s="1009">
        <f t="shared" si="292"/>
        <v>96.574751480963187</v>
      </c>
      <c r="M468" s="1010">
        <f t="shared" ref="M468:M474" si="302">+K468-G468</f>
        <v>-4724</v>
      </c>
      <c r="N468" s="3084"/>
    </row>
    <row r="469" spans="1:14" x14ac:dyDescent="0.2">
      <c r="A469" s="3081"/>
      <c r="B469" s="569" t="s">
        <v>17</v>
      </c>
      <c r="C469" s="3086" t="s">
        <v>38</v>
      </c>
      <c r="D469" s="1050">
        <f>+D470+D471</f>
        <v>604278</v>
      </c>
      <c r="E469" s="1012">
        <f t="shared" si="300"/>
        <v>231400</v>
      </c>
      <c r="F469" s="1012">
        <f>+F470+F471</f>
        <v>22878</v>
      </c>
      <c r="G469" s="1012">
        <f t="shared" si="300"/>
        <v>137917</v>
      </c>
      <c r="H469" s="1012">
        <f t="shared" si="300"/>
        <v>212083</v>
      </c>
      <c r="I469" s="1050">
        <f>+I470+I471</f>
        <v>387471</v>
      </c>
      <c r="J469" s="1015">
        <f t="shared" si="301"/>
        <v>64.121315023879731</v>
      </c>
      <c r="K469" s="520">
        <f>+K470+K471</f>
        <v>133193</v>
      </c>
      <c r="L469" s="1016">
        <f t="shared" si="292"/>
        <v>96.574751480963187</v>
      </c>
      <c r="M469" s="1017">
        <f t="shared" si="302"/>
        <v>-4724</v>
      </c>
      <c r="N469" s="3084"/>
    </row>
    <row r="470" spans="1:14" x14ac:dyDescent="0.2">
      <c r="A470" s="3081"/>
      <c r="B470" s="460" t="s">
        <v>4</v>
      </c>
      <c r="C470" s="3087"/>
      <c r="D470" s="461">
        <f>+E470+F470+G470+H470</f>
        <v>581400</v>
      </c>
      <c r="E470" s="463">
        <f>228400+3000</f>
        <v>231400</v>
      </c>
      <c r="F470" s="463">
        <v>0</v>
      </c>
      <c r="G470" s="463">
        <v>137917</v>
      </c>
      <c r="H470" s="463">
        <v>212083</v>
      </c>
      <c r="I470" s="464">
        <f>E470+F470+K470</f>
        <v>330468</v>
      </c>
      <c r="J470" s="465">
        <f t="shared" si="301"/>
        <v>56.840041279669762</v>
      </c>
      <c r="K470" s="462">
        <v>99068</v>
      </c>
      <c r="L470" s="466">
        <f t="shared" si="292"/>
        <v>71.831608866202131</v>
      </c>
      <c r="M470" s="1022">
        <f t="shared" si="302"/>
        <v>-38849</v>
      </c>
      <c r="N470" s="3084"/>
    </row>
    <row r="471" spans="1:14" x14ac:dyDescent="0.2">
      <c r="A471" s="3081"/>
      <c r="B471" s="460" t="s">
        <v>56</v>
      </c>
      <c r="C471" s="3087"/>
      <c r="D471" s="461">
        <f>+E471+F471+G471+H471</f>
        <v>22878</v>
      </c>
      <c r="E471" s="463"/>
      <c r="F471" s="463">
        <v>22878</v>
      </c>
      <c r="G471" s="463">
        <v>0</v>
      </c>
      <c r="H471" s="468">
        <v>0</v>
      </c>
      <c r="I471" s="464">
        <f>+K471+F471+E471</f>
        <v>57003</v>
      </c>
      <c r="J471" s="465">
        <f t="shared" si="301"/>
        <v>249.1607658012064</v>
      </c>
      <c r="K471" s="462">
        <v>34125</v>
      </c>
      <c r="L471" s="483">
        <v>0</v>
      </c>
      <c r="M471" s="1022">
        <f t="shared" si="302"/>
        <v>34125</v>
      </c>
      <c r="N471" s="3085"/>
    </row>
    <row r="472" spans="1:14" x14ac:dyDescent="0.2">
      <c r="A472" s="3081"/>
      <c r="B472" s="566" t="s">
        <v>16</v>
      </c>
      <c r="C472" s="27"/>
      <c r="D472" s="758">
        <f t="shared" ref="D472:K473" si="303">+D473</f>
        <v>22878</v>
      </c>
      <c r="E472" s="593">
        <f t="shared" si="303"/>
        <v>0</v>
      </c>
      <c r="F472" s="1058">
        <f t="shared" si="303"/>
        <v>22878</v>
      </c>
      <c r="G472" s="593">
        <f t="shared" si="303"/>
        <v>0</v>
      </c>
      <c r="H472" s="484">
        <f t="shared" si="303"/>
        <v>0</v>
      </c>
      <c r="I472" s="1057">
        <f t="shared" si="303"/>
        <v>57003</v>
      </c>
      <c r="J472" s="516">
        <f t="shared" si="301"/>
        <v>249.1607658012064</v>
      </c>
      <c r="K472" s="514">
        <f t="shared" si="303"/>
        <v>34125</v>
      </c>
      <c r="L472" s="674">
        <v>0</v>
      </c>
      <c r="M472" s="1010">
        <f t="shared" si="302"/>
        <v>34125</v>
      </c>
      <c r="N472" s="3088" t="s">
        <v>88</v>
      </c>
    </row>
    <row r="473" spans="1:14" x14ac:dyDescent="0.2">
      <c r="A473" s="3081"/>
      <c r="B473" s="1059" t="s">
        <v>17</v>
      </c>
      <c r="C473" s="3086" t="s">
        <v>38</v>
      </c>
      <c r="D473" s="1050">
        <f t="shared" si="303"/>
        <v>22878</v>
      </c>
      <c r="E473" s="607">
        <f t="shared" si="303"/>
        <v>0</v>
      </c>
      <c r="F473" s="1012">
        <f t="shared" si="303"/>
        <v>22878</v>
      </c>
      <c r="G473" s="607">
        <f t="shared" si="303"/>
        <v>0</v>
      </c>
      <c r="H473" s="570">
        <f t="shared" si="303"/>
        <v>0</v>
      </c>
      <c r="I473" s="1050">
        <f t="shared" si="303"/>
        <v>57003</v>
      </c>
      <c r="J473" s="176">
        <f t="shared" si="301"/>
        <v>249.1607658012064</v>
      </c>
      <c r="K473" s="520">
        <f t="shared" si="303"/>
        <v>34125</v>
      </c>
      <c r="L473" s="676">
        <v>0</v>
      </c>
      <c r="M473" s="1017">
        <f t="shared" si="302"/>
        <v>34125</v>
      </c>
      <c r="N473" s="3084"/>
    </row>
    <row r="474" spans="1:14" ht="13.5" thickBot="1" x14ac:dyDescent="0.25">
      <c r="A474" s="3082"/>
      <c r="B474" s="562" t="s">
        <v>56</v>
      </c>
      <c r="C474" s="3090"/>
      <c r="D474" s="500">
        <f>+E474+F474+G474+H474</f>
        <v>22878</v>
      </c>
      <c r="E474" s="526">
        <v>0</v>
      </c>
      <c r="F474" s="502">
        <v>22878</v>
      </c>
      <c r="G474" s="526">
        <v>0</v>
      </c>
      <c r="H474" s="548">
        <v>0</v>
      </c>
      <c r="I474" s="504">
        <f>+K474+F474+E474</f>
        <v>57003</v>
      </c>
      <c r="J474" s="469">
        <f t="shared" si="301"/>
        <v>249.1607658012064</v>
      </c>
      <c r="K474" s="462">
        <v>34125</v>
      </c>
      <c r="L474" s="471">
        <v>0</v>
      </c>
      <c r="M474" s="1022">
        <f t="shared" si="302"/>
        <v>34125</v>
      </c>
      <c r="N474" s="3089"/>
    </row>
    <row r="475" spans="1:14" ht="30.75" customHeight="1" x14ac:dyDescent="0.2">
      <c r="A475" s="3080" t="s">
        <v>48</v>
      </c>
      <c r="B475" s="541" t="s">
        <v>229</v>
      </c>
      <c r="C475" s="443" t="s">
        <v>173</v>
      </c>
      <c r="D475" s="444"/>
      <c r="E475" s="445"/>
      <c r="F475" s="445"/>
      <c r="G475" s="445"/>
      <c r="H475" s="446"/>
      <c r="I475" s="444"/>
      <c r="J475" s="445"/>
      <c r="K475" s="445"/>
      <c r="L475" s="449"/>
      <c r="M475" s="449"/>
      <c r="N475" s="3083" t="s">
        <v>88</v>
      </c>
    </row>
    <row r="476" spans="1:14" x14ac:dyDescent="0.2">
      <c r="A476" s="3081"/>
      <c r="B476" s="334" t="s">
        <v>2</v>
      </c>
      <c r="C476" s="27"/>
      <c r="D476" s="513">
        <f>+D477</f>
        <v>13420818</v>
      </c>
      <c r="E476" s="514">
        <f t="shared" ref="E476:H477" si="304">+E477</f>
        <v>951324</v>
      </c>
      <c r="F476" s="514">
        <f t="shared" si="304"/>
        <v>919494</v>
      </c>
      <c r="G476" s="514">
        <f t="shared" si="304"/>
        <v>950000</v>
      </c>
      <c r="H476" s="589">
        <f t="shared" si="304"/>
        <v>10600000</v>
      </c>
      <c r="I476" s="1060">
        <f>+I477</f>
        <v>2796490</v>
      </c>
      <c r="J476" s="1008">
        <f t="shared" si="301"/>
        <v>20.836956435889377</v>
      </c>
      <c r="K476" s="759">
        <f>+K477</f>
        <v>925672</v>
      </c>
      <c r="L476" s="1009">
        <f t="shared" si="292"/>
        <v>97.439157894736837</v>
      </c>
      <c r="M476" s="1010">
        <f>+K476-G476</f>
        <v>-24328</v>
      </c>
      <c r="N476" s="3084"/>
    </row>
    <row r="477" spans="1:14" ht="11.25" customHeight="1" x14ac:dyDescent="0.2">
      <c r="A477" s="3081"/>
      <c r="B477" s="454" t="s">
        <v>17</v>
      </c>
      <c r="C477" s="3086" t="s">
        <v>33</v>
      </c>
      <c r="D477" s="519">
        <f>+D478</f>
        <v>13420818</v>
      </c>
      <c r="E477" s="520">
        <f t="shared" si="304"/>
        <v>951324</v>
      </c>
      <c r="F477" s="520">
        <f t="shared" si="304"/>
        <v>919494</v>
      </c>
      <c r="G477" s="520">
        <f t="shared" si="304"/>
        <v>950000</v>
      </c>
      <c r="H477" s="590">
        <f t="shared" si="304"/>
        <v>10600000</v>
      </c>
      <c r="I477" s="1061">
        <f>+I478</f>
        <v>2796490</v>
      </c>
      <c r="J477" s="1015">
        <f t="shared" si="301"/>
        <v>20.836956435889377</v>
      </c>
      <c r="K477" s="916">
        <f>+K478</f>
        <v>925672</v>
      </c>
      <c r="L477" s="1016">
        <f t="shared" si="292"/>
        <v>97.439157894736837</v>
      </c>
      <c r="M477" s="1017">
        <f>+K477-G477</f>
        <v>-24328</v>
      </c>
      <c r="N477" s="3084"/>
    </row>
    <row r="478" spans="1:14" ht="13.5" thickBot="1" x14ac:dyDescent="0.25">
      <c r="A478" s="3082"/>
      <c r="B478" s="562" t="s">
        <v>4</v>
      </c>
      <c r="C478" s="3260"/>
      <c r="D478" s="500">
        <f>+E478+F478+G478+H478</f>
        <v>13420818</v>
      </c>
      <c r="E478" s="502">
        <f>969812-18488</f>
        <v>951324</v>
      </c>
      <c r="F478" s="501">
        <v>919494</v>
      </c>
      <c r="G478" s="502">
        <v>950000</v>
      </c>
      <c r="H478" s="1062">
        <f>2900000+3850000+3850000</f>
        <v>10600000</v>
      </c>
      <c r="I478" s="1063">
        <f>E478+F478+K478</f>
        <v>2796490</v>
      </c>
      <c r="J478" s="505">
        <f t="shared" si="301"/>
        <v>20.836956435889377</v>
      </c>
      <c r="K478" s="502">
        <v>925672</v>
      </c>
      <c r="L478" s="635">
        <f t="shared" si="292"/>
        <v>97.439157894736837</v>
      </c>
      <c r="M478" s="1022">
        <f>+K478-G478</f>
        <v>-24328</v>
      </c>
      <c r="N478" s="3089"/>
    </row>
    <row r="479" spans="1:14" ht="27" customHeight="1" x14ac:dyDescent="0.2">
      <c r="A479" s="3091" t="s">
        <v>50</v>
      </c>
      <c r="B479" s="442" t="s">
        <v>230</v>
      </c>
      <c r="C479" s="443" t="s">
        <v>173</v>
      </c>
      <c r="D479" s="444"/>
      <c r="E479" s="445"/>
      <c r="F479" s="445"/>
      <c r="G479" s="445"/>
      <c r="H479" s="446"/>
      <c r="I479" s="444"/>
      <c r="J479" s="445"/>
      <c r="K479" s="445"/>
      <c r="L479" s="449"/>
      <c r="M479" s="449"/>
      <c r="N479" s="3083" t="s">
        <v>88</v>
      </c>
    </row>
    <row r="480" spans="1:14" x14ac:dyDescent="0.2">
      <c r="A480" s="3092"/>
      <c r="B480" s="334" t="s">
        <v>2</v>
      </c>
      <c r="C480" s="27"/>
      <c r="D480" s="513">
        <f>+D481</f>
        <v>308920000</v>
      </c>
      <c r="E480" s="760">
        <f t="shared" ref="E480:H481" si="305">+E481</f>
        <v>0</v>
      </c>
      <c r="F480" s="760">
        <f t="shared" si="305"/>
        <v>0</v>
      </c>
      <c r="G480" s="759">
        <f t="shared" si="305"/>
        <v>77920000</v>
      </c>
      <c r="H480" s="1064">
        <f t="shared" si="305"/>
        <v>231000000</v>
      </c>
      <c r="I480" s="1060">
        <f>+I481</f>
        <v>77246948</v>
      </c>
      <c r="J480" s="1008">
        <f t="shared" si="301"/>
        <v>25.00548621002201</v>
      </c>
      <c r="K480" s="759">
        <f>+K481</f>
        <v>77246948</v>
      </c>
      <c r="L480" s="1009">
        <f t="shared" si="292"/>
        <v>99.136226899383985</v>
      </c>
      <c r="M480" s="1010">
        <f t="shared" ref="M480:M486" si="306">+K480-G480</f>
        <v>-673052</v>
      </c>
      <c r="N480" s="3084"/>
    </row>
    <row r="481" spans="1:14" x14ac:dyDescent="0.2">
      <c r="A481" s="3092"/>
      <c r="B481" s="454" t="s">
        <v>17</v>
      </c>
      <c r="C481" s="3140" t="s">
        <v>33</v>
      </c>
      <c r="D481" s="519">
        <f>+D482+D483</f>
        <v>308920000</v>
      </c>
      <c r="E481" s="917">
        <f t="shared" si="305"/>
        <v>0</v>
      </c>
      <c r="F481" s="917">
        <f t="shared" si="305"/>
        <v>0</v>
      </c>
      <c r="G481" s="916">
        <f>+G482+G483</f>
        <v>77920000</v>
      </c>
      <c r="H481" s="1065">
        <f>+H482+H483</f>
        <v>231000000</v>
      </c>
      <c r="I481" s="916">
        <f>+I482+I483</f>
        <v>77246948</v>
      </c>
      <c r="J481" s="1015">
        <f t="shared" si="301"/>
        <v>25.00548621002201</v>
      </c>
      <c r="K481" s="916">
        <f>+K482+K483</f>
        <v>77246948</v>
      </c>
      <c r="L481" s="1016">
        <f t="shared" si="292"/>
        <v>99.136226899383985</v>
      </c>
      <c r="M481" s="1017">
        <f t="shared" si="306"/>
        <v>-673052</v>
      </c>
      <c r="N481" s="3084"/>
    </row>
    <row r="482" spans="1:14" x14ac:dyDescent="0.2">
      <c r="A482" s="3092"/>
      <c r="B482" s="460" t="s">
        <v>4</v>
      </c>
      <c r="C482" s="3141"/>
      <c r="D482" s="461">
        <f>+E482+F482+G482+H482</f>
        <v>308700000</v>
      </c>
      <c r="E482" s="470">
        <v>0</v>
      </c>
      <c r="F482" s="470">
        <v>0</v>
      </c>
      <c r="G482" s="463">
        <v>77700000</v>
      </c>
      <c r="H482" s="1066">
        <f>77000000+77000000+77000000</f>
        <v>231000000</v>
      </c>
      <c r="I482" s="1067">
        <f>E482+F482+K482</f>
        <v>77041321</v>
      </c>
      <c r="J482" s="465">
        <f t="shared" si="301"/>
        <v>24.956696145124717</v>
      </c>
      <c r="K482" s="463">
        <v>77041321</v>
      </c>
      <c r="L482" s="466">
        <f t="shared" si="292"/>
        <v>99.15227927927927</v>
      </c>
      <c r="M482" s="1022">
        <f t="shared" si="306"/>
        <v>-658679</v>
      </c>
      <c r="N482" s="3084"/>
    </row>
    <row r="483" spans="1:14" x14ac:dyDescent="0.2">
      <c r="A483" s="3092"/>
      <c r="B483" s="1068" t="s">
        <v>56</v>
      </c>
      <c r="C483" s="3142"/>
      <c r="D483" s="529">
        <f>+E483+F483+G483+H483</f>
        <v>220000</v>
      </c>
      <c r="E483" s="1069"/>
      <c r="F483" s="1069"/>
      <c r="G483" s="1069">
        <v>220000</v>
      </c>
      <c r="H483" s="1070">
        <v>0</v>
      </c>
      <c r="I483" s="1071">
        <f>+K483+F483+E483</f>
        <v>205627</v>
      </c>
      <c r="J483" s="465">
        <f t="shared" si="301"/>
        <v>93.466818181818184</v>
      </c>
      <c r="K483" s="463">
        <v>205627</v>
      </c>
      <c r="L483" s="466">
        <f t="shared" si="292"/>
        <v>93.466818181818184</v>
      </c>
      <c r="M483" s="1022">
        <f t="shared" si="306"/>
        <v>-14373</v>
      </c>
      <c r="N483" s="3084"/>
    </row>
    <row r="484" spans="1:14" x14ac:dyDescent="0.2">
      <c r="A484" s="3092"/>
      <c r="B484" s="566" t="s">
        <v>16</v>
      </c>
      <c r="C484" s="27"/>
      <c r="D484" s="758">
        <f t="shared" ref="D484:K485" si="307">+D485</f>
        <v>220000</v>
      </c>
      <c r="E484" s="593">
        <f t="shared" si="307"/>
        <v>0</v>
      </c>
      <c r="F484" s="1058">
        <f t="shared" si="307"/>
        <v>0</v>
      </c>
      <c r="G484" s="759">
        <f t="shared" si="307"/>
        <v>220000</v>
      </c>
      <c r="H484" s="484">
        <f t="shared" si="307"/>
        <v>0</v>
      </c>
      <c r="I484" s="1057">
        <f t="shared" si="307"/>
        <v>205627</v>
      </c>
      <c r="J484" s="543">
        <f t="shared" si="301"/>
        <v>93.466818181818184</v>
      </c>
      <c r="K484" s="759">
        <f t="shared" si="307"/>
        <v>205627</v>
      </c>
      <c r="L484" s="543">
        <f t="shared" si="292"/>
        <v>93.466818181818184</v>
      </c>
      <c r="M484" s="1010">
        <f t="shared" si="306"/>
        <v>-14373</v>
      </c>
      <c r="N484" s="3084"/>
    </row>
    <row r="485" spans="1:14" x14ac:dyDescent="0.2">
      <c r="A485" s="3092"/>
      <c r="B485" s="1059" t="s">
        <v>17</v>
      </c>
      <c r="C485" s="3086" t="s">
        <v>38</v>
      </c>
      <c r="D485" s="1050">
        <f t="shared" si="307"/>
        <v>220000</v>
      </c>
      <c r="E485" s="607">
        <f t="shared" si="307"/>
        <v>0</v>
      </c>
      <c r="F485" s="1012">
        <f t="shared" si="307"/>
        <v>0</v>
      </c>
      <c r="G485" s="916">
        <f t="shared" si="307"/>
        <v>220000</v>
      </c>
      <c r="H485" s="570">
        <f t="shared" si="307"/>
        <v>0</v>
      </c>
      <c r="I485" s="1050">
        <f t="shared" si="307"/>
        <v>205627</v>
      </c>
      <c r="J485" s="646">
        <f t="shared" si="301"/>
        <v>93.466818181818184</v>
      </c>
      <c r="K485" s="1012">
        <f t="shared" si="307"/>
        <v>205627</v>
      </c>
      <c r="L485" s="646">
        <f t="shared" si="292"/>
        <v>93.466818181818184</v>
      </c>
      <c r="M485" s="1017">
        <f t="shared" si="306"/>
        <v>-14373</v>
      </c>
      <c r="N485" s="3084"/>
    </row>
    <row r="486" spans="1:14" ht="13.5" thickBot="1" x14ac:dyDescent="0.25">
      <c r="A486" s="3093"/>
      <c r="B486" s="562" t="s">
        <v>56</v>
      </c>
      <c r="C486" s="3090"/>
      <c r="D486" s="500">
        <f>+E486+F486+G486+H486</f>
        <v>220000</v>
      </c>
      <c r="E486" s="526">
        <v>0</v>
      </c>
      <c r="F486" s="502">
        <v>0</v>
      </c>
      <c r="G486" s="1072">
        <v>220000</v>
      </c>
      <c r="H486" s="548">
        <v>0</v>
      </c>
      <c r="I486" s="565">
        <f>+K486+F486+E486</f>
        <v>205627</v>
      </c>
      <c r="J486" s="539">
        <f t="shared" si="301"/>
        <v>93.466818181818184</v>
      </c>
      <c r="K486" s="463">
        <v>205627</v>
      </c>
      <c r="L486" s="549">
        <f t="shared" si="292"/>
        <v>93.466818181818184</v>
      </c>
      <c r="M486" s="1022">
        <f t="shared" si="306"/>
        <v>-14373</v>
      </c>
      <c r="N486" s="3089"/>
    </row>
    <row r="487" spans="1:14" ht="28.5" customHeight="1" x14ac:dyDescent="0.2">
      <c r="A487" s="3080" t="s">
        <v>52</v>
      </c>
      <c r="B487" s="442" t="s">
        <v>231</v>
      </c>
      <c r="C487" s="443" t="s">
        <v>173</v>
      </c>
      <c r="D487" s="444"/>
      <c r="E487" s="445"/>
      <c r="F487" s="445"/>
      <c r="G487" s="445"/>
      <c r="H487" s="446"/>
      <c r="I487" s="444"/>
      <c r="J487" s="445"/>
      <c r="K487" s="445"/>
      <c r="L487" s="449"/>
      <c r="M487" s="449"/>
      <c r="N487" s="3083" t="s">
        <v>88</v>
      </c>
    </row>
    <row r="488" spans="1:14" x14ac:dyDescent="0.2">
      <c r="A488" s="3081"/>
      <c r="B488" s="334" t="s">
        <v>2</v>
      </c>
      <c r="C488" s="27"/>
      <c r="D488" s="513">
        <f>+D489</f>
        <v>780000</v>
      </c>
      <c r="E488" s="606">
        <f t="shared" ref="E488:H489" si="308">+E489</f>
        <v>0</v>
      </c>
      <c r="F488" s="760">
        <f t="shared" si="308"/>
        <v>0</v>
      </c>
      <c r="G488" s="759">
        <f t="shared" si="308"/>
        <v>180000</v>
      </c>
      <c r="H488" s="1064">
        <f t="shared" si="308"/>
        <v>600000</v>
      </c>
      <c r="I488" s="1060">
        <f>+I489</f>
        <v>179999</v>
      </c>
      <c r="J488" s="1008">
        <f t="shared" si="301"/>
        <v>23.076794871794874</v>
      </c>
      <c r="K488" s="759">
        <f>+K489</f>
        <v>179999</v>
      </c>
      <c r="L488" s="1009">
        <f t="shared" si="292"/>
        <v>99.999444444444435</v>
      </c>
      <c r="M488" s="1010">
        <f>+K488-G488</f>
        <v>-1</v>
      </c>
      <c r="N488" s="3084"/>
    </row>
    <row r="489" spans="1:14" x14ac:dyDescent="0.2">
      <c r="A489" s="3081"/>
      <c r="B489" s="454" t="s">
        <v>17</v>
      </c>
      <c r="C489" s="3086" t="s">
        <v>33</v>
      </c>
      <c r="D489" s="519">
        <f>+D490</f>
        <v>780000</v>
      </c>
      <c r="E489" s="607">
        <f t="shared" si="308"/>
        <v>0</v>
      </c>
      <c r="F489" s="917">
        <f t="shared" si="308"/>
        <v>0</v>
      </c>
      <c r="G489" s="916">
        <f t="shared" si="308"/>
        <v>180000</v>
      </c>
      <c r="H489" s="1065">
        <f t="shared" si="308"/>
        <v>600000</v>
      </c>
      <c r="I489" s="1061">
        <f>+I490</f>
        <v>179999</v>
      </c>
      <c r="J489" s="1015">
        <f t="shared" si="301"/>
        <v>23.076794871794874</v>
      </c>
      <c r="K489" s="916">
        <f>+K490</f>
        <v>179999</v>
      </c>
      <c r="L489" s="1016">
        <f t="shared" si="292"/>
        <v>99.999444444444435</v>
      </c>
      <c r="M489" s="1017">
        <f>+K489-G489</f>
        <v>-1</v>
      </c>
      <c r="N489" s="3084"/>
    </row>
    <row r="490" spans="1:14" ht="13.5" thickBot="1" x14ac:dyDescent="0.25">
      <c r="A490" s="3082"/>
      <c r="B490" s="562" t="s">
        <v>4</v>
      </c>
      <c r="C490" s="3260"/>
      <c r="D490" s="500">
        <f>+E490+F490+G490+H490</f>
        <v>780000</v>
      </c>
      <c r="E490" s="526">
        <v>0</v>
      </c>
      <c r="F490" s="526">
        <v>0</v>
      </c>
      <c r="G490" s="502">
        <v>180000</v>
      </c>
      <c r="H490" s="1062">
        <v>600000</v>
      </c>
      <c r="I490" s="1063">
        <f>E490+F490+K490</f>
        <v>179999</v>
      </c>
      <c r="J490" s="505">
        <f t="shared" si="301"/>
        <v>23.076794871794874</v>
      </c>
      <c r="K490" s="502">
        <v>179999</v>
      </c>
      <c r="L490" s="635">
        <f t="shared" si="292"/>
        <v>99.999444444444435</v>
      </c>
      <c r="M490" s="1052">
        <f>+K490-G490</f>
        <v>-1</v>
      </c>
      <c r="N490" s="3089"/>
    </row>
    <row r="491" spans="1:14" ht="17.25" customHeight="1" x14ac:dyDescent="0.2">
      <c r="A491" s="3081" t="s">
        <v>53</v>
      </c>
      <c r="B491" s="579" t="s">
        <v>232</v>
      </c>
      <c r="C491" s="580" t="s">
        <v>173</v>
      </c>
      <c r="D491" s="581"/>
      <c r="E491" s="582"/>
      <c r="F491" s="582"/>
      <c r="G491" s="582"/>
      <c r="H491" s="583"/>
      <c r="I491" s="581"/>
      <c r="J491" s="582"/>
      <c r="K491" s="582"/>
      <c r="L491" s="584"/>
      <c r="M491" s="584"/>
      <c r="N491" s="3084" t="s">
        <v>95</v>
      </c>
    </row>
    <row r="492" spans="1:14" x14ac:dyDescent="0.2">
      <c r="A492" s="3081"/>
      <c r="B492" s="334" t="s">
        <v>2</v>
      </c>
      <c r="C492" s="27"/>
      <c r="D492" s="513">
        <f>+D493</f>
        <v>86158997</v>
      </c>
      <c r="E492" s="514">
        <f t="shared" ref="E492:H493" si="309">+E493</f>
        <v>13756407</v>
      </c>
      <c r="F492" s="514">
        <f t="shared" si="309"/>
        <v>10539236</v>
      </c>
      <c r="G492" s="514">
        <f t="shared" si="309"/>
        <v>19484000</v>
      </c>
      <c r="H492" s="589">
        <f t="shared" si="309"/>
        <v>42379354</v>
      </c>
      <c r="I492" s="1032">
        <f>+I493</f>
        <v>43062468</v>
      </c>
      <c r="J492" s="516">
        <f t="shared" si="301"/>
        <v>49.980233637120911</v>
      </c>
      <c r="K492" s="514">
        <f>+K493</f>
        <v>18766825</v>
      </c>
      <c r="L492" s="543">
        <f t="shared" si="292"/>
        <v>96.319159310203233</v>
      </c>
      <c r="M492" s="1010">
        <f>+K492-G492</f>
        <v>-717175</v>
      </c>
      <c r="N492" s="3084"/>
    </row>
    <row r="493" spans="1:14" x14ac:dyDescent="0.2">
      <c r="A493" s="3081"/>
      <c r="B493" s="454" t="s">
        <v>17</v>
      </c>
      <c r="C493" s="3086" t="s">
        <v>38</v>
      </c>
      <c r="D493" s="519">
        <f>+D494</f>
        <v>86158997</v>
      </c>
      <c r="E493" s="520">
        <f t="shared" si="309"/>
        <v>13756407</v>
      </c>
      <c r="F493" s="520">
        <f t="shared" si="309"/>
        <v>10539236</v>
      </c>
      <c r="G493" s="520">
        <f t="shared" si="309"/>
        <v>19484000</v>
      </c>
      <c r="H493" s="590">
        <f t="shared" si="309"/>
        <v>42379354</v>
      </c>
      <c r="I493" s="544">
        <f>+I494</f>
        <v>43062468</v>
      </c>
      <c r="J493" s="176">
        <f t="shared" si="301"/>
        <v>49.980233637120911</v>
      </c>
      <c r="K493" s="520">
        <f>+K494</f>
        <v>18766825</v>
      </c>
      <c r="L493" s="646">
        <f t="shared" si="292"/>
        <v>96.319159310203233</v>
      </c>
      <c r="M493" s="1017">
        <f>+K493-G493</f>
        <v>-717175</v>
      </c>
      <c r="N493" s="3084"/>
    </row>
    <row r="494" spans="1:14" ht="13.5" thickBot="1" x14ac:dyDescent="0.25">
      <c r="A494" s="3082"/>
      <c r="B494" s="562" t="s">
        <v>4</v>
      </c>
      <c r="C494" s="3260"/>
      <c r="D494" s="500">
        <f>+E494+F494+G494+H494</f>
        <v>86158997</v>
      </c>
      <c r="E494" s="502">
        <v>13756407</v>
      </c>
      <c r="F494" s="502">
        <v>10539236</v>
      </c>
      <c r="G494" s="502">
        <v>19484000</v>
      </c>
      <c r="H494" s="1062">
        <f>13738192+14122861+14518301</f>
        <v>42379354</v>
      </c>
      <c r="I494" s="1073">
        <f>E494+F494+K494</f>
        <v>43062468</v>
      </c>
      <c r="J494" s="469">
        <f t="shared" si="301"/>
        <v>49.980233637120911</v>
      </c>
      <c r="K494" s="501">
        <v>18766825</v>
      </c>
      <c r="L494" s="557">
        <f t="shared" si="292"/>
        <v>96.319159310203233</v>
      </c>
      <c r="M494" s="1022">
        <f>+K494-G494</f>
        <v>-717175</v>
      </c>
      <c r="N494" s="3089"/>
    </row>
    <row r="495" spans="1:14" ht="29.25" customHeight="1" x14ac:dyDescent="0.2">
      <c r="A495" s="3080" t="s">
        <v>54</v>
      </c>
      <c r="B495" s="442" t="s">
        <v>233</v>
      </c>
      <c r="C495" s="443" t="s">
        <v>173</v>
      </c>
      <c r="D495" s="444"/>
      <c r="E495" s="445"/>
      <c r="F495" s="445"/>
      <c r="G495" s="445"/>
      <c r="H495" s="446"/>
      <c r="I495" s="444"/>
      <c r="J495" s="445"/>
      <c r="K495" s="445"/>
      <c r="L495" s="449"/>
      <c r="M495" s="449"/>
      <c r="N495" s="3083" t="s">
        <v>95</v>
      </c>
    </row>
    <row r="496" spans="1:14" x14ac:dyDescent="0.2">
      <c r="A496" s="3081"/>
      <c r="B496" s="334" t="s">
        <v>2</v>
      </c>
      <c r="C496" s="27"/>
      <c r="D496" s="513">
        <f>+D497</f>
        <v>5490111</v>
      </c>
      <c r="E496" s="514">
        <f t="shared" ref="E496:H497" si="310">+E497</f>
        <v>806409</v>
      </c>
      <c r="F496" s="514">
        <f t="shared" si="310"/>
        <v>831715</v>
      </c>
      <c r="G496" s="514">
        <f t="shared" si="310"/>
        <v>909066</v>
      </c>
      <c r="H496" s="589">
        <f t="shared" si="310"/>
        <v>2942921</v>
      </c>
      <c r="I496" s="1032">
        <f>+I497</f>
        <v>2546243</v>
      </c>
      <c r="J496" s="516">
        <f t="shared" si="301"/>
        <v>46.378716204462897</v>
      </c>
      <c r="K496" s="514">
        <f>+K497</f>
        <v>908119</v>
      </c>
      <c r="L496" s="543">
        <f t="shared" si="292"/>
        <v>99.895827145663802</v>
      </c>
      <c r="M496" s="1010">
        <f>+K496-G496</f>
        <v>-947</v>
      </c>
      <c r="N496" s="3084"/>
    </row>
    <row r="497" spans="1:14" x14ac:dyDescent="0.2">
      <c r="A497" s="3081"/>
      <c r="B497" s="454" t="s">
        <v>17</v>
      </c>
      <c r="C497" s="3086" t="s">
        <v>38</v>
      </c>
      <c r="D497" s="519">
        <f>+D498</f>
        <v>5490111</v>
      </c>
      <c r="E497" s="520">
        <f t="shared" si="310"/>
        <v>806409</v>
      </c>
      <c r="F497" s="520">
        <f t="shared" si="310"/>
        <v>831715</v>
      </c>
      <c r="G497" s="520">
        <f t="shared" si="310"/>
        <v>909066</v>
      </c>
      <c r="H497" s="590">
        <f t="shared" si="310"/>
        <v>2942921</v>
      </c>
      <c r="I497" s="544">
        <f>+I498</f>
        <v>2546243</v>
      </c>
      <c r="J497" s="176">
        <f t="shared" si="301"/>
        <v>46.378716204462897</v>
      </c>
      <c r="K497" s="520">
        <f>+K498</f>
        <v>908119</v>
      </c>
      <c r="L497" s="646">
        <f t="shared" si="292"/>
        <v>99.895827145663802</v>
      </c>
      <c r="M497" s="1017">
        <f>+K497-G497</f>
        <v>-947</v>
      </c>
      <c r="N497" s="3084"/>
    </row>
    <row r="498" spans="1:14" ht="13.5" thickBot="1" x14ac:dyDescent="0.25">
      <c r="A498" s="3082"/>
      <c r="B498" s="562" t="s">
        <v>4</v>
      </c>
      <c r="C498" s="3260"/>
      <c r="D498" s="500">
        <f>+E498+F498+G498+H498</f>
        <v>5490111</v>
      </c>
      <c r="E498" s="502">
        <v>806409</v>
      </c>
      <c r="F498" s="502">
        <v>831715</v>
      </c>
      <c r="G498" s="502">
        <v>909066</v>
      </c>
      <c r="H498" s="1062">
        <f>933520+980196+1029205</f>
        <v>2942921</v>
      </c>
      <c r="I498" s="1073">
        <f>E498+F498+K498</f>
        <v>2546243</v>
      </c>
      <c r="J498" s="1074">
        <f t="shared" si="301"/>
        <v>46.378716204462897</v>
      </c>
      <c r="K498" s="501">
        <v>908119</v>
      </c>
      <c r="L498" s="1075">
        <f t="shared" si="292"/>
        <v>99.895827145663802</v>
      </c>
      <c r="M498" s="1022">
        <f>+K498-G498</f>
        <v>-947</v>
      </c>
      <c r="N498" s="3089"/>
    </row>
    <row r="499" spans="1:14" ht="29.25" customHeight="1" x14ac:dyDescent="0.2">
      <c r="A499" s="3080" t="s">
        <v>55</v>
      </c>
      <c r="B499" s="442" t="s">
        <v>277</v>
      </c>
      <c r="C499" s="1030" t="s">
        <v>168</v>
      </c>
      <c r="D499" s="444"/>
      <c r="E499" s="445"/>
      <c r="F499" s="445"/>
      <c r="G499" s="445"/>
      <c r="H499" s="446"/>
      <c r="I499" s="444"/>
      <c r="J499" s="445"/>
      <c r="K499" s="445"/>
      <c r="L499" s="449"/>
      <c r="M499" s="449"/>
      <c r="N499" s="3083" t="s">
        <v>95</v>
      </c>
    </row>
    <row r="500" spans="1:14" x14ac:dyDescent="0.2">
      <c r="A500" s="3081"/>
      <c r="B500" s="334" t="s">
        <v>2</v>
      </c>
      <c r="C500" s="27"/>
      <c r="D500" s="513">
        <f>+D501</f>
        <v>780000</v>
      </c>
      <c r="E500" s="514">
        <f t="shared" ref="E500:H501" si="311">+E501</f>
        <v>0</v>
      </c>
      <c r="F500" s="514">
        <f t="shared" si="311"/>
        <v>0</v>
      </c>
      <c r="G500" s="514">
        <f t="shared" si="311"/>
        <v>179840</v>
      </c>
      <c r="H500" s="589">
        <f t="shared" si="311"/>
        <v>600160</v>
      </c>
      <c r="I500" s="1032">
        <f>+I501</f>
        <v>128194</v>
      </c>
      <c r="J500" s="516">
        <f t="shared" ref="J500:J502" si="312">I500/D500*100</f>
        <v>16.435128205128205</v>
      </c>
      <c r="K500" s="514">
        <f>+K501</f>
        <v>128194</v>
      </c>
      <c r="L500" s="543">
        <f t="shared" ref="L500:L502" si="313">K500/G500*100</f>
        <v>71.282250889679716</v>
      </c>
      <c r="M500" s="1010">
        <f>+K500-G500</f>
        <v>-51646</v>
      </c>
      <c r="N500" s="3084"/>
    </row>
    <row r="501" spans="1:14" x14ac:dyDescent="0.2">
      <c r="A501" s="3081"/>
      <c r="B501" s="454" t="s">
        <v>17</v>
      </c>
      <c r="C501" s="3086" t="s">
        <v>38</v>
      </c>
      <c r="D501" s="519">
        <f>+D502</f>
        <v>780000</v>
      </c>
      <c r="E501" s="520">
        <f t="shared" si="311"/>
        <v>0</v>
      </c>
      <c r="F501" s="520">
        <f t="shared" si="311"/>
        <v>0</v>
      </c>
      <c r="G501" s="520">
        <f t="shared" si="311"/>
        <v>179840</v>
      </c>
      <c r="H501" s="590">
        <f t="shared" si="311"/>
        <v>600160</v>
      </c>
      <c r="I501" s="544">
        <f>+I502</f>
        <v>128194</v>
      </c>
      <c r="J501" s="176">
        <f t="shared" si="312"/>
        <v>16.435128205128205</v>
      </c>
      <c r="K501" s="520">
        <f>+K502</f>
        <v>128194</v>
      </c>
      <c r="L501" s="646">
        <f t="shared" si="313"/>
        <v>71.282250889679716</v>
      </c>
      <c r="M501" s="1017">
        <f>+K501-G501</f>
        <v>-51646</v>
      </c>
      <c r="N501" s="3084"/>
    </row>
    <row r="502" spans="1:14" ht="13.5" thickBot="1" x14ac:dyDescent="0.25">
      <c r="A502" s="3082"/>
      <c r="B502" s="562" t="s">
        <v>4</v>
      </c>
      <c r="C502" s="3260"/>
      <c r="D502" s="500">
        <f>+E502+F502+G502+H502</f>
        <v>780000</v>
      </c>
      <c r="E502" s="502">
        <v>0</v>
      </c>
      <c r="F502" s="502">
        <v>0</v>
      </c>
      <c r="G502" s="502">
        <v>179840</v>
      </c>
      <c r="H502" s="1062">
        <f>300160+150000+150000</f>
        <v>600160</v>
      </c>
      <c r="I502" s="1073">
        <f>E502+F502+K502</f>
        <v>128194</v>
      </c>
      <c r="J502" s="1074">
        <f t="shared" si="312"/>
        <v>16.435128205128205</v>
      </c>
      <c r="K502" s="501">
        <v>128194</v>
      </c>
      <c r="L502" s="1075">
        <f t="shared" si="313"/>
        <v>71.282250889679716</v>
      </c>
      <c r="M502" s="1052">
        <f>+K502-G502</f>
        <v>-51646</v>
      </c>
      <c r="N502" s="3089"/>
    </row>
    <row r="503" spans="1:14" ht="12" customHeight="1" x14ac:dyDescent="0.2"/>
    <row r="504" spans="1:14" s="314" customFormat="1" ht="23.25" customHeight="1" x14ac:dyDescent="0.3">
      <c r="A504" s="1077" t="s">
        <v>359</v>
      </c>
      <c r="B504" s="3259" t="s">
        <v>363</v>
      </c>
      <c r="C504" s="3259"/>
      <c r="D504" s="3259"/>
      <c r="E504" s="3259"/>
      <c r="F504" s="3259"/>
      <c r="G504" s="3259"/>
      <c r="H504" s="3259"/>
      <c r="I504" s="3259"/>
      <c r="J504" s="3259"/>
      <c r="K504" s="3259"/>
      <c r="L504" s="3259"/>
      <c r="M504" s="3259"/>
      <c r="N504" s="3259"/>
    </row>
    <row r="505" spans="1:14" ht="12.75" customHeight="1" x14ac:dyDescent="0.2">
      <c r="B505" s="3259"/>
      <c r="C505" s="3259"/>
      <c r="D505" s="3259"/>
      <c r="E505" s="3259"/>
      <c r="F505" s="3259"/>
      <c r="G505" s="3259"/>
      <c r="H505" s="3259"/>
      <c r="I505" s="3259"/>
      <c r="J505" s="3259"/>
      <c r="K505" s="3259"/>
      <c r="L505" s="3259"/>
      <c r="M505" s="3259"/>
      <c r="N505" s="3259"/>
    </row>
    <row r="506" spans="1:14" ht="13.5" customHeight="1" x14ac:dyDescent="0.2"/>
    <row r="507" spans="1:14" ht="12" customHeight="1" x14ac:dyDescent="0.2">
      <c r="B507" s="314"/>
    </row>
    <row r="508" spans="1:14" ht="12" customHeight="1" x14ac:dyDescent="0.2"/>
    <row r="509" spans="1:14" ht="36" customHeight="1" x14ac:dyDescent="0.2"/>
    <row r="510" spans="1:14" ht="13.5" customHeight="1" x14ac:dyDescent="0.2"/>
    <row r="511" spans="1:14" ht="13.5" customHeight="1" x14ac:dyDescent="0.2"/>
    <row r="512" spans="1:14" ht="12.75" customHeight="1" x14ac:dyDescent="0.2"/>
    <row r="513" ht="11.25" customHeight="1" x14ac:dyDescent="0.2"/>
    <row r="514" ht="13.5" customHeight="1" x14ac:dyDescent="0.2"/>
    <row r="515" ht="13.5" customHeight="1" x14ac:dyDescent="0.2"/>
    <row r="516" ht="12" customHeight="1" x14ac:dyDescent="0.2"/>
    <row r="517" ht="13.5" customHeight="1" x14ac:dyDescent="0.2"/>
  </sheetData>
  <mergeCells count="216">
    <mergeCell ref="B504:N505"/>
    <mergeCell ref="A491:A494"/>
    <mergeCell ref="N491:N494"/>
    <mergeCell ref="C493:C494"/>
    <mergeCell ref="A495:A498"/>
    <mergeCell ref="N495:N498"/>
    <mergeCell ref="C497:C498"/>
    <mergeCell ref="A475:A478"/>
    <mergeCell ref="N475:N478"/>
    <mergeCell ref="C477:C478"/>
    <mergeCell ref="A487:A490"/>
    <mergeCell ref="N487:N490"/>
    <mergeCell ref="C489:C490"/>
    <mergeCell ref="C485:C486"/>
    <mergeCell ref="A479:A486"/>
    <mergeCell ref="C481:C483"/>
    <mergeCell ref="N479:N486"/>
    <mergeCell ref="A499:A502"/>
    <mergeCell ref="N499:N502"/>
    <mergeCell ref="C501:C502"/>
    <mergeCell ref="A4:N4"/>
    <mergeCell ref="A6:A9"/>
    <mergeCell ref="B6:B9"/>
    <mergeCell ref="C6:C9"/>
    <mergeCell ref="D6:H6"/>
    <mergeCell ref="I6:M6"/>
    <mergeCell ref="N6:N9"/>
    <mergeCell ref="K7:M7"/>
    <mergeCell ref="J7:J9"/>
    <mergeCell ref="A14:A36"/>
    <mergeCell ref="N14:N36"/>
    <mergeCell ref="C15:C25"/>
    <mergeCell ref="C27:C36"/>
    <mergeCell ref="A37:A53"/>
    <mergeCell ref="N37:N53"/>
    <mergeCell ref="I7:I9"/>
    <mergeCell ref="K8:K9"/>
    <mergeCell ref="L8:L9"/>
    <mergeCell ref="M8:M9"/>
    <mergeCell ref="D7:D9"/>
    <mergeCell ref="E7:E9"/>
    <mergeCell ref="F7:F9"/>
    <mergeCell ref="G8:G9"/>
    <mergeCell ref="H8:H9"/>
    <mergeCell ref="G7:H7"/>
    <mergeCell ref="C39:C45"/>
    <mergeCell ref="C47:C53"/>
    <mergeCell ref="A10:B10"/>
    <mergeCell ref="A54:A67"/>
    <mergeCell ref="N55:N61"/>
    <mergeCell ref="C56:C61"/>
    <mergeCell ref="N62:N67"/>
    <mergeCell ref="A68:A83"/>
    <mergeCell ref="N69:N76"/>
    <mergeCell ref="N77:N83"/>
    <mergeCell ref="C78:C83"/>
    <mergeCell ref="C63:C67"/>
    <mergeCell ref="C70:C75"/>
    <mergeCell ref="A84:A97"/>
    <mergeCell ref="N85:N91"/>
    <mergeCell ref="C86:C91"/>
    <mergeCell ref="N92:N97"/>
    <mergeCell ref="A98:A113"/>
    <mergeCell ref="N99:N106"/>
    <mergeCell ref="C100:C106"/>
    <mergeCell ref="N107:N113"/>
    <mergeCell ref="C111:C113"/>
    <mergeCell ref="C93:C97"/>
    <mergeCell ref="A114:A129"/>
    <mergeCell ref="N115:N122"/>
    <mergeCell ref="C116:C122"/>
    <mergeCell ref="N123:N129"/>
    <mergeCell ref="A156:A164"/>
    <mergeCell ref="N156:N164"/>
    <mergeCell ref="C158:C161"/>
    <mergeCell ref="C163:C164"/>
    <mergeCell ref="C124:C129"/>
    <mergeCell ref="A165:A176"/>
    <mergeCell ref="N165:N176"/>
    <mergeCell ref="C167:C171"/>
    <mergeCell ref="C173:C176"/>
    <mergeCell ref="A130:A143"/>
    <mergeCell ref="N131:N137"/>
    <mergeCell ref="C132:C137"/>
    <mergeCell ref="N138:N143"/>
    <mergeCell ref="C139:C143"/>
    <mergeCell ref="A144:A155"/>
    <mergeCell ref="N145:N150"/>
    <mergeCell ref="C146:C150"/>
    <mergeCell ref="N151:N155"/>
    <mergeCell ref="C152:C155"/>
    <mergeCell ref="A177:A188"/>
    <mergeCell ref="N177:N188"/>
    <mergeCell ref="C179:C183"/>
    <mergeCell ref="C185:C188"/>
    <mergeCell ref="A189:A200"/>
    <mergeCell ref="N189:N200"/>
    <mergeCell ref="C191:C195"/>
    <mergeCell ref="C197:C200"/>
    <mergeCell ref="A222:A230"/>
    <mergeCell ref="N222:N230"/>
    <mergeCell ref="C224:C227"/>
    <mergeCell ref="C229:C230"/>
    <mergeCell ref="A231:A242"/>
    <mergeCell ref="N231:N242"/>
    <mergeCell ref="C233:C237"/>
    <mergeCell ref="C239:C242"/>
    <mergeCell ref="A201:A209"/>
    <mergeCell ref="N201:N209"/>
    <mergeCell ref="C203:C206"/>
    <mergeCell ref="C208:C209"/>
    <mergeCell ref="A210:A221"/>
    <mergeCell ref="N210:N221"/>
    <mergeCell ref="C212:C216"/>
    <mergeCell ref="C218:C221"/>
    <mergeCell ref="A263:A271"/>
    <mergeCell ref="N263:N271"/>
    <mergeCell ref="C265:C268"/>
    <mergeCell ref="C270:C271"/>
    <mergeCell ref="A243:A253"/>
    <mergeCell ref="N243:N253"/>
    <mergeCell ref="C245:C248"/>
    <mergeCell ref="A254:A262"/>
    <mergeCell ref="N254:N262"/>
    <mergeCell ref="C256:C259"/>
    <mergeCell ref="C261:C262"/>
    <mergeCell ref="C250:C253"/>
    <mergeCell ref="A281:A289"/>
    <mergeCell ref="N281:N289"/>
    <mergeCell ref="C283:C286"/>
    <mergeCell ref="C288:C289"/>
    <mergeCell ref="A290:A298"/>
    <mergeCell ref="N290:N298"/>
    <mergeCell ref="C292:C295"/>
    <mergeCell ref="C297:C298"/>
    <mergeCell ref="A272:A280"/>
    <mergeCell ref="N272:N280"/>
    <mergeCell ref="C274:C277"/>
    <mergeCell ref="C279:C280"/>
    <mergeCell ref="A299:A305"/>
    <mergeCell ref="N299:N305"/>
    <mergeCell ref="C301:C302"/>
    <mergeCell ref="C304:C305"/>
    <mergeCell ref="A324:A332"/>
    <mergeCell ref="N324:N332"/>
    <mergeCell ref="C326:C329"/>
    <mergeCell ref="C331:C332"/>
    <mergeCell ref="A333:A341"/>
    <mergeCell ref="N333:N341"/>
    <mergeCell ref="C335:C338"/>
    <mergeCell ref="C340:C341"/>
    <mergeCell ref="A306:A314"/>
    <mergeCell ref="N306:N314"/>
    <mergeCell ref="C308:C311"/>
    <mergeCell ref="C313:C314"/>
    <mergeCell ref="A315:A323"/>
    <mergeCell ref="N315:N323"/>
    <mergeCell ref="C317:C320"/>
    <mergeCell ref="C322:C323"/>
    <mergeCell ref="A342:A350"/>
    <mergeCell ref="N342:N350"/>
    <mergeCell ref="C344:C347"/>
    <mergeCell ref="C349:C350"/>
    <mergeCell ref="A351:A359"/>
    <mergeCell ref="D351:H351"/>
    <mergeCell ref="N351:N359"/>
    <mergeCell ref="C353:C356"/>
    <mergeCell ref="C358:C359"/>
    <mergeCell ref="N360:N375"/>
    <mergeCell ref="C362:C368"/>
    <mergeCell ref="C370:C375"/>
    <mergeCell ref="A376:A391"/>
    <mergeCell ref="N376:N391"/>
    <mergeCell ref="C378:C384"/>
    <mergeCell ref="C386:C391"/>
    <mergeCell ref="A401:A409"/>
    <mergeCell ref="N401:N409"/>
    <mergeCell ref="C403:C406"/>
    <mergeCell ref="C408:C409"/>
    <mergeCell ref="A392:A400"/>
    <mergeCell ref="N392:N400"/>
    <mergeCell ref="C394:C397"/>
    <mergeCell ref="C399:C400"/>
    <mergeCell ref="A435:A442"/>
    <mergeCell ref="N435:N442"/>
    <mergeCell ref="C437:C439"/>
    <mergeCell ref="C441:C442"/>
    <mergeCell ref="A425:A434"/>
    <mergeCell ref="N425:N434"/>
    <mergeCell ref="C427:C430"/>
    <mergeCell ref="C415:C419"/>
    <mergeCell ref="C421:C424"/>
    <mergeCell ref="M1:N1"/>
    <mergeCell ref="A467:A474"/>
    <mergeCell ref="N467:N471"/>
    <mergeCell ref="C469:C471"/>
    <mergeCell ref="N472:N474"/>
    <mergeCell ref="C473:C474"/>
    <mergeCell ref="A443:A446"/>
    <mergeCell ref="N443:N446"/>
    <mergeCell ref="C445:C446"/>
    <mergeCell ref="A447:A450"/>
    <mergeCell ref="N447:N450"/>
    <mergeCell ref="C449:C450"/>
    <mergeCell ref="N455:N459"/>
    <mergeCell ref="N460:N462"/>
    <mergeCell ref="A463:A466"/>
    <mergeCell ref="N463:N466"/>
    <mergeCell ref="C465:C466"/>
    <mergeCell ref="A451:A454"/>
    <mergeCell ref="N451:N454"/>
    <mergeCell ref="C453:C454"/>
    <mergeCell ref="A455:A462"/>
    <mergeCell ref="C457:C459"/>
    <mergeCell ref="C461:C462"/>
    <mergeCell ref="C432:C43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293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5" manualBreakCount="5">
    <brk id="97" max="13" man="1"/>
    <brk id="188" max="13" man="1"/>
    <brk id="271" max="13" man="1"/>
    <brk id="350" max="13" man="1"/>
    <brk id="4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G539"/>
  <sheetViews>
    <sheetView showGridLines="0" view="pageBreakPreview" zoomScaleNormal="120" zoomScaleSheetLayoutView="100" workbookViewId="0">
      <selection activeCell="O1" sqref="O1"/>
    </sheetView>
  </sheetViews>
  <sheetFormatPr defaultRowHeight="12.75" x14ac:dyDescent="0.2"/>
  <cols>
    <col min="1" max="1" width="4" style="20" customWidth="1"/>
    <col min="2" max="2" width="52.5703125" style="20" customWidth="1"/>
    <col min="3" max="3" width="9.42578125" style="251" customWidth="1"/>
    <col min="4" max="4" width="14" style="20" customWidth="1"/>
    <col min="5" max="5" width="13.42578125" style="20" hidden="1" customWidth="1"/>
    <col min="6" max="6" width="13.28515625" style="20" hidden="1" customWidth="1"/>
    <col min="7" max="7" width="13.28515625" style="20" customWidth="1"/>
    <col min="8" max="8" width="12.7109375" style="20" customWidth="1"/>
    <col min="9" max="9" width="12.85546875" style="20" customWidth="1"/>
    <col min="10" max="10" width="10.5703125" style="20" customWidth="1"/>
    <col min="11" max="11" width="11.42578125" style="20" customWidth="1"/>
    <col min="12" max="12" width="12.28515625" style="20" customWidth="1"/>
    <col min="13" max="13" width="11.7109375" style="20" customWidth="1"/>
    <col min="14" max="14" width="13.85546875" style="251" customWidth="1"/>
    <col min="15" max="15" width="9.140625" style="20"/>
    <col min="16" max="16" width="12.5703125" style="20" customWidth="1"/>
    <col min="17" max="16384" width="9.140625" style="20"/>
  </cols>
  <sheetData>
    <row r="1" spans="1:59" ht="18.75" x14ac:dyDescent="0.3">
      <c r="A1" s="250"/>
      <c r="I1" s="43"/>
      <c r="J1" s="43"/>
      <c r="K1" s="3038" t="s">
        <v>372</v>
      </c>
      <c r="L1" s="3038"/>
    </row>
    <row r="2" spans="1:59" ht="33" customHeight="1" thickBot="1" x14ac:dyDescent="0.25">
      <c r="A2" s="250"/>
      <c r="I2" s="1079"/>
      <c r="N2" s="1080"/>
    </row>
    <row r="3" spans="1:59" ht="46.5" customHeight="1" thickBot="1" x14ac:dyDescent="0.5">
      <c r="A3" s="3330" t="s">
        <v>222</v>
      </c>
      <c r="B3" s="3331"/>
      <c r="C3" s="3331"/>
      <c r="D3" s="3331"/>
      <c r="E3" s="3331"/>
      <c r="F3" s="3331"/>
      <c r="G3" s="3331"/>
      <c r="H3" s="3331"/>
      <c r="I3" s="3331"/>
      <c r="J3" s="3331"/>
      <c r="K3" s="3331"/>
      <c r="L3" s="3331"/>
      <c r="M3" s="3331"/>
      <c r="N3" s="3332"/>
    </row>
    <row r="4" spans="1:59" ht="45.75" customHeight="1" thickBot="1" x14ac:dyDescent="0.25">
      <c r="A4" s="3333" t="s">
        <v>24</v>
      </c>
      <c r="B4" s="3334" t="s">
        <v>25</v>
      </c>
      <c r="C4" s="3335" t="s">
        <v>26</v>
      </c>
      <c r="D4" s="3010" t="s">
        <v>317</v>
      </c>
      <c r="E4" s="3011"/>
      <c r="F4" s="3011"/>
      <c r="G4" s="3011"/>
      <c r="H4" s="3012"/>
      <c r="I4" s="3010" t="s">
        <v>314</v>
      </c>
      <c r="J4" s="3011"/>
      <c r="K4" s="3011"/>
      <c r="L4" s="3011"/>
      <c r="M4" s="3011"/>
      <c r="N4" s="3317" t="s">
        <v>27</v>
      </c>
    </row>
    <row r="5" spans="1:59" ht="26.25" customHeight="1" thickBot="1" x14ac:dyDescent="0.25">
      <c r="A5" s="3333"/>
      <c r="B5" s="3334"/>
      <c r="C5" s="3335"/>
      <c r="D5" s="3013" t="s">
        <v>0</v>
      </c>
      <c r="E5" s="3042" t="s">
        <v>163</v>
      </c>
      <c r="F5" s="3045" t="s">
        <v>286</v>
      </c>
      <c r="G5" s="3032" t="s">
        <v>260</v>
      </c>
      <c r="H5" s="3033"/>
      <c r="I5" s="3005" t="s">
        <v>311</v>
      </c>
      <c r="J5" s="3282" t="s">
        <v>309</v>
      </c>
      <c r="K5" s="3040" t="s">
        <v>313</v>
      </c>
      <c r="L5" s="3041"/>
      <c r="M5" s="3041"/>
      <c r="N5" s="3318"/>
    </row>
    <row r="6" spans="1:59" ht="38.25" customHeight="1" thickBot="1" x14ac:dyDescent="0.25">
      <c r="A6" s="3333"/>
      <c r="B6" s="3334"/>
      <c r="C6" s="3335"/>
      <c r="D6" s="3014"/>
      <c r="E6" s="3043"/>
      <c r="F6" s="3046"/>
      <c r="G6" s="3034" t="s">
        <v>318</v>
      </c>
      <c r="H6" s="3036" t="s">
        <v>221</v>
      </c>
      <c r="I6" s="3006"/>
      <c r="J6" s="3283"/>
      <c r="K6" s="2998" t="s">
        <v>312</v>
      </c>
      <c r="L6" s="3230" t="s">
        <v>310</v>
      </c>
      <c r="M6" s="3232" t="s">
        <v>315</v>
      </c>
      <c r="N6" s="3318"/>
    </row>
    <row r="7" spans="1:59" ht="56.25" customHeight="1" thickBot="1" x14ac:dyDescent="0.25">
      <c r="A7" s="3333"/>
      <c r="B7" s="3334"/>
      <c r="C7" s="3335"/>
      <c r="D7" s="3234"/>
      <c r="E7" s="3235"/>
      <c r="F7" s="3236"/>
      <c r="G7" s="3237"/>
      <c r="H7" s="3238"/>
      <c r="I7" s="3336"/>
      <c r="J7" s="3284"/>
      <c r="K7" s="3229"/>
      <c r="L7" s="3231"/>
      <c r="M7" s="3233"/>
      <c r="N7" s="3319"/>
    </row>
    <row r="8" spans="1:59" s="265" customFormat="1" ht="13.5" customHeight="1" thickBot="1" x14ac:dyDescent="0.25">
      <c r="A8" s="3241">
        <v>1</v>
      </c>
      <c r="B8" s="3242"/>
      <c r="C8" s="260">
        <v>2</v>
      </c>
      <c r="D8" s="261">
        <v>3</v>
      </c>
      <c r="E8" s="262">
        <v>4</v>
      </c>
      <c r="F8" s="262">
        <v>5</v>
      </c>
      <c r="G8" s="262">
        <v>4</v>
      </c>
      <c r="H8" s="260">
        <v>5</v>
      </c>
      <c r="I8" s="261">
        <v>6</v>
      </c>
      <c r="J8" s="262">
        <v>7</v>
      </c>
      <c r="K8" s="262">
        <v>8</v>
      </c>
      <c r="L8" s="263">
        <v>9</v>
      </c>
      <c r="M8" s="263">
        <v>10</v>
      </c>
      <c r="N8" s="264">
        <v>11</v>
      </c>
    </row>
    <row r="9" spans="1:59" s="274" customFormat="1" ht="18" customHeight="1" thickBot="1" x14ac:dyDescent="0.25">
      <c r="A9" s="266"/>
      <c r="B9" s="267" t="s">
        <v>164</v>
      </c>
      <c r="C9" s="268"/>
      <c r="D9" s="50">
        <f>D10+D11</f>
        <v>119369261.40000001</v>
      </c>
      <c r="E9" s="54">
        <f t="shared" ref="E9:I9" si="0">E10+E11</f>
        <v>44264380</v>
      </c>
      <c r="F9" s="269">
        <f t="shared" si="0"/>
        <v>17392674.399999999</v>
      </c>
      <c r="G9" s="54">
        <f t="shared" si="0"/>
        <v>19606629</v>
      </c>
      <c r="H9" s="54">
        <f t="shared" si="0"/>
        <v>38105578</v>
      </c>
      <c r="I9" s="50">
        <f t="shared" si="0"/>
        <v>79968468.280000001</v>
      </c>
      <c r="J9" s="270">
        <f t="shared" ref="J9:J15" si="1">I9/D9*100</f>
        <v>66.992513266903728</v>
      </c>
      <c r="K9" s="51">
        <f>K10+K11</f>
        <v>18311413.879999999</v>
      </c>
      <c r="L9" s="270">
        <f>K9/G9*100</f>
        <v>93.393993837492403</v>
      </c>
      <c r="M9" s="54">
        <f t="shared" ref="M9:M22" si="2">+K9-G9</f>
        <v>-1295215.120000001</v>
      </c>
      <c r="N9" s="1081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</row>
    <row r="10" spans="1:59" s="285" customFormat="1" ht="14.25" customHeight="1" thickTop="1" x14ac:dyDescent="0.2">
      <c r="A10" s="275"/>
      <c r="B10" s="276" t="s">
        <v>165</v>
      </c>
      <c r="C10" s="277"/>
      <c r="D10" s="59">
        <f>D31+D38+D49+D61+D73+D97+D121+D133+D157+D169+D181+D109+D85+D193</f>
        <v>118972044.40000001</v>
      </c>
      <c r="E10" s="59">
        <f t="shared" ref="E10:F10" si="3">E31+E38+E49+E61+E73+E97+E121+E133+E157+E169+E181+E109+E85</f>
        <v>44040104</v>
      </c>
      <c r="F10" s="59">
        <f t="shared" si="3"/>
        <v>17392674.399999999</v>
      </c>
      <c r="G10" s="59">
        <f t="shared" ref="G10:K10" si="4">G31+G38+G49+G61+G73+G97+G121+G133+G157+G169+G181+G109+G85+G193</f>
        <v>19533688</v>
      </c>
      <c r="H10" s="59">
        <f t="shared" si="4"/>
        <v>38005578</v>
      </c>
      <c r="I10" s="59">
        <f t="shared" si="4"/>
        <v>79676690.280000001</v>
      </c>
      <c r="J10" s="936">
        <f t="shared" si="1"/>
        <v>66.970934795502259</v>
      </c>
      <c r="K10" s="59">
        <f t="shared" si="4"/>
        <v>18243911.879999999</v>
      </c>
      <c r="L10" s="936">
        <f>K10/G10*100</f>
        <v>93.397170467758045</v>
      </c>
      <c r="M10" s="279">
        <f t="shared" si="2"/>
        <v>-1289776.120000001</v>
      </c>
      <c r="N10" s="1082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</row>
    <row r="11" spans="1:59" s="274" customFormat="1" ht="14.25" customHeight="1" thickBot="1" x14ac:dyDescent="0.25">
      <c r="A11" s="286"/>
      <c r="B11" s="287" t="s">
        <v>166</v>
      </c>
      <c r="C11" s="288"/>
      <c r="D11" s="289">
        <f t="shared" ref="D11:I11" si="5">D145</f>
        <v>397217</v>
      </c>
      <c r="E11" s="289">
        <f t="shared" si="5"/>
        <v>224276</v>
      </c>
      <c r="F11" s="289">
        <f t="shared" si="5"/>
        <v>0</v>
      </c>
      <c r="G11" s="295">
        <f t="shared" si="5"/>
        <v>72941</v>
      </c>
      <c r="H11" s="1083">
        <f t="shared" si="5"/>
        <v>100000</v>
      </c>
      <c r="I11" s="289">
        <f t="shared" si="5"/>
        <v>291778</v>
      </c>
      <c r="J11" s="294">
        <f t="shared" si="1"/>
        <v>73.45556710815498</v>
      </c>
      <c r="K11" s="295">
        <f t="shared" ref="K11" si="6">K145</f>
        <v>67502</v>
      </c>
      <c r="L11" s="294">
        <f>K11/G11*100</f>
        <v>92.543288411181635</v>
      </c>
      <c r="M11" s="296">
        <f t="shared" si="2"/>
        <v>-5439</v>
      </c>
      <c r="N11" s="1081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</row>
    <row r="12" spans="1:59" ht="15" customHeight="1" x14ac:dyDescent="0.2">
      <c r="A12" s="3285"/>
      <c r="B12" s="297" t="s">
        <v>2</v>
      </c>
      <c r="C12" s="298"/>
      <c r="D12" s="1084">
        <f t="shared" ref="D12" si="7">D13+D16</f>
        <v>119369261.40000001</v>
      </c>
      <c r="E12" s="1085">
        <f>E13+E16</f>
        <v>44264380</v>
      </c>
      <c r="F12" s="1085">
        <f>F13+F16</f>
        <v>17392674.399999999</v>
      </c>
      <c r="G12" s="1085">
        <f>G13+G16</f>
        <v>19606629</v>
      </c>
      <c r="H12" s="1086">
        <f>H13+H16</f>
        <v>38105578</v>
      </c>
      <c r="I12" s="1084">
        <f>I13+I16</f>
        <v>79968468.280000001</v>
      </c>
      <c r="J12" s="303">
        <f t="shared" si="1"/>
        <v>66.992513266903728</v>
      </c>
      <c r="K12" s="1085">
        <f>K13+K16</f>
        <v>18311413.879999999</v>
      </c>
      <c r="L12" s="303">
        <f>K12/G12*100</f>
        <v>93.393993837492403</v>
      </c>
      <c r="M12" s="1086">
        <f t="shared" si="2"/>
        <v>-1295215.120000001</v>
      </c>
      <c r="N12" s="3288"/>
    </row>
    <row r="13" spans="1:59" s="314" customFormat="1" ht="15" customHeight="1" x14ac:dyDescent="0.2">
      <c r="A13" s="3286"/>
      <c r="B13" s="1087" t="s">
        <v>17</v>
      </c>
      <c r="C13" s="3291"/>
      <c r="D13" s="1088">
        <f t="shared" ref="D13" si="8">D14+D15</f>
        <v>15453700.460000001</v>
      </c>
      <c r="E13" s="1089">
        <f>E14+E15</f>
        <v>6225221</v>
      </c>
      <c r="F13" s="1089">
        <f>F14+F15</f>
        <v>1954009.46</v>
      </c>
      <c r="G13" s="1089">
        <f>G14+G15</f>
        <v>2683818</v>
      </c>
      <c r="H13" s="1090">
        <f>H14+H15</f>
        <v>4590652</v>
      </c>
      <c r="I13" s="1088">
        <f>I14+I15</f>
        <v>10688606.890000001</v>
      </c>
      <c r="J13" s="311">
        <f t="shared" si="1"/>
        <v>69.165355687242297</v>
      </c>
      <c r="K13" s="1089">
        <f>K14+K15</f>
        <v>2509376.4299999997</v>
      </c>
      <c r="L13" s="311">
        <f t="shared" ref="L13:L22" si="9">K13/G13*100</f>
        <v>93.500245918314874</v>
      </c>
      <c r="M13" s="1091">
        <f t="shared" si="2"/>
        <v>-174441.5700000003</v>
      </c>
      <c r="N13" s="3289"/>
    </row>
    <row r="14" spans="1:59" ht="15" customHeight="1" x14ac:dyDescent="0.2">
      <c r="A14" s="3286"/>
      <c r="B14" s="324" t="s">
        <v>4</v>
      </c>
      <c r="C14" s="3292"/>
      <c r="D14" s="1092">
        <f>D63+D147+D75+D99+D135+D51+D111+D87+D195</f>
        <v>11314107</v>
      </c>
      <c r="E14" s="1093">
        <f t="shared" ref="E14:F14" si="10">E63+E147+E75+E99+E135+E51+E111+E87</f>
        <v>4661259</v>
      </c>
      <c r="F14" s="1093">
        <f t="shared" si="10"/>
        <v>1410482</v>
      </c>
      <c r="G14" s="1093">
        <f t="shared" ref="G14:K14" si="11">G63+G147+G75+G99+G135+G51+G111+G87+G195</f>
        <v>1784505</v>
      </c>
      <c r="H14" s="1094">
        <f t="shared" si="11"/>
        <v>3457861</v>
      </c>
      <c r="I14" s="1092">
        <f t="shared" si="11"/>
        <v>7741865</v>
      </c>
      <c r="J14" s="320">
        <f t="shared" si="1"/>
        <v>68.426655325073384</v>
      </c>
      <c r="K14" s="1093">
        <f t="shared" si="11"/>
        <v>1670124</v>
      </c>
      <c r="L14" s="320">
        <f t="shared" si="9"/>
        <v>93.590323366984123</v>
      </c>
      <c r="M14" s="1095">
        <f t="shared" si="2"/>
        <v>-114381</v>
      </c>
      <c r="N14" s="3289"/>
    </row>
    <row r="15" spans="1:59" ht="15" customHeight="1" x14ac:dyDescent="0.2">
      <c r="A15" s="3286"/>
      <c r="B15" s="333" t="s">
        <v>7</v>
      </c>
      <c r="C15" s="3292"/>
      <c r="D15" s="1092">
        <f>D64+D148+D76+D100+D40+D124+D136+D160+D52+D112+D88</f>
        <v>4139593.46</v>
      </c>
      <c r="E15" s="1093">
        <f t="shared" ref="E15:I15" si="12">E64+E148+E76+E100+E40+E124+E136+E160+E52+E112+E88</f>
        <v>1563962</v>
      </c>
      <c r="F15" s="1093">
        <f t="shared" si="12"/>
        <v>543527.46</v>
      </c>
      <c r="G15" s="1093">
        <f t="shared" si="12"/>
        <v>899313</v>
      </c>
      <c r="H15" s="1094">
        <f t="shared" si="12"/>
        <v>1132791</v>
      </c>
      <c r="I15" s="1096">
        <f t="shared" si="12"/>
        <v>2946741.8899999997</v>
      </c>
      <c r="J15" s="320">
        <f t="shared" si="1"/>
        <v>71.184330501865261</v>
      </c>
      <c r="K15" s="1097">
        <f>K64+K148+K76+K100+K40+K124+K136+K160+K52+K112+K88</f>
        <v>839252.42999999993</v>
      </c>
      <c r="L15" s="320">
        <f t="shared" si="9"/>
        <v>93.321505415800715</v>
      </c>
      <c r="M15" s="1098">
        <f t="shared" si="2"/>
        <v>-60060.570000000065</v>
      </c>
      <c r="N15" s="3289"/>
    </row>
    <row r="16" spans="1:59" s="314" customFormat="1" ht="15" customHeight="1" x14ac:dyDescent="0.2">
      <c r="A16" s="3286"/>
      <c r="B16" s="306" t="s">
        <v>12</v>
      </c>
      <c r="C16" s="3292"/>
      <c r="D16" s="1088">
        <f t="shared" ref="D16:K16" si="13">D17</f>
        <v>103915560.94</v>
      </c>
      <c r="E16" s="1089">
        <f t="shared" si="13"/>
        <v>38039159</v>
      </c>
      <c r="F16" s="1089">
        <f t="shared" si="13"/>
        <v>15438664.939999999</v>
      </c>
      <c r="G16" s="1089">
        <f t="shared" si="13"/>
        <v>16922811</v>
      </c>
      <c r="H16" s="1090">
        <f t="shared" si="13"/>
        <v>33514926</v>
      </c>
      <c r="I16" s="1088">
        <f t="shared" si="13"/>
        <v>69279861.390000001</v>
      </c>
      <c r="J16" s="1099">
        <f t="shared" ref="J16:J22" si="14">I16/D16*100</f>
        <v>66.669381143024026</v>
      </c>
      <c r="K16" s="1089">
        <f t="shared" si="13"/>
        <v>15802037.449999999</v>
      </c>
      <c r="L16" s="1099">
        <f t="shared" si="9"/>
        <v>93.37714313538099</v>
      </c>
      <c r="M16" s="1091">
        <f t="shared" si="2"/>
        <v>-1120773.5500000007</v>
      </c>
      <c r="N16" s="3289"/>
    </row>
    <row r="17" spans="1:14" ht="15" customHeight="1" x14ac:dyDescent="0.2">
      <c r="A17" s="3286"/>
      <c r="B17" s="324" t="s">
        <v>14</v>
      </c>
      <c r="C17" s="3293"/>
      <c r="D17" s="1092">
        <f>D26+D66+D150+D78+D102+D42+D126+D138+D162+D33+D54+D174+D186+D114+D90+D198</f>
        <v>103915560.94</v>
      </c>
      <c r="E17" s="1093">
        <f t="shared" ref="E17:F17" si="15">E26+E66+E150+E78+E102+E42+E126+E138+E162+E33+E54+E174+E186+E114+E90</f>
        <v>38039159</v>
      </c>
      <c r="F17" s="1093">
        <f t="shared" si="15"/>
        <v>15438664.939999999</v>
      </c>
      <c r="G17" s="1093">
        <f t="shared" ref="G17:K17" si="16">G26+G66+G150+G78+G102+G42+G126+G138+G162+G33+G54+G174+G186+G114+G90+G198</f>
        <v>16922811</v>
      </c>
      <c r="H17" s="1094">
        <f t="shared" si="16"/>
        <v>33514926</v>
      </c>
      <c r="I17" s="1100">
        <f t="shared" si="16"/>
        <v>69279861.390000001</v>
      </c>
      <c r="J17" s="1101">
        <f t="shared" si="14"/>
        <v>66.669381143024026</v>
      </c>
      <c r="K17" s="1102">
        <f t="shared" si="16"/>
        <v>15802037.449999999</v>
      </c>
      <c r="L17" s="1101">
        <f t="shared" si="9"/>
        <v>93.37714313538099</v>
      </c>
      <c r="M17" s="1103">
        <f t="shared" si="2"/>
        <v>-1120773.5500000007</v>
      </c>
      <c r="N17" s="3289"/>
    </row>
    <row r="18" spans="1:14" ht="15" customHeight="1" x14ac:dyDescent="0.2">
      <c r="A18" s="3286"/>
      <c r="B18" s="334" t="s">
        <v>16</v>
      </c>
      <c r="C18" s="27"/>
      <c r="D18" s="758">
        <f t="shared" ref="D18" si="17">D19+D21</f>
        <v>108055154</v>
      </c>
      <c r="E18" s="759">
        <f>E19+E21</f>
        <v>39879850</v>
      </c>
      <c r="F18" s="759">
        <f>F19+F21</f>
        <v>16323098</v>
      </c>
      <c r="G18" s="759">
        <f>G19+G21</f>
        <v>16962113</v>
      </c>
      <c r="H18" s="1064">
        <f>H19+H21</f>
        <v>34890093</v>
      </c>
      <c r="I18" s="758">
        <f>I19+I21</f>
        <v>74844715.879999995</v>
      </c>
      <c r="J18" s="1104">
        <f t="shared" si="14"/>
        <v>69.265290094353105</v>
      </c>
      <c r="K18" s="759">
        <f>K19+K21</f>
        <v>18641767.879999999</v>
      </c>
      <c r="L18" s="1104">
        <f t="shared" si="9"/>
        <v>109.90239175980021</v>
      </c>
      <c r="M18" s="1105">
        <f t="shared" si="2"/>
        <v>1679654.879999999</v>
      </c>
      <c r="N18" s="3289"/>
    </row>
    <row r="19" spans="1:14" ht="15" customHeight="1" x14ac:dyDescent="0.2">
      <c r="A19" s="3286"/>
      <c r="B19" s="1106" t="s">
        <v>17</v>
      </c>
      <c r="C19" s="3307"/>
      <c r="D19" s="1107">
        <f t="shared" ref="D19:K19" si="18">D20</f>
        <v>4139593</v>
      </c>
      <c r="E19" s="1108">
        <f t="shared" si="18"/>
        <v>1563612</v>
      </c>
      <c r="F19" s="1108">
        <f t="shared" si="18"/>
        <v>543527</v>
      </c>
      <c r="G19" s="1108">
        <f t="shared" si="18"/>
        <v>899313</v>
      </c>
      <c r="H19" s="1109">
        <f t="shared" si="18"/>
        <v>1133141</v>
      </c>
      <c r="I19" s="1107">
        <f t="shared" si="18"/>
        <v>2946391.4299999997</v>
      </c>
      <c r="J19" s="1099">
        <f t="shared" si="14"/>
        <v>71.175872362331262</v>
      </c>
      <c r="K19" s="1108">
        <f t="shared" si="18"/>
        <v>839252.42999999993</v>
      </c>
      <c r="L19" s="1099">
        <f t="shared" si="9"/>
        <v>93.321505415800715</v>
      </c>
      <c r="M19" s="1110">
        <f t="shared" si="2"/>
        <v>-60060.570000000065</v>
      </c>
      <c r="N19" s="3289"/>
    </row>
    <row r="20" spans="1:14" ht="15" customHeight="1" x14ac:dyDescent="0.2">
      <c r="A20" s="3286"/>
      <c r="B20" s="333" t="s">
        <v>7</v>
      </c>
      <c r="C20" s="3308"/>
      <c r="D20" s="1092">
        <f>D69+D153+D81+D105+D45+D129+D141+D165+D57+D117+D93</f>
        <v>4139593</v>
      </c>
      <c r="E20" s="1093">
        <f t="shared" ref="E20:I20" si="19">E69+E153+E81+E105+E45+E129+E141+E165+E57+E117+E93</f>
        <v>1563612</v>
      </c>
      <c r="F20" s="1093">
        <f t="shared" si="19"/>
        <v>543527</v>
      </c>
      <c r="G20" s="1093">
        <f t="shared" si="19"/>
        <v>899313</v>
      </c>
      <c r="H20" s="1094">
        <f t="shared" si="19"/>
        <v>1133141</v>
      </c>
      <c r="I20" s="1100">
        <f t="shared" si="19"/>
        <v>2946391.4299999997</v>
      </c>
      <c r="J20" s="1101">
        <f t="shared" si="14"/>
        <v>71.175872362331262</v>
      </c>
      <c r="K20" s="1111">
        <f>K69+K153+K81+K105+K45+K129+K141+K165+K57+K117+K93</f>
        <v>839252.42999999993</v>
      </c>
      <c r="L20" s="1101">
        <f t="shared" si="9"/>
        <v>93.321505415800715</v>
      </c>
      <c r="M20" s="1103">
        <f t="shared" si="2"/>
        <v>-60060.570000000065</v>
      </c>
      <c r="N20" s="3289"/>
    </row>
    <row r="21" spans="1:14" ht="15" customHeight="1" x14ac:dyDescent="0.2">
      <c r="A21" s="3286"/>
      <c r="B21" s="353" t="s">
        <v>12</v>
      </c>
      <c r="C21" s="3308"/>
      <c r="D21" s="1107">
        <f t="shared" ref="D21:K21" si="20">D22</f>
        <v>103915561</v>
      </c>
      <c r="E21" s="1108">
        <f t="shared" si="20"/>
        <v>38316238</v>
      </c>
      <c r="F21" s="1108">
        <f t="shared" si="20"/>
        <v>15779571</v>
      </c>
      <c r="G21" s="1108">
        <f t="shared" si="20"/>
        <v>16062800</v>
      </c>
      <c r="H21" s="1109">
        <f t="shared" si="20"/>
        <v>33756952</v>
      </c>
      <c r="I21" s="1107">
        <f t="shared" si="20"/>
        <v>71898324.450000003</v>
      </c>
      <c r="J21" s="1099">
        <f t="shared" si="14"/>
        <v>69.18917990540416</v>
      </c>
      <c r="K21" s="1108">
        <f t="shared" si="20"/>
        <v>17802515.449999999</v>
      </c>
      <c r="L21" s="1099">
        <f t="shared" si="9"/>
        <v>110.83071102173967</v>
      </c>
      <c r="M21" s="1110">
        <f t="shared" si="2"/>
        <v>1739715.4499999993</v>
      </c>
      <c r="N21" s="3289"/>
    </row>
    <row r="22" spans="1:14" ht="15" customHeight="1" thickBot="1" x14ac:dyDescent="0.25">
      <c r="A22" s="3287"/>
      <c r="B22" s="1112" t="s">
        <v>14</v>
      </c>
      <c r="C22" s="3309"/>
      <c r="D22" s="1113">
        <f>D29+D71+D155+D83+D107+D47+D131+D143+D167+D36+D59+D179+D191+D119+D95+D203</f>
        <v>103915561</v>
      </c>
      <c r="E22" s="1113">
        <f t="shared" ref="E22:F22" si="21">E29+E71+E155+E83+E107+E47+E131+E143+E167+E36+E59+E179+E191+E119+E95</f>
        <v>38316238</v>
      </c>
      <c r="F22" s="1113">
        <f t="shared" si="21"/>
        <v>15779571</v>
      </c>
      <c r="G22" s="1113">
        <f t="shared" ref="G22:K22" si="22">G29+G71+G155+G83+G107+G47+G131+G143+G167+G36+G59+G179+G191+G119+G95+G203</f>
        <v>16062800</v>
      </c>
      <c r="H22" s="1113">
        <f t="shared" si="22"/>
        <v>33756952</v>
      </c>
      <c r="I22" s="1113">
        <f t="shared" si="22"/>
        <v>71898324.450000003</v>
      </c>
      <c r="J22" s="1114">
        <f t="shared" si="14"/>
        <v>69.18917990540416</v>
      </c>
      <c r="K22" s="1115">
        <f t="shared" si="22"/>
        <v>17802515.449999999</v>
      </c>
      <c r="L22" s="1116">
        <f t="shared" si="9"/>
        <v>110.83071102173967</v>
      </c>
      <c r="M22" s="1117">
        <f t="shared" si="2"/>
        <v>1739715.4499999993</v>
      </c>
      <c r="N22" s="3290"/>
    </row>
    <row r="23" spans="1:14" ht="48.75" hidden="1" customHeight="1" x14ac:dyDescent="0.25">
      <c r="A23" s="3304" t="s">
        <v>32</v>
      </c>
      <c r="B23" s="1118" t="s">
        <v>102</v>
      </c>
      <c r="C23" s="1119"/>
      <c r="D23" s="3165" t="s">
        <v>103</v>
      </c>
      <c r="E23" s="3166"/>
      <c r="F23" s="3166"/>
      <c r="G23" s="3166"/>
      <c r="H23" s="3310"/>
      <c r="I23" s="766"/>
      <c r="J23" s="767" t="e">
        <f>I23/#REF!*100</f>
        <v>#REF!</v>
      </c>
      <c r="K23" s="767"/>
      <c r="L23" s="767" t="e">
        <f>K23/#REF!*100</f>
        <v>#REF!</v>
      </c>
      <c r="M23" s="1086">
        <f t="shared" ref="M23:M63" si="23">+K23-G23*0.25</f>
        <v>0</v>
      </c>
      <c r="N23" s="3275" t="s">
        <v>104</v>
      </c>
    </row>
    <row r="24" spans="1:14" ht="13.5" hidden="1" customHeight="1" x14ac:dyDescent="0.25">
      <c r="A24" s="3117"/>
      <c r="B24" s="334" t="s">
        <v>2</v>
      </c>
      <c r="C24" s="27"/>
      <c r="D24" s="673">
        <v>0</v>
      </c>
      <c r="E24" s="593">
        <v>0</v>
      </c>
      <c r="F24" s="593">
        <v>0</v>
      </c>
      <c r="G24" s="593">
        <v>0</v>
      </c>
      <c r="H24" s="532">
        <v>0</v>
      </c>
      <c r="I24" s="673">
        <v>0</v>
      </c>
      <c r="J24" s="760" t="e">
        <f>I24/#REF!*100</f>
        <v>#REF!</v>
      </c>
      <c r="K24" s="593">
        <v>0</v>
      </c>
      <c r="L24" s="760" t="e">
        <f>K24/#REF!*100</f>
        <v>#REF!</v>
      </c>
      <c r="M24" s="1086">
        <f t="shared" si="23"/>
        <v>0</v>
      </c>
      <c r="N24" s="3266"/>
    </row>
    <row r="25" spans="1:14" ht="11.25" hidden="1" customHeight="1" x14ac:dyDescent="0.25">
      <c r="A25" s="3117"/>
      <c r="B25" s="473" t="s">
        <v>12</v>
      </c>
      <c r="C25" s="3295" t="s">
        <v>105</v>
      </c>
      <c r="D25" s="683">
        <v>0</v>
      </c>
      <c r="E25" s="477">
        <v>0</v>
      </c>
      <c r="F25" s="607">
        <v>0</v>
      </c>
      <c r="G25" s="607">
        <v>0</v>
      </c>
      <c r="H25" s="676">
        <v>0</v>
      </c>
      <c r="I25" s="1120">
        <v>0</v>
      </c>
      <c r="J25" s="607" t="e">
        <f>I25/#REF!*100</f>
        <v>#REF!</v>
      </c>
      <c r="K25" s="607">
        <v>0</v>
      </c>
      <c r="L25" s="607" t="e">
        <f>K25/#REF!*100</f>
        <v>#REF!</v>
      </c>
      <c r="M25" s="1086">
        <f t="shared" si="23"/>
        <v>0</v>
      </c>
      <c r="N25" s="3266"/>
    </row>
    <row r="26" spans="1:14" ht="13.5" hidden="1" customHeight="1" x14ac:dyDescent="0.25">
      <c r="A26" s="3117"/>
      <c r="B26" s="460" t="s">
        <v>14</v>
      </c>
      <c r="C26" s="3295"/>
      <c r="D26" s="480">
        <v>0</v>
      </c>
      <c r="E26" s="470">
        <v>0</v>
      </c>
      <c r="F26" s="470">
        <v>0</v>
      </c>
      <c r="G26" s="470">
        <v>0</v>
      </c>
      <c r="H26" s="483">
        <v>0</v>
      </c>
      <c r="I26" s="481">
        <v>0</v>
      </c>
      <c r="J26" s="1121" t="e">
        <f>I26/#REF!*100</f>
        <v>#REF!</v>
      </c>
      <c r="K26" s="470">
        <v>0</v>
      </c>
      <c r="L26" s="1121" t="e">
        <f>K26/#REF!*100</f>
        <v>#REF!</v>
      </c>
      <c r="M26" s="1086">
        <f t="shared" si="23"/>
        <v>0</v>
      </c>
      <c r="N26" s="3266"/>
    </row>
    <row r="27" spans="1:14" ht="13.5" hidden="1" customHeight="1" x14ac:dyDescent="0.25">
      <c r="A27" s="3118"/>
      <c r="B27" s="334" t="s">
        <v>16</v>
      </c>
      <c r="C27" s="27"/>
      <c r="D27" s="673">
        <v>0</v>
      </c>
      <c r="E27" s="593">
        <v>0</v>
      </c>
      <c r="F27" s="593">
        <v>0</v>
      </c>
      <c r="G27" s="593">
        <v>0</v>
      </c>
      <c r="H27" s="532">
        <v>0</v>
      </c>
      <c r="I27" s="673">
        <v>0</v>
      </c>
      <c r="J27" s="760" t="e">
        <f>I27/#REF!*100</f>
        <v>#REF!</v>
      </c>
      <c r="K27" s="593">
        <v>0</v>
      </c>
      <c r="L27" s="760" t="e">
        <f>K27/#REF!*100</f>
        <v>#REF!</v>
      </c>
      <c r="M27" s="1086">
        <f t="shared" si="23"/>
        <v>0</v>
      </c>
      <c r="N27" s="3171"/>
    </row>
    <row r="28" spans="1:14" ht="12" hidden="1" customHeight="1" x14ac:dyDescent="0.25">
      <c r="A28" s="3118"/>
      <c r="B28" s="473" t="s">
        <v>12</v>
      </c>
      <c r="C28" s="3311" t="s">
        <v>106</v>
      </c>
      <c r="D28" s="683">
        <v>0</v>
      </c>
      <c r="E28" s="477">
        <v>0</v>
      </c>
      <c r="F28" s="477">
        <v>0</v>
      </c>
      <c r="G28" s="477">
        <v>0</v>
      </c>
      <c r="H28" s="478">
        <v>0</v>
      </c>
      <c r="I28" s="683">
        <v>0</v>
      </c>
      <c r="J28" s="607" t="e">
        <f>I28/#REF!*100</f>
        <v>#REF!</v>
      </c>
      <c r="K28" s="477">
        <v>0</v>
      </c>
      <c r="L28" s="607" t="e">
        <f>K28/#REF!*100</f>
        <v>#REF!</v>
      </c>
      <c r="M28" s="1086">
        <f t="shared" si="23"/>
        <v>0</v>
      </c>
      <c r="N28" s="3171"/>
    </row>
    <row r="29" spans="1:14" ht="13.5" hidden="1" customHeight="1" thickBot="1" x14ac:dyDescent="0.25">
      <c r="A29" s="3119"/>
      <c r="B29" s="537" t="s">
        <v>14</v>
      </c>
      <c r="C29" s="3312"/>
      <c r="D29" s="525">
        <v>0</v>
      </c>
      <c r="E29" s="526">
        <v>0</v>
      </c>
      <c r="F29" s="526">
        <v>0</v>
      </c>
      <c r="G29" s="526">
        <v>0</v>
      </c>
      <c r="H29" s="603">
        <v>0</v>
      </c>
      <c r="I29" s="1122">
        <v>0</v>
      </c>
      <c r="J29" s="1123" t="e">
        <f>I29/#REF!*100</f>
        <v>#REF!</v>
      </c>
      <c r="K29" s="526">
        <v>0</v>
      </c>
      <c r="L29" s="1123" t="e">
        <f>K29/#REF!*100</f>
        <v>#REF!</v>
      </c>
      <c r="M29" s="1086">
        <f t="shared" si="23"/>
        <v>0</v>
      </c>
      <c r="N29" s="3172"/>
    </row>
    <row r="30" spans="1:14" ht="24" customHeight="1" x14ac:dyDescent="0.2">
      <c r="A30" s="3304" t="s">
        <v>32</v>
      </c>
      <c r="B30" s="541" t="s">
        <v>223</v>
      </c>
      <c r="C30" s="443" t="s">
        <v>173</v>
      </c>
      <c r="D30" s="444"/>
      <c r="E30" s="445"/>
      <c r="F30" s="445"/>
      <c r="G30" s="445"/>
      <c r="H30" s="1124"/>
      <c r="I30" s="444"/>
      <c r="J30" s="445"/>
      <c r="K30" s="445"/>
      <c r="L30" s="445"/>
      <c r="M30" s="449"/>
      <c r="N30" s="3275" t="s">
        <v>104</v>
      </c>
    </row>
    <row r="31" spans="1:14" ht="15" customHeight="1" x14ac:dyDescent="0.2">
      <c r="A31" s="3117"/>
      <c r="B31" s="334" t="s">
        <v>2</v>
      </c>
      <c r="C31" s="27"/>
      <c r="D31" s="415">
        <f t="shared" ref="D31:H32" si="24">+D32</f>
        <v>5486623</v>
      </c>
      <c r="E31" s="416">
        <f t="shared" si="24"/>
        <v>2762944</v>
      </c>
      <c r="F31" s="416">
        <f t="shared" si="24"/>
        <v>2685779</v>
      </c>
      <c r="G31" s="416">
        <f t="shared" si="24"/>
        <v>37900</v>
      </c>
      <c r="H31" s="418">
        <f t="shared" si="24"/>
        <v>0</v>
      </c>
      <c r="I31" s="415">
        <f>I32</f>
        <v>5486215</v>
      </c>
      <c r="J31" s="1104">
        <f>I31/D31*100</f>
        <v>99.99256373182557</v>
      </c>
      <c r="K31" s="416">
        <f>+K32</f>
        <v>37492</v>
      </c>
      <c r="L31" s="1104">
        <f>K31/G31*100</f>
        <v>98.923482849604213</v>
      </c>
      <c r="M31" s="453">
        <f>+K31-G31</f>
        <v>-408</v>
      </c>
      <c r="N31" s="3266"/>
    </row>
    <row r="32" spans="1:14" ht="15" customHeight="1" x14ac:dyDescent="0.2">
      <c r="A32" s="3117"/>
      <c r="B32" s="473" t="s">
        <v>12</v>
      </c>
      <c r="C32" s="3295" t="s">
        <v>105</v>
      </c>
      <c r="D32" s="474">
        <f t="shared" si="24"/>
        <v>5486623</v>
      </c>
      <c r="E32" s="475">
        <f t="shared" si="24"/>
        <v>2762944</v>
      </c>
      <c r="F32" s="520">
        <f t="shared" si="24"/>
        <v>2685779</v>
      </c>
      <c r="G32" s="916">
        <f t="shared" si="24"/>
        <v>37900</v>
      </c>
      <c r="H32" s="1125">
        <f t="shared" si="24"/>
        <v>0</v>
      </c>
      <c r="I32" s="918">
        <f>I33</f>
        <v>5486215</v>
      </c>
      <c r="J32" s="1126">
        <f t="shared" ref="J32:J36" si="25">I32/D32*100</f>
        <v>99.99256373182557</v>
      </c>
      <c r="K32" s="916">
        <f>+K33</f>
        <v>37492</v>
      </c>
      <c r="L32" s="1126">
        <f>K32/G32*100</f>
        <v>98.923482849604213</v>
      </c>
      <c r="M32" s="919">
        <f>+K32-G32</f>
        <v>-408</v>
      </c>
      <c r="N32" s="3266"/>
    </row>
    <row r="33" spans="1:14" ht="15" customHeight="1" thickBot="1" x14ac:dyDescent="0.25">
      <c r="A33" s="3206"/>
      <c r="B33" s="664" t="s">
        <v>14</v>
      </c>
      <c r="C33" s="3306"/>
      <c r="D33" s="626">
        <f>+E33+F33+G33+H33</f>
        <v>5486623</v>
      </c>
      <c r="E33" s="627">
        <v>2762944</v>
      </c>
      <c r="F33" s="627">
        <v>2685779</v>
      </c>
      <c r="G33" s="627">
        <v>37900</v>
      </c>
      <c r="H33" s="1127">
        <v>0</v>
      </c>
      <c r="I33" s="626">
        <f>E33+F33+K33</f>
        <v>5486215</v>
      </c>
      <c r="J33" s="1128">
        <f t="shared" si="25"/>
        <v>99.99256373182557</v>
      </c>
      <c r="K33" s="627">
        <v>37492</v>
      </c>
      <c r="L33" s="1128">
        <f>K33/G33*100</f>
        <v>98.923482849604213</v>
      </c>
      <c r="M33" s="1129">
        <f>+K33-G33</f>
        <v>-408</v>
      </c>
      <c r="N33" s="3301"/>
    </row>
    <row r="34" spans="1:14" ht="15" customHeight="1" x14ac:dyDescent="0.2">
      <c r="A34" s="3205"/>
      <c r="B34" s="334" t="s">
        <v>16</v>
      </c>
      <c r="C34" s="27"/>
      <c r="D34" s="415">
        <f>+D35</f>
        <v>5486623</v>
      </c>
      <c r="E34" s="416">
        <f t="shared" ref="E34:K35" si="26">+E35</f>
        <v>2975000</v>
      </c>
      <c r="F34" s="416">
        <f t="shared" si="26"/>
        <v>2511623</v>
      </c>
      <c r="G34" s="593">
        <f t="shared" si="26"/>
        <v>0</v>
      </c>
      <c r="H34" s="1130">
        <f t="shared" si="26"/>
        <v>0</v>
      </c>
      <c r="I34" s="415">
        <f t="shared" si="26"/>
        <v>5486623</v>
      </c>
      <c r="J34" s="1104">
        <f t="shared" si="25"/>
        <v>100</v>
      </c>
      <c r="K34" s="593">
        <f t="shared" si="26"/>
        <v>0</v>
      </c>
      <c r="L34" s="760">
        <v>0</v>
      </c>
      <c r="M34" s="532">
        <f>+K34-G34</f>
        <v>0</v>
      </c>
      <c r="N34" s="3305"/>
    </row>
    <row r="35" spans="1:14" ht="15" customHeight="1" x14ac:dyDescent="0.2">
      <c r="A35" s="3118"/>
      <c r="B35" s="473" t="s">
        <v>12</v>
      </c>
      <c r="C35" s="3295" t="s">
        <v>106</v>
      </c>
      <c r="D35" s="474">
        <f>+D36</f>
        <v>5486623</v>
      </c>
      <c r="E35" s="475">
        <f t="shared" si="26"/>
        <v>2975000</v>
      </c>
      <c r="F35" s="475">
        <f t="shared" si="26"/>
        <v>2511623</v>
      </c>
      <c r="G35" s="477">
        <f t="shared" si="26"/>
        <v>0</v>
      </c>
      <c r="H35" s="1131">
        <f t="shared" si="26"/>
        <v>0</v>
      </c>
      <c r="I35" s="474">
        <f t="shared" si="26"/>
        <v>5486623</v>
      </c>
      <c r="J35" s="1132">
        <f t="shared" si="25"/>
        <v>100</v>
      </c>
      <c r="K35" s="477">
        <f t="shared" si="26"/>
        <v>0</v>
      </c>
      <c r="L35" s="607">
        <v>0</v>
      </c>
      <c r="M35" s="478">
        <f t="shared" si="23"/>
        <v>0</v>
      </c>
      <c r="N35" s="3171"/>
    </row>
    <row r="36" spans="1:14" ht="15" customHeight="1" thickBot="1" x14ac:dyDescent="0.25">
      <c r="A36" s="3119"/>
      <c r="B36" s="537" t="s">
        <v>14</v>
      </c>
      <c r="C36" s="3296"/>
      <c r="D36" s="500">
        <f>+E36+F36+G36+H36</f>
        <v>5486623</v>
      </c>
      <c r="E36" s="502">
        <v>2975000</v>
      </c>
      <c r="F36" s="502">
        <v>2511623</v>
      </c>
      <c r="G36" s="526">
        <v>0</v>
      </c>
      <c r="H36" s="1133">
        <v>0</v>
      </c>
      <c r="I36" s="500">
        <f>K36+E36+F36</f>
        <v>5486623</v>
      </c>
      <c r="J36" s="1134">
        <f t="shared" si="25"/>
        <v>100</v>
      </c>
      <c r="K36" s="526">
        <v>0</v>
      </c>
      <c r="L36" s="1123">
        <v>0</v>
      </c>
      <c r="M36" s="603">
        <f t="shared" si="23"/>
        <v>0</v>
      </c>
      <c r="N36" s="3172"/>
    </row>
    <row r="37" spans="1:14" ht="27" customHeight="1" x14ac:dyDescent="0.2">
      <c r="A37" s="3116" t="s">
        <v>35</v>
      </c>
      <c r="B37" s="1135" t="s">
        <v>224</v>
      </c>
      <c r="C37" s="1136" t="s">
        <v>173</v>
      </c>
      <c r="D37" s="444"/>
      <c r="E37" s="445"/>
      <c r="F37" s="445"/>
      <c r="G37" s="1137"/>
      <c r="H37" s="446"/>
      <c r="I37" s="444"/>
      <c r="J37" s="445"/>
      <c r="K37" s="445"/>
      <c r="L37" s="445"/>
      <c r="M37" s="1138"/>
      <c r="N37" s="3275" t="s">
        <v>104</v>
      </c>
    </row>
    <row r="38" spans="1:14" ht="12.75" customHeight="1" thickBot="1" x14ac:dyDescent="0.25">
      <c r="A38" s="3117"/>
      <c r="B38" s="912" t="s">
        <v>2</v>
      </c>
      <c r="C38" s="414"/>
      <c r="D38" s="513">
        <f>+D39+D41</f>
        <v>2241484</v>
      </c>
      <c r="E38" s="514">
        <f>E39+E41</f>
        <v>0</v>
      </c>
      <c r="F38" s="416">
        <f>F39+F41</f>
        <v>0</v>
      </c>
      <c r="G38" s="416">
        <f>G39+G41</f>
        <v>1125736</v>
      </c>
      <c r="H38" s="417">
        <f>H39+H41</f>
        <v>1115748</v>
      </c>
      <c r="I38" s="513">
        <f t="shared" ref="I38:I47" si="27">K38+E38+F38</f>
        <v>1074883</v>
      </c>
      <c r="J38" s="1104">
        <f>I38/D38*100</f>
        <v>47.954078637188573</v>
      </c>
      <c r="K38" s="416">
        <f>K41</f>
        <v>1074883</v>
      </c>
      <c r="L38" s="1104">
        <f>K38/G38*100</f>
        <v>95.482688658797443</v>
      </c>
      <c r="M38" s="453">
        <f>+K38-G38</f>
        <v>-50853</v>
      </c>
      <c r="N38" s="3266"/>
    </row>
    <row r="39" spans="1:14" ht="13.5" hidden="1" customHeight="1" x14ac:dyDescent="0.25">
      <c r="A39" s="3206"/>
      <c r="B39" s="837" t="s">
        <v>17</v>
      </c>
      <c r="C39" s="3313" t="s">
        <v>105</v>
      </c>
      <c r="D39" s="519">
        <f>+D40</f>
        <v>0</v>
      </c>
      <c r="E39" s="475">
        <f>E40</f>
        <v>0</v>
      </c>
      <c r="F39" s="475">
        <f>F40</f>
        <v>0</v>
      </c>
      <c r="G39" s="475">
        <f>G40</f>
        <v>0</v>
      </c>
      <c r="H39" s="592">
        <v>0</v>
      </c>
      <c r="I39" s="519">
        <f t="shared" si="27"/>
        <v>0</v>
      </c>
      <c r="J39" s="1132" t="e">
        <f>I39/#REF!*100</f>
        <v>#REF!</v>
      </c>
      <c r="K39" s="917">
        <f>+K40</f>
        <v>0</v>
      </c>
      <c r="L39" s="1132" t="e">
        <f>K39/#REF!*100</f>
        <v>#REF!</v>
      </c>
      <c r="M39" s="479">
        <f t="shared" ref="M39:M45" si="28">+K39-G39*0.25</f>
        <v>0</v>
      </c>
      <c r="N39" s="3266"/>
    </row>
    <row r="40" spans="1:14" ht="13.5" hidden="1" customHeight="1" x14ac:dyDescent="0.25">
      <c r="A40" s="3188"/>
      <c r="B40" s="845" t="s">
        <v>7</v>
      </c>
      <c r="C40" s="3314"/>
      <c r="D40" s="461">
        <f>+E40+F40+G40+H40</f>
        <v>0</v>
      </c>
      <c r="E40" s="574"/>
      <c r="F40" s="574"/>
      <c r="G40" s="574">
        <v>0</v>
      </c>
      <c r="H40" s="1139">
        <v>0</v>
      </c>
      <c r="I40" s="464">
        <f t="shared" si="27"/>
        <v>0</v>
      </c>
      <c r="J40" s="1140" t="e">
        <f>I40/#REF!*100</f>
        <v>#REF!</v>
      </c>
      <c r="K40" s="470">
        <v>0</v>
      </c>
      <c r="L40" s="1140" t="e">
        <f>K40/#REF!*100</f>
        <v>#REF!</v>
      </c>
      <c r="M40" s="1036">
        <f t="shared" si="28"/>
        <v>0</v>
      </c>
      <c r="N40" s="3266"/>
    </row>
    <row r="41" spans="1:14" ht="14.25" customHeight="1" thickBot="1" x14ac:dyDescent="0.25">
      <c r="A41" s="3188"/>
      <c r="B41" s="860" t="s">
        <v>12</v>
      </c>
      <c r="C41" s="3314"/>
      <c r="D41" s="474">
        <f>+D42</f>
        <v>2241484</v>
      </c>
      <c r="E41" s="475">
        <f>E42</f>
        <v>0</v>
      </c>
      <c r="F41" s="475">
        <f>F42</f>
        <v>0</v>
      </c>
      <c r="G41" s="475">
        <f>G42</f>
        <v>1125736</v>
      </c>
      <c r="H41" s="592">
        <f>H42</f>
        <v>1115748</v>
      </c>
      <c r="I41" s="474">
        <f t="shared" si="27"/>
        <v>1074883</v>
      </c>
      <c r="J41" s="1132">
        <f>I41/D41*100</f>
        <v>47.954078637188573</v>
      </c>
      <c r="K41" s="916">
        <f>K42</f>
        <v>1074883</v>
      </c>
      <c r="L41" s="1132">
        <f>K41/G41*100</f>
        <v>95.482688658797443</v>
      </c>
      <c r="M41" s="479">
        <f>+K41-G41</f>
        <v>-50853</v>
      </c>
      <c r="N41" s="3266"/>
    </row>
    <row r="42" spans="1:14" ht="14.25" customHeight="1" x14ac:dyDescent="0.2">
      <c r="A42" s="3173"/>
      <c r="B42" s="845" t="s">
        <v>14</v>
      </c>
      <c r="C42" s="3314"/>
      <c r="D42" s="461">
        <f>+E42+F42+G42+H42</f>
        <v>2241484</v>
      </c>
      <c r="E42" s="463"/>
      <c r="F42" s="463"/>
      <c r="G42" s="463">
        <v>1125736</v>
      </c>
      <c r="H42" s="1066">
        <v>1115748</v>
      </c>
      <c r="I42" s="464">
        <f t="shared" si="27"/>
        <v>1074883</v>
      </c>
      <c r="J42" s="1140">
        <f>I42/D42*100</f>
        <v>47.954078637188573</v>
      </c>
      <c r="K42" s="463">
        <v>1074883</v>
      </c>
      <c r="L42" s="1140">
        <f>K42/G42*100</f>
        <v>95.482688658797443</v>
      </c>
      <c r="M42" s="467">
        <f>+K42-G42</f>
        <v>-50853</v>
      </c>
      <c r="N42" s="3266"/>
    </row>
    <row r="43" spans="1:14" ht="14.25" customHeight="1" x14ac:dyDescent="0.2">
      <c r="A43" s="3206"/>
      <c r="B43" s="912" t="s">
        <v>16</v>
      </c>
      <c r="C43" s="414"/>
      <c r="D43" s="415">
        <f>+D44+D46</f>
        <v>2241484</v>
      </c>
      <c r="E43" s="416">
        <f>E44+E46</f>
        <v>0</v>
      </c>
      <c r="F43" s="416">
        <f>F44+F46</f>
        <v>0</v>
      </c>
      <c r="G43" s="416">
        <f>G44+G46</f>
        <v>1125736</v>
      </c>
      <c r="H43" s="417">
        <f>H44+H46</f>
        <v>1115748</v>
      </c>
      <c r="I43" s="415">
        <f t="shared" si="27"/>
        <v>1125736</v>
      </c>
      <c r="J43" s="1104">
        <f>I43/D43*100</f>
        <v>50.222798824350299</v>
      </c>
      <c r="K43" s="416">
        <f>K46</f>
        <v>1125736</v>
      </c>
      <c r="L43" s="1104">
        <f>K43/G43*100</f>
        <v>100</v>
      </c>
      <c r="M43" s="453">
        <f>+K43-G43</f>
        <v>0</v>
      </c>
      <c r="N43" s="3266"/>
    </row>
    <row r="44" spans="1:14" ht="13.5" hidden="1" customHeight="1" x14ac:dyDescent="0.2">
      <c r="A44" s="3116"/>
      <c r="B44" s="837" t="s">
        <v>17</v>
      </c>
      <c r="C44" s="3313" t="s">
        <v>117</v>
      </c>
      <c r="D44" s="474">
        <f>+D45</f>
        <v>0</v>
      </c>
      <c r="E44" s="475">
        <f>E45</f>
        <v>0</v>
      </c>
      <c r="F44" s="475">
        <f>F45</f>
        <v>0</v>
      </c>
      <c r="G44" s="475">
        <f>G45</f>
        <v>0</v>
      </c>
      <c r="H44" s="592">
        <v>0</v>
      </c>
      <c r="I44" s="474">
        <f t="shared" si="27"/>
        <v>0</v>
      </c>
      <c r="J44" s="1132" t="e">
        <f>I44/#REF!*100</f>
        <v>#REF!</v>
      </c>
      <c r="K44" s="477">
        <f>+K45</f>
        <v>0</v>
      </c>
      <c r="L44" s="3316" t="s">
        <v>266</v>
      </c>
      <c r="M44" s="479">
        <f t="shared" si="28"/>
        <v>0</v>
      </c>
      <c r="N44" s="3266"/>
    </row>
    <row r="45" spans="1:14" ht="13.5" hidden="1" customHeight="1" x14ac:dyDescent="0.2">
      <c r="A45" s="3117"/>
      <c r="B45" s="845" t="s">
        <v>7</v>
      </c>
      <c r="C45" s="3314"/>
      <c r="D45" s="461">
        <f>+E45+F45+G45+H45</f>
        <v>0</v>
      </c>
      <c r="E45" s="574"/>
      <c r="F45" s="574"/>
      <c r="G45" s="574">
        <v>0</v>
      </c>
      <c r="H45" s="1139">
        <v>0</v>
      </c>
      <c r="I45" s="461">
        <f t="shared" si="27"/>
        <v>0</v>
      </c>
      <c r="J45" s="1140" t="e">
        <f>I45/#REF!*100</f>
        <v>#REF!</v>
      </c>
      <c r="K45" s="609">
        <v>0</v>
      </c>
      <c r="L45" s="3316"/>
      <c r="M45" s="1036">
        <f t="shared" si="28"/>
        <v>0</v>
      </c>
      <c r="N45" s="3266"/>
    </row>
    <row r="46" spans="1:14" ht="14.25" customHeight="1" x14ac:dyDescent="0.2">
      <c r="A46" s="3118"/>
      <c r="B46" s="860" t="s">
        <v>12</v>
      </c>
      <c r="C46" s="3314"/>
      <c r="D46" s="474">
        <f>+D47</f>
        <v>2241484</v>
      </c>
      <c r="E46" s="475">
        <f>E47</f>
        <v>0</v>
      </c>
      <c r="F46" s="475">
        <f>F47</f>
        <v>0</v>
      </c>
      <c r="G46" s="475">
        <f>G47</f>
        <v>1125736</v>
      </c>
      <c r="H46" s="592">
        <f>H47</f>
        <v>1115748</v>
      </c>
      <c r="I46" s="474">
        <f t="shared" si="27"/>
        <v>1125736</v>
      </c>
      <c r="J46" s="1132">
        <f>I46/D46*100</f>
        <v>50.222798824350299</v>
      </c>
      <c r="K46" s="916">
        <f>K47</f>
        <v>1125736</v>
      </c>
      <c r="L46" s="176">
        <v>10</v>
      </c>
      <c r="M46" s="479">
        <f>+K46-G46</f>
        <v>0</v>
      </c>
      <c r="N46" s="3171"/>
    </row>
    <row r="47" spans="1:14" ht="13.5" customHeight="1" thickBot="1" x14ac:dyDescent="0.25">
      <c r="A47" s="3119"/>
      <c r="B47" s="1141" t="s">
        <v>14</v>
      </c>
      <c r="C47" s="3315"/>
      <c r="D47" s="500">
        <f>+E47+F47+G47+H47</f>
        <v>2241484</v>
      </c>
      <c r="E47" s="502"/>
      <c r="F47" s="502"/>
      <c r="G47" s="502">
        <v>1125736</v>
      </c>
      <c r="H47" s="1062">
        <v>1115748</v>
      </c>
      <c r="I47" s="504">
        <f t="shared" si="27"/>
        <v>1125736</v>
      </c>
      <c r="J47" s="1134">
        <f>I47/D47*100</f>
        <v>50.222798824350299</v>
      </c>
      <c r="K47" s="502">
        <v>1125736</v>
      </c>
      <c r="L47" s="539">
        <f>K47/G47*100</f>
        <v>100</v>
      </c>
      <c r="M47" s="507">
        <f>+K47-G47</f>
        <v>0</v>
      </c>
      <c r="N47" s="3172"/>
    </row>
    <row r="48" spans="1:14" ht="27.75" customHeight="1" x14ac:dyDescent="0.2">
      <c r="A48" s="3272" t="s">
        <v>40</v>
      </c>
      <c r="B48" s="2994" t="s">
        <v>292</v>
      </c>
      <c r="C48" s="443" t="s">
        <v>173</v>
      </c>
      <c r="D48" s="444"/>
      <c r="E48" s="445"/>
      <c r="F48" s="445"/>
      <c r="G48" s="449"/>
      <c r="H48" s="449"/>
      <c r="I48" s="444"/>
      <c r="J48" s="445"/>
      <c r="K48" s="445"/>
      <c r="L48" s="1124"/>
      <c r="M48" s="449"/>
      <c r="N48" s="3275" t="s">
        <v>107</v>
      </c>
    </row>
    <row r="49" spans="1:14" s="809" customFormat="1" ht="14.25" customHeight="1" x14ac:dyDescent="0.2">
      <c r="A49" s="3006"/>
      <c r="B49" s="1151" t="s">
        <v>2</v>
      </c>
      <c r="C49" s="551"/>
      <c r="D49" s="518">
        <f t="shared" ref="D49:I49" si="29">+D50+D53</f>
        <v>5000000</v>
      </c>
      <c r="E49" s="518">
        <f t="shared" si="29"/>
        <v>0</v>
      </c>
      <c r="F49" s="518">
        <f t="shared" si="29"/>
        <v>43489</v>
      </c>
      <c r="G49" s="518">
        <f t="shared" si="29"/>
        <v>1918511</v>
      </c>
      <c r="H49" s="518">
        <f t="shared" si="29"/>
        <v>3038000</v>
      </c>
      <c r="I49" s="513">
        <f t="shared" si="29"/>
        <v>1871640</v>
      </c>
      <c r="J49" s="1104">
        <f t="shared" ref="J49:J71" si="30">I49/D49*100</f>
        <v>37.4328</v>
      </c>
      <c r="K49" s="514">
        <f>+K50+K53</f>
        <v>1828151</v>
      </c>
      <c r="L49" s="1142">
        <f>+K49/G49*100</f>
        <v>95.290097372389312</v>
      </c>
      <c r="M49" s="518">
        <f>+K49-G49</f>
        <v>-90360</v>
      </c>
      <c r="N49" s="3266"/>
    </row>
    <row r="50" spans="1:14" s="1145" customFormat="1" ht="14.25" customHeight="1" x14ac:dyDescent="0.2">
      <c r="A50" s="3006"/>
      <c r="B50" s="1143" t="s">
        <v>17</v>
      </c>
      <c r="C50" s="3267" t="s">
        <v>109</v>
      </c>
      <c r="D50" s="474">
        <f t="shared" ref="D50:H50" si="31">+D51+D52</f>
        <v>750000</v>
      </c>
      <c r="E50" s="916">
        <f t="shared" si="31"/>
        <v>0</v>
      </c>
      <c r="F50" s="520">
        <f t="shared" si="31"/>
        <v>6523</v>
      </c>
      <c r="G50" s="521">
        <f t="shared" si="31"/>
        <v>287777</v>
      </c>
      <c r="H50" s="521">
        <f t="shared" si="31"/>
        <v>455700</v>
      </c>
      <c r="I50" s="474">
        <f>+I52</f>
        <v>280746</v>
      </c>
      <c r="J50" s="1132">
        <f t="shared" si="30"/>
        <v>37.4328</v>
      </c>
      <c r="K50" s="520">
        <f>+K51+K52</f>
        <v>274223</v>
      </c>
      <c r="L50" s="1144">
        <f>+K50/G50*100</f>
        <v>95.290103100664751</v>
      </c>
      <c r="M50" s="521">
        <f>+K50-G50</f>
        <v>-13554</v>
      </c>
      <c r="N50" s="3266"/>
    </row>
    <row r="51" spans="1:14" ht="13.5" hidden="1" customHeight="1" x14ac:dyDescent="0.25">
      <c r="A51" s="3006"/>
      <c r="B51" s="493" t="s">
        <v>4</v>
      </c>
      <c r="C51" s="3277"/>
      <c r="D51" s="481">
        <v>0</v>
      </c>
      <c r="E51" s="463">
        <v>0</v>
      </c>
      <c r="F51" s="462"/>
      <c r="G51" s="471">
        <v>0</v>
      </c>
      <c r="H51" s="471">
        <v>0</v>
      </c>
      <c r="I51" s="481">
        <v>0</v>
      </c>
      <c r="J51" s="1140" t="e">
        <f>I51/#REF!*100</f>
        <v>#REF!</v>
      </c>
      <c r="K51" s="482">
        <v>0</v>
      </c>
      <c r="L51" s="1146" t="e">
        <f>K51/#REF!*100</f>
        <v>#REF!</v>
      </c>
      <c r="M51" s="483">
        <f t="shared" si="23"/>
        <v>0</v>
      </c>
      <c r="N51" s="3276"/>
    </row>
    <row r="52" spans="1:14" ht="14.25" customHeight="1" x14ac:dyDescent="0.2">
      <c r="A52" s="3006"/>
      <c r="B52" s="493" t="s">
        <v>7</v>
      </c>
      <c r="C52" s="3278"/>
      <c r="D52" s="461">
        <f>+E52+F52+G52+H52</f>
        <v>750000</v>
      </c>
      <c r="E52" s="463">
        <v>0</v>
      </c>
      <c r="F52" s="462">
        <v>6523</v>
      </c>
      <c r="G52" s="573">
        <v>287777</v>
      </c>
      <c r="H52" s="573">
        <f>324060+131640</f>
        <v>455700</v>
      </c>
      <c r="I52" s="461">
        <f>+F52+K52</f>
        <v>280746</v>
      </c>
      <c r="J52" s="1140">
        <f t="shared" si="30"/>
        <v>37.4328</v>
      </c>
      <c r="K52" s="462">
        <v>274223</v>
      </c>
      <c r="L52" s="1146">
        <f t="shared" ref="L52:L59" si="32">+K52/G52*100</f>
        <v>95.290103100664751</v>
      </c>
      <c r="M52" s="573">
        <f t="shared" ref="M52:M59" si="33">+K52-G52</f>
        <v>-13554</v>
      </c>
      <c r="N52" s="3265"/>
    </row>
    <row r="53" spans="1:14" s="1145" customFormat="1" ht="14.25" customHeight="1" x14ac:dyDescent="0.2">
      <c r="A53" s="3006"/>
      <c r="B53" s="1147" t="s">
        <v>12</v>
      </c>
      <c r="C53" s="3278"/>
      <c r="D53" s="1148">
        <f t="shared" ref="D53:I53" si="34">+D54</f>
        <v>4250000</v>
      </c>
      <c r="E53" s="663">
        <f t="shared" si="34"/>
        <v>0</v>
      </c>
      <c r="F53" s="620">
        <f t="shared" si="34"/>
        <v>36966</v>
      </c>
      <c r="G53" s="1149">
        <f t="shared" si="34"/>
        <v>1630734</v>
      </c>
      <c r="H53" s="1149">
        <f t="shared" si="34"/>
        <v>2582300</v>
      </c>
      <c r="I53" s="1148">
        <f t="shared" si="34"/>
        <v>1590894</v>
      </c>
      <c r="J53" s="1132">
        <f t="shared" si="30"/>
        <v>37.4328</v>
      </c>
      <c r="K53" s="620">
        <f>+K54</f>
        <v>1553928</v>
      </c>
      <c r="L53" s="1144">
        <f t="shared" si="32"/>
        <v>95.290096361515737</v>
      </c>
      <c r="M53" s="1149">
        <f t="shared" si="33"/>
        <v>-76806</v>
      </c>
      <c r="N53" s="3266"/>
    </row>
    <row r="54" spans="1:14" ht="14.25" customHeight="1" x14ac:dyDescent="0.2">
      <c r="A54" s="3006"/>
      <c r="B54" s="493" t="s">
        <v>14</v>
      </c>
      <c r="C54" s="3278"/>
      <c r="D54" s="529">
        <f>+E54+F54+G54+H54</f>
        <v>4250000</v>
      </c>
      <c r="E54" s="1069">
        <v>0</v>
      </c>
      <c r="F54" s="530">
        <v>36966</v>
      </c>
      <c r="G54" s="1150">
        <v>1630734</v>
      </c>
      <c r="H54" s="1150">
        <f>1836340+745960</f>
        <v>2582300</v>
      </c>
      <c r="I54" s="529">
        <f>+F54+K54</f>
        <v>1590894</v>
      </c>
      <c r="J54" s="1140">
        <f t="shared" si="30"/>
        <v>37.4328</v>
      </c>
      <c r="K54" s="530">
        <v>1553928</v>
      </c>
      <c r="L54" s="1146">
        <f t="shared" si="32"/>
        <v>95.290096361515737</v>
      </c>
      <c r="M54" s="1150">
        <f t="shared" si="33"/>
        <v>-76806</v>
      </c>
      <c r="N54" s="3266"/>
    </row>
    <row r="55" spans="1:14" ht="14.25" customHeight="1" x14ac:dyDescent="0.2">
      <c r="A55" s="3273"/>
      <c r="B55" s="1151" t="s">
        <v>16</v>
      </c>
      <c r="C55" s="551"/>
      <c r="D55" s="1152">
        <f t="shared" ref="D55:I55" si="35">+D56+D58</f>
        <v>5000000</v>
      </c>
      <c r="E55" s="1152">
        <f t="shared" si="35"/>
        <v>0</v>
      </c>
      <c r="F55" s="1152">
        <f t="shared" si="35"/>
        <v>406023</v>
      </c>
      <c r="G55" s="1152">
        <f t="shared" si="35"/>
        <v>1555977</v>
      </c>
      <c r="H55" s="1152">
        <f t="shared" si="35"/>
        <v>3038000</v>
      </c>
      <c r="I55" s="415">
        <f t="shared" si="35"/>
        <v>1948446</v>
      </c>
      <c r="J55" s="1104">
        <f t="shared" si="30"/>
        <v>38.968920000000004</v>
      </c>
      <c r="K55" s="416">
        <f>+K56+K58</f>
        <v>1542423</v>
      </c>
      <c r="L55" s="1142">
        <f t="shared" si="32"/>
        <v>99.128907432436336</v>
      </c>
      <c r="M55" s="453">
        <f t="shared" si="33"/>
        <v>-13554</v>
      </c>
      <c r="N55" s="3171"/>
    </row>
    <row r="56" spans="1:14" s="1145" customFormat="1" ht="14.25" customHeight="1" x14ac:dyDescent="0.2">
      <c r="A56" s="3273"/>
      <c r="B56" s="1143" t="s">
        <v>17</v>
      </c>
      <c r="C56" s="3279" t="s">
        <v>110</v>
      </c>
      <c r="D56" s="1148">
        <f t="shared" ref="D56:I56" si="36">+D57</f>
        <v>750000</v>
      </c>
      <c r="E56" s="663">
        <f t="shared" si="36"/>
        <v>0</v>
      </c>
      <c r="F56" s="620">
        <f t="shared" si="36"/>
        <v>6523</v>
      </c>
      <c r="G56" s="1149">
        <f t="shared" si="36"/>
        <v>287777</v>
      </c>
      <c r="H56" s="1149">
        <f t="shared" si="36"/>
        <v>455700</v>
      </c>
      <c r="I56" s="1148">
        <f t="shared" si="36"/>
        <v>280746</v>
      </c>
      <c r="J56" s="1132">
        <f t="shared" si="30"/>
        <v>37.4328</v>
      </c>
      <c r="K56" s="620">
        <f>+K57</f>
        <v>274223</v>
      </c>
      <c r="L56" s="1144">
        <f t="shared" si="32"/>
        <v>95.290103100664751</v>
      </c>
      <c r="M56" s="1149">
        <f t="shared" si="33"/>
        <v>-13554</v>
      </c>
      <c r="N56" s="3171"/>
    </row>
    <row r="57" spans="1:14" ht="14.25" customHeight="1" x14ac:dyDescent="0.2">
      <c r="A57" s="3273"/>
      <c r="B57" s="493" t="s">
        <v>7</v>
      </c>
      <c r="C57" s="3278"/>
      <c r="D57" s="529">
        <f>+E57+F57+G57+H57</f>
        <v>750000</v>
      </c>
      <c r="E57" s="1069">
        <v>0</v>
      </c>
      <c r="F57" s="530">
        <v>6523</v>
      </c>
      <c r="G57" s="1150">
        <v>287777</v>
      </c>
      <c r="H57" s="1150">
        <f>324060+131640</f>
        <v>455700</v>
      </c>
      <c r="I57" s="529">
        <f>+K57+F57+E57</f>
        <v>280746</v>
      </c>
      <c r="J57" s="1140">
        <f t="shared" si="30"/>
        <v>37.4328</v>
      </c>
      <c r="K57" s="530">
        <v>274223</v>
      </c>
      <c r="L57" s="1146">
        <f t="shared" si="32"/>
        <v>95.290103100664751</v>
      </c>
      <c r="M57" s="1150">
        <f t="shared" si="33"/>
        <v>-13554</v>
      </c>
      <c r="N57" s="3171"/>
    </row>
    <row r="58" spans="1:14" s="1145" customFormat="1" ht="14.25" customHeight="1" x14ac:dyDescent="0.2">
      <c r="A58" s="3273"/>
      <c r="B58" s="1147" t="s">
        <v>12</v>
      </c>
      <c r="C58" s="3280"/>
      <c r="D58" s="1148">
        <f t="shared" ref="D58:I58" si="37">+D59</f>
        <v>4250000</v>
      </c>
      <c r="E58" s="663">
        <f t="shared" si="37"/>
        <v>0</v>
      </c>
      <c r="F58" s="620">
        <f t="shared" si="37"/>
        <v>399500</v>
      </c>
      <c r="G58" s="1149">
        <f t="shared" si="37"/>
        <v>1268200</v>
      </c>
      <c r="H58" s="1149">
        <f t="shared" si="37"/>
        <v>2582300</v>
      </c>
      <c r="I58" s="1148">
        <f t="shared" si="37"/>
        <v>1667700</v>
      </c>
      <c r="J58" s="1132">
        <f t="shared" si="30"/>
        <v>39.24</v>
      </c>
      <c r="K58" s="620">
        <f>+K59</f>
        <v>1268200</v>
      </c>
      <c r="L58" s="1144">
        <f t="shared" si="32"/>
        <v>100</v>
      </c>
      <c r="M58" s="1149">
        <f t="shared" si="33"/>
        <v>0</v>
      </c>
      <c r="N58" s="3171"/>
    </row>
    <row r="59" spans="1:14" ht="14.25" customHeight="1" thickBot="1" x14ac:dyDescent="0.25">
      <c r="A59" s="3274"/>
      <c r="B59" s="499" t="s">
        <v>14</v>
      </c>
      <c r="C59" s="3281"/>
      <c r="D59" s="925">
        <f>+E59+F59+G59+H59</f>
        <v>4250000</v>
      </c>
      <c r="E59" s="1072">
        <v>0</v>
      </c>
      <c r="F59" s="1153">
        <v>399500</v>
      </c>
      <c r="G59" s="1154">
        <v>1268200</v>
      </c>
      <c r="H59" s="1154">
        <f>1836340+745960</f>
        <v>2582300</v>
      </c>
      <c r="I59" s="925">
        <f>+K59+F59+E59</f>
        <v>1667700</v>
      </c>
      <c r="J59" s="1134">
        <f t="shared" si="30"/>
        <v>39.24</v>
      </c>
      <c r="K59" s="1153">
        <v>1268200</v>
      </c>
      <c r="L59" s="1155">
        <f t="shared" si="32"/>
        <v>100</v>
      </c>
      <c r="M59" s="1154">
        <f t="shared" si="33"/>
        <v>0</v>
      </c>
      <c r="N59" s="3172"/>
    </row>
    <row r="60" spans="1:14" ht="26.25" customHeight="1" x14ac:dyDescent="0.2">
      <c r="A60" s="3261" t="s">
        <v>41</v>
      </c>
      <c r="B60" s="1156" t="s">
        <v>293</v>
      </c>
      <c r="C60" s="580" t="s">
        <v>173</v>
      </c>
      <c r="D60" s="581"/>
      <c r="E60" s="582"/>
      <c r="F60" s="582"/>
      <c r="G60" s="582"/>
      <c r="H60" s="584"/>
      <c r="I60" s="581"/>
      <c r="J60" s="582"/>
      <c r="K60" s="582"/>
      <c r="L60" s="584"/>
      <c r="M60" s="584"/>
      <c r="N60" s="3265" t="s">
        <v>397</v>
      </c>
    </row>
    <row r="61" spans="1:14" ht="15.75" customHeight="1" thickBot="1" x14ac:dyDescent="0.25">
      <c r="A61" s="3006"/>
      <c r="B61" s="1157" t="s">
        <v>2</v>
      </c>
      <c r="C61" s="27"/>
      <c r="D61" s="513">
        <f t="shared" ref="D61:I61" si="38">+D62+D65</f>
        <v>1623156</v>
      </c>
      <c r="E61" s="514">
        <f t="shared" si="38"/>
        <v>668503</v>
      </c>
      <c r="F61" s="514">
        <f t="shared" si="38"/>
        <v>465213</v>
      </c>
      <c r="G61" s="514">
        <f>+G62+G65</f>
        <v>489440</v>
      </c>
      <c r="H61" s="674">
        <f t="shared" si="38"/>
        <v>0</v>
      </c>
      <c r="I61" s="513">
        <f t="shared" si="38"/>
        <v>1546198.88</v>
      </c>
      <c r="J61" s="1158">
        <f t="shared" si="30"/>
        <v>95.258797059555576</v>
      </c>
      <c r="K61" s="514">
        <f>+K62+K65</f>
        <v>412482.88</v>
      </c>
      <c r="L61" s="1159">
        <f>+K61/G61*100</f>
        <v>84.276495586793061</v>
      </c>
      <c r="M61" s="453">
        <f>+K61-G61</f>
        <v>-76957.119999999995</v>
      </c>
      <c r="N61" s="3266"/>
    </row>
    <row r="62" spans="1:14" ht="15.75" customHeight="1" x14ac:dyDescent="0.2">
      <c r="A62" s="3109"/>
      <c r="B62" s="1143" t="s">
        <v>17</v>
      </c>
      <c r="C62" s="3267" t="s">
        <v>111</v>
      </c>
      <c r="D62" s="519">
        <f>+D63+D64</f>
        <v>243473</v>
      </c>
      <c r="E62" s="520">
        <f>+E63+E64</f>
        <v>100275</v>
      </c>
      <c r="F62" s="520">
        <f>+F63+F64</f>
        <v>69782</v>
      </c>
      <c r="G62" s="520">
        <f>+G63+G64</f>
        <v>73416</v>
      </c>
      <c r="H62" s="521">
        <f>++H63+H64</f>
        <v>0</v>
      </c>
      <c r="I62" s="519">
        <f>+K62+F62+E62</f>
        <v>231929.43</v>
      </c>
      <c r="J62" s="1132">
        <f t="shared" si="30"/>
        <v>95.258788448821846</v>
      </c>
      <c r="K62" s="520">
        <f>+K63+K64</f>
        <v>61872.43</v>
      </c>
      <c r="L62" s="1160">
        <f>+K62/G62*100</f>
        <v>84.276492862591255</v>
      </c>
      <c r="M62" s="521">
        <f>+K62-G62</f>
        <v>-11543.57</v>
      </c>
      <c r="N62" s="3266"/>
    </row>
    <row r="63" spans="1:14" ht="14.25" hidden="1" customHeight="1" x14ac:dyDescent="0.25">
      <c r="A63" s="3197"/>
      <c r="B63" s="493" t="s">
        <v>4</v>
      </c>
      <c r="C63" s="3268"/>
      <c r="D63" s="461">
        <f>+E63+F63+G63+H63</f>
        <v>0</v>
      </c>
      <c r="E63" s="463">
        <v>0</v>
      </c>
      <c r="F63" s="462"/>
      <c r="G63" s="462">
        <v>0</v>
      </c>
      <c r="H63" s="573">
        <v>0</v>
      </c>
      <c r="I63" s="464">
        <v>0</v>
      </c>
      <c r="J63" s="1140" t="e">
        <f>I63/#REF!*100</f>
        <v>#REF!</v>
      </c>
      <c r="K63" s="463">
        <v>0</v>
      </c>
      <c r="L63" s="1161" t="e">
        <f>K63/#REF!*100</f>
        <v>#REF!</v>
      </c>
      <c r="M63" s="573">
        <f t="shared" si="23"/>
        <v>0</v>
      </c>
      <c r="N63" s="3266"/>
    </row>
    <row r="64" spans="1:14" ht="14.25" customHeight="1" x14ac:dyDescent="0.2">
      <c r="A64" s="3110"/>
      <c r="B64" s="493" t="s">
        <v>7</v>
      </c>
      <c r="C64" s="3268"/>
      <c r="D64" s="461">
        <f>+E64+F64+G64+H64</f>
        <v>243473</v>
      </c>
      <c r="E64" s="463">
        <f>1297+43240+55738</f>
        <v>100275</v>
      </c>
      <c r="F64" s="463">
        <v>69782</v>
      </c>
      <c r="G64" s="463">
        <v>73416</v>
      </c>
      <c r="H64" s="467">
        <v>0</v>
      </c>
      <c r="I64" s="464">
        <f>+K64+F64+E64</f>
        <v>231929.43</v>
      </c>
      <c r="J64" s="1162">
        <f t="shared" si="30"/>
        <v>95.258788448821846</v>
      </c>
      <c r="K64" s="463">
        <v>61872.43</v>
      </c>
      <c r="L64" s="1163">
        <f t="shared" ref="L64:L71" si="39">+K64/G64*100</f>
        <v>84.276492862591255</v>
      </c>
      <c r="M64" s="1164">
        <f t="shared" ref="M64:M71" si="40">+K64-G64</f>
        <v>-11543.57</v>
      </c>
      <c r="N64" s="3266"/>
    </row>
    <row r="65" spans="1:14" ht="14.25" customHeight="1" thickBot="1" x14ac:dyDescent="0.25">
      <c r="A65" s="3262"/>
      <c r="B65" s="1147" t="s">
        <v>12</v>
      </c>
      <c r="C65" s="3268"/>
      <c r="D65" s="474">
        <f t="shared" ref="D65:I65" si="41">+D66</f>
        <v>1379683</v>
      </c>
      <c r="E65" s="475">
        <f t="shared" si="41"/>
        <v>568228</v>
      </c>
      <c r="F65" s="475">
        <f t="shared" si="41"/>
        <v>395431</v>
      </c>
      <c r="G65" s="475">
        <f t="shared" si="41"/>
        <v>416024</v>
      </c>
      <c r="H65" s="479">
        <f t="shared" si="41"/>
        <v>0</v>
      </c>
      <c r="I65" s="474">
        <f t="shared" si="41"/>
        <v>1314269.45</v>
      </c>
      <c r="J65" s="1132">
        <f t="shared" si="30"/>
        <v>95.258798579093892</v>
      </c>
      <c r="K65" s="475">
        <f>+K66</f>
        <v>350610.45</v>
      </c>
      <c r="L65" s="1160">
        <f t="shared" si="39"/>
        <v>84.276496067534566</v>
      </c>
      <c r="M65" s="479">
        <f t="shared" si="40"/>
        <v>-65413.549999999988</v>
      </c>
      <c r="N65" s="3266"/>
    </row>
    <row r="66" spans="1:14" ht="14.25" customHeight="1" collapsed="1" x14ac:dyDescent="0.2">
      <c r="A66" s="3109"/>
      <c r="B66" s="493" t="s">
        <v>14</v>
      </c>
      <c r="C66" s="3268"/>
      <c r="D66" s="461">
        <f>+E66+F66+G66+H66</f>
        <v>1379683</v>
      </c>
      <c r="E66" s="463">
        <f>7350+245028+315850</f>
        <v>568228</v>
      </c>
      <c r="F66" s="463">
        <v>395431</v>
      </c>
      <c r="G66" s="462">
        <v>416024</v>
      </c>
      <c r="H66" s="573">
        <v>0</v>
      </c>
      <c r="I66" s="550">
        <f>+K66+F66+E66</f>
        <v>1314269.45</v>
      </c>
      <c r="J66" s="1140">
        <f t="shared" si="30"/>
        <v>95.258798579093892</v>
      </c>
      <c r="K66" s="462">
        <v>350610.45</v>
      </c>
      <c r="L66" s="1161">
        <f t="shared" si="39"/>
        <v>84.276496067534566</v>
      </c>
      <c r="M66" s="573">
        <f t="shared" si="40"/>
        <v>-65413.549999999988</v>
      </c>
      <c r="N66" s="3266"/>
    </row>
    <row r="67" spans="1:14" ht="14.25" customHeight="1" thickBot="1" x14ac:dyDescent="0.25">
      <c r="A67" s="3263"/>
      <c r="B67" s="1157" t="s">
        <v>16</v>
      </c>
      <c r="C67" s="27"/>
      <c r="D67" s="415">
        <f t="shared" ref="D67:I67" si="42">+D68+D70</f>
        <v>1623156</v>
      </c>
      <c r="E67" s="416">
        <f t="shared" si="42"/>
        <v>668503</v>
      </c>
      <c r="F67" s="416">
        <f t="shared" si="42"/>
        <v>465213</v>
      </c>
      <c r="G67" s="416">
        <f t="shared" si="42"/>
        <v>489440</v>
      </c>
      <c r="H67" s="453">
        <f t="shared" si="42"/>
        <v>0</v>
      </c>
      <c r="I67" s="415">
        <f t="shared" si="42"/>
        <v>1546198.88</v>
      </c>
      <c r="J67" s="1104">
        <f t="shared" si="30"/>
        <v>95.258797059555576</v>
      </c>
      <c r="K67" s="416">
        <f>+K68+K70</f>
        <v>412482.88</v>
      </c>
      <c r="L67" s="1159">
        <f t="shared" si="39"/>
        <v>84.276495586793061</v>
      </c>
      <c r="M67" s="453">
        <f t="shared" si="40"/>
        <v>-76957.119999999995</v>
      </c>
      <c r="N67" s="3171"/>
    </row>
    <row r="68" spans="1:14" ht="14.25" customHeight="1" thickBot="1" x14ac:dyDescent="0.25">
      <c r="A68" s="3264"/>
      <c r="B68" s="1143" t="s">
        <v>17</v>
      </c>
      <c r="C68" s="3269" t="s">
        <v>112</v>
      </c>
      <c r="D68" s="474">
        <f t="shared" ref="D68:I68" si="43">+D69</f>
        <v>243473</v>
      </c>
      <c r="E68" s="475">
        <f t="shared" si="43"/>
        <v>100275</v>
      </c>
      <c r="F68" s="475">
        <f t="shared" si="43"/>
        <v>69782</v>
      </c>
      <c r="G68" s="475">
        <f t="shared" si="43"/>
        <v>73416</v>
      </c>
      <c r="H68" s="479">
        <f t="shared" si="43"/>
        <v>0</v>
      </c>
      <c r="I68" s="474">
        <f t="shared" si="43"/>
        <v>231929.43</v>
      </c>
      <c r="J68" s="1132">
        <f t="shared" si="30"/>
        <v>95.258788448821846</v>
      </c>
      <c r="K68" s="475">
        <f>+K69</f>
        <v>61872.43</v>
      </c>
      <c r="L68" s="1160">
        <f t="shared" si="39"/>
        <v>84.276492862591255</v>
      </c>
      <c r="M68" s="479">
        <f t="shared" si="40"/>
        <v>-11543.57</v>
      </c>
      <c r="N68" s="3171"/>
    </row>
    <row r="69" spans="1:14" ht="14.25" customHeight="1" x14ac:dyDescent="0.2">
      <c r="A69" s="3111"/>
      <c r="B69" s="493" t="s">
        <v>7</v>
      </c>
      <c r="C69" s="3268"/>
      <c r="D69" s="461">
        <f>+E69+F69+G69+H69</f>
        <v>243473</v>
      </c>
      <c r="E69" s="463">
        <f>1297+43240+55738</f>
        <v>100275</v>
      </c>
      <c r="F69" s="463">
        <v>69782</v>
      </c>
      <c r="G69" s="463">
        <v>73416</v>
      </c>
      <c r="H69" s="467">
        <v>0</v>
      </c>
      <c r="I69" s="461">
        <f>+K69+F69+E69</f>
        <v>231929.43</v>
      </c>
      <c r="J69" s="1140">
        <f t="shared" si="30"/>
        <v>95.258788448821846</v>
      </c>
      <c r="K69" s="574">
        <v>61872.43</v>
      </c>
      <c r="L69" s="1161">
        <f t="shared" si="39"/>
        <v>84.276492862591255</v>
      </c>
      <c r="M69" s="467">
        <f t="shared" si="40"/>
        <v>-11543.57</v>
      </c>
      <c r="N69" s="3171"/>
    </row>
    <row r="70" spans="1:14" ht="14.25" customHeight="1" x14ac:dyDescent="0.2">
      <c r="A70" s="3111"/>
      <c r="B70" s="1147" t="s">
        <v>12</v>
      </c>
      <c r="C70" s="3270"/>
      <c r="D70" s="474">
        <f t="shared" ref="D70:I70" si="44">+D71</f>
        <v>1379683</v>
      </c>
      <c r="E70" s="475">
        <f t="shared" si="44"/>
        <v>568228</v>
      </c>
      <c r="F70" s="475">
        <f t="shared" si="44"/>
        <v>395431</v>
      </c>
      <c r="G70" s="475">
        <f t="shared" si="44"/>
        <v>416024</v>
      </c>
      <c r="H70" s="479">
        <f t="shared" si="44"/>
        <v>0</v>
      </c>
      <c r="I70" s="474">
        <f t="shared" si="44"/>
        <v>1314269.45</v>
      </c>
      <c r="J70" s="1132">
        <f t="shared" si="30"/>
        <v>95.258798579093892</v>
      </c>
      <c r="K70" s="475">
        <f>+K71</f>
        <v>350610.45</v>
      </c>
      <c r="L70" s="1160">
        <f t="shared" si="39"/>
        <v>84.276496067534566</v>
      </c>
      <c r="M70" s="479">
        <f t="shared" si="40"/>
        <v>-65413.549999999988</v>
      </c>
      <c r="N70" s="3171"/>
    </row>
    <row r="71" spans="1:14" ht="14.25" customHeight="1" thickBot="1" x14ac:dyDescent="0.25">
      <c r="A71" s="3112"/>
      <c r="B71" s="499" t="s">
        <v>14</v>
      </c>
      <c r="C71" s="3271"/>
      <c r="D71" s="500">
        <f>+E71+F71+G71+H71</f>
        <v>1379683</v>
      </c>
      <c r="E71" s="502">
        <f>7350+245028+315850</f>
        <v>568228</v>
      </c>
      <c r="F71" s="502">
        <v>395431</v>
      </c>
      <c r="G71" s="501">
        <v>416024</v>
      </c>
      <c r="H71" s="1165">
        <v>0</v>
      </c>
      <c r="I71" s="504">
        <f>+K71+F71+E71</f>
        <v>1314269.45</v>
      </c>
      <c r="J71" s="1134">
        <f t="shared" si="30"/>
        <v>95.258798579093892</v>
      </c>
      <c r="K71" s="502">
        <v>350610.45</v>
      </c>
      <c r="L71" s="1166">
        <f t="shared" si="39"/>
        <v>84.276496067534566</v>
      </c>
      <c r="M71" s="1165">
        <f t="shared" si="40"/>
        <v>-65413.549999999988</v>
      </c>
      <c r="N71" s="3172"/>
    </row>
    <row r="72" spans="1:14" ht="29.25" customHeight="1" x14ac:dyDescent="0.2">
      <c r="A72" s="3116" t="s">
        <v>43</v>
      </c>
      <c r="B72" s="541" t="s">
        <v>115</v>
      </c>
      <c r="C72" s="443" t="s">
        <v>173</v>
      </c>
      <c r="D72" s="444"/>
      <c r="E72" s="445"/>
      <c r="F72" s="445"/>
      <c r="G72" s="445"/>
      <c r="H72" s="449"/>
      <c r="I72" s="444"/>
      <c r="J72" s="445"/>
      <c r="K72" s="445"/>
      <c r="L72" s="449"/>
      <c r="M72" s="449"/>
      <c r="N72" s="3275" t="s">
        <v>104</v>
      </c>
    </row>
    <row r="73" spans="1:14" ht="13.5" customHeight="1" x14ac:dyDescent="0.2">
      <c r="A73" s="3117"/>
      <c r="B73" s="566" t="s">
        <v>2</v>
      </c>
      <c r="C73" s="27"/>
      <c r="D73" s="513">
        <f t="shared" ref="D73:I73" si="45">+D74+D77</f>
        <v>10877760</v>
      </c>
      <c r="E73" s="514">
        <f t="shared" si="45"/>
        <v>6884473</v>
      </c>
      <c r="F73" s="514">
        <f>+F74+F77</f>
        <v>1709269</v>
      </c>
      <c r="G73" s="514">
        <f t="shared" si="45"/>
        <v>2262315</v>
      </c>
      <c r="H73" s="518">
        <f t="shared" si="45"/>
        <v>21703</v>
      </c>
      <c r="I73" s="513">
        <f t="shared" si="45"/>
        <v>10639942</v>
      </c>
      <c r="J73" s="1104">
        <f t="shared" ref="J73:J83" si="46">I73/D73*100</f>
        <v>97.813722678198459</v>
      </c>
      <c r="K73" s="514">
        <f>+K74+K77</f>
        <v>2046200</v>
      </c>
      <c r="L73" s="1159">
        <f>K73/G73*100</f>
        <v>90.447174686106933</v>
      </c>
      <c r="M73" s="518">
        <f t="shared" ref="M73:M83" si="47">+K73-G73</f>
        <v>-216115</v>
      </c>
      <c r="N73" s="3266"/>
    </row>
    <row r="74" spans="1:14" ht="13.5" customHeight="1" x14ac:dyDescent="0.2">
      <c r="A74" s="3117"/>
      <c r="B74" s="569" t="s">
        <v>17</v>
      </c>
      <c r="C74" s="3086" t="s">
        <v>114</v>
      </c>
      <c r="D74" s="519">
        <f t="shared" ref="D74:I74" si="48">+D75+D76</f>
        <v>1631666</v>
      </c>
      <c r="E74" s="520">
        <f t="shared" si="48"/>
        <v>1032674</v>
      </c>
      <c r="F74" s="520">
        <f>+F75+F76</f>
        <v>256392</v>
      </c>
      <c r="G74" s="520">
        <f t="shared" si="48"/>
        <v>339346</v>
      </c>
      <c r="H74" s="521">
        <f t="shared" si="48"/>
        <v>3254</v>
      </c>
      <c r="I74" s="519">
        <f t="shared" si="48"/>
        <v>1595996</v>
      </c>
      <c r="J74" s="1132">
        <f t="shared" si="46"/>
        <v>97.813890833050394</v>
      </c>
      <c r="K74" s="520">
        <f>+K75+K76</f>
        <v>306930</v>
      </c>
      <c r="L74" s="1167">
        <f>K74/G74*100</f>
        <v>90.447507853341421</v>
      </c>
      <c r="M74" s="521">
        <f t="shared" si="47"/>
        <v>-32416</v>
      </c>
      <c r="N74" s="3266"/>
    </row>
    <row r="75" spans="1:14" ht="13.5" customHeight="1" x14ac:dyDescent="0.2">
      <c r="A75" s="3117"/>
      <c r="B75" s="460" t="s">
        <v>4</v>
      </c>
      <c r="C75" s="3087"/>
      <c r="D75" s="461">
        <f>+E75+F75+G75+H75</f>
        <v>815833</v>
      </c>
      <c r="E75" s="463">
        <f>236517+198691+81129</f>
        <v>516337</v>
      </c>
      <c r="F75" s="462">
        <v>128196</v>
      </c>
      <c r="G75" s="462">
        <v>169673</v>
      </c>
      <c r="H75" s="573">
        <v>1627</v>
      </c>
      <c r="I75" s="464">
        <f>K75+E75+F75</f>
        <v>797998</v>
      </c>
      <c r="J75" s="1140">
        <f t="shared" si="46"/>
        <v>97.813890833050394</v>
      </c>
      <c r="K75" s="463">
        <v>153465</v>
      </c>
      <c r="L75" s="1163">
        <f>K75/G75*100</f>
        <v>90.447507853341421</v>
      </c>
      <c r="M75" s="467">
        <f t="shared" si="47"/>
        <v>-16208</v>
      </c>
      <c r="N75" s="3266"/>
    </row>
    <row r="76" spans="1:14" ht="13.5" customHeight="1" x14ac:dyDescent="0.2">
      <c r="A76" s="3117"/>
      <c r="B76" s="460" t="s">
        <v>7</v>
      </c>
      <c r="C76" s="3087"/>
      <c r="D76" s="461">
        <f>+E76+F76+G76+H76</f>
        <v>815833</v>
      </c>
      <c r="E76" s="463">
        <f>236517+198691+81129</f>
        <v>516337</v>
      </c>
      <c r="F76" s="462">
        <v>128196</v>
      </c>
      <c r="G76" s="462">
        <v>169673</v>
      </c>
      <c r="H76" s="573">
        <v>1627</v>
      </c>
      <c r="I76" s="464">
        <f>K76+E76+F76</f>
        <v>797998</v>
      </c>
      <c r="J76" s="1140">
        <f t="shared" si="46"/>
        <v>97.813890833050394</v>
      </c>
      <c r="K76" s="463">
        <v>153465</v>
      </c>
      <c r="L76" s="1162">
        <f>K76/G76*100</f>
        <v>90.447507853341421</v>
      </c>
      <c r="M76" s="467">
        <f t="shared" si="47"/>
        <v>-16208</v>
      </c>
      <c r="N76" s="3266"/>
    </row>
    <row r="77" spans="1:14" ht="12.75" customHeight="1" x14ac:dyDescent="0.2">
      <c r="A77" s="3117"/>
      <c r="B77" s="572" t="s">
        <v>12</v>
      </c>
      <c r="C77" s="3087"/>
      <c r="D77" s="474">
        <f t="shared" ref="D77:I77" si="49">+D78</f>
        <v>9246094</v>
      </c>
      <c r="E77" s="475">
        <f t="shared" si="49"/>
        <v>5851799</v>
      </c>
      <c r="F77" s="475">
        <f>+F78</f>
        <v>1452877</v>
      </c>
      <c r="G77" s="475">
        <f t="shared" si="49"/>
        <v>1922969</v>
      </c>
      <c r="H77" s="479">
        <f t="shared" si="49"/>
        <v>18449</v>
      </c>
      <c r="I77" s="474">
        <f t="shared" si="49"/>
        <v>9043946</v>
      </c>
      <c r="J77" s="1132">
        <f t="shared" si="46"/>
        <v>97.813693003770013</v>
      </c>
      <c r="K77" s="475">
        <f>+K78</f>
        <v>1739270</v>
      </c>
      <c r="L77" s="1132">
        <f t="shared" ref="L77:L78" si="50">K77/G77*100</f>
        <v>90.44711589214387</v>
      </c>
      <c r="M77" s="479">
        <f t="shared" si="47"/>
        <v>-183699</v>
      </c>
      <c r="N77" s="3266"/>
    </row>
    <row r="78" spans="1:14" ht="13.5" customHeight="1" x14ac:dyDescent="0.2">
      <c r="A78" s="3117"/>
      <c r="B78" s="460" t="s">
        <v>14</v>
      </c>
      <c r="C78" s="3087"/>
      <c r="D78" s="461">
        <f>+E78+F78+G78+H78</f>
        <v>9246094</v>
      </c>
      <c r="E78" s="463">
        <f>2680513+2251831+919455</f>
        <v>5851799</v>
      </c>
      <c r="F78" s="462">
        <v>1452877</v>
      </c>
      <c r="G78" s="462">
        <v>1922969</v>
      </c>
      <c r="H78" s="573">
        <v>18449</v>
      </c>
      <c r="I78" s="464">
        <f>K78+E78+F78</f>
        <v>9043946</v>
      </c>
      <c r="J78" s="1140">
        <f t="shared" si="46"/>
        <v>97.813693003770013</v>
      </c>
      <c r="K78" s="463">
        <v>1739270</v>
      </c>
      <c r="L78" s="1140">
        <f t="shared" si="50"/>
        <v>90.44711589214387</v>
      </c>
      <c r="M78" s="467">
        <f t="shared" si="47"/>
        <v>-183699</v>
      </c>
      <c r="N78" s="3266"/>
    </row>
    <row r="79" spans="1:14" ht="13.5" customHeight="1" x14ac:dyDescent="0.2">
      <c r="A79" s="3118"/>
      <c r="B79" s="566" t="s">
        <v>16</v>
      </c>
      <c r="C79" s="27"/>
      <c r="D79" s="415">
        <f t="shared" ref="D79:I79" si="51">+D80+D82</f>
        <v>10061927</v>
      </c>
      <c r="E79" s="416">
        <f t="shared" si="51"/>
        <v>6429462</v>
      </c>
      <c r="F79" s="416">
        <f t="shared" si="51"/>
        <v>1940864</v>
      </c>
      <c r="G79" s="416">
        <f t="shared" si="51"/>
        <v>1671525</v>
      </c>
      <c r="H79" s="453">
        <f t="shared" si="51"/>
        <v>20076</v>
      </c>
      <c r="I79" s="415">
        <f t="shared" si="51"/>
        <v>9858637</v>
      </c>
      <c r="J79" s="1104">
        <f t="shared" si="46"/>
        <v>97.979611658880046</v>
      </c>
      <c r="K79" s="416">
        <f>+K80+K82</f>
        <v>1488311</v>
      </c>
      <c r="L79" s="1104">
        <f>K79/G79*100</f>
        <v>89.039110991459893</v>
      </c>
      <c r="M79" s="453">
        <f t="shared" si="47"/>
        <v>-183214</v>
      </c>
      <c r="N79" s="3171"/>
    </row>
    <row r="80" spans="1:14" ht="13.5" customHeight="1" x14ac:dyDescent="0.2">
      <c r="A80" s="3118"/>
      <c r="B80" s="569" t="s">
        <v>17</v>
      </c>
      <c r="C80" s="3193" t="s">
        <v>108</v>
      </c>
      <c r="D80" s="474">
        <f t="shared" ref="D80:I80" si="52">+D81</f>
        <v>815833</v>
      </c>
      <c r="E80" s="475">
        <f t="shared" si="52"/>
        <v>516337</v>
      </c>
      <c r="F80" s="475">
        <f t="shared" si="52"/>
        <v>128196</v>
      </c>
      <c r="G80" s="475">
        <f t="shared" si="52"/>
        <v>169673</v>
      </c>
      <c r="H80" s="479">
        <f t="shared" si="52"/>
        <v>1627</v>
      </c>
      <c r="I80" s="474">
        <f t="shared" si="52"/>
        <v>797998</v>
      </c>
      <c r="J80" s="1132">
        <f t="shared" si="46"/>
        <v>97.813890833050394</v>
      </c>
      <c r="K80" s="475">
        <f>+K81</f>
        <v>153465</v>
      </c>
      <c r="L80" s="1132">
        <f>K80/G80*100</f>
        <v>90.447507853341421</v>
      </c>
      <c r="M80" s="479">
        <f t="shared" si="47"/>
        <v>-16208</v>
      </c>
      <c r="N80" s="3171"/>
    </row>
    <row r="81" spans="1:14" ht="13.5" customHeight="1" x14ac:dyDescent="0.2">
      <c r="A81" s="3118"/>
      <c r="B81" s="460" t="s">
        <v>7</v>
      </c>
      <c r="C81" s="3087"/>
      <c r="D81" s="461">
        <f>+E81+F81+G81+H81</f>
        <v>815833</v>
      </c>
      <c r="E81" s="463">
        <f>236517+198691+81129</f>
        <v>516337</v>
      </c>
      <c r="F81" s="462">
        <v>128196</v>
      </c>
      <c r="G81" s="462">
        <v>169673</v>
      </c>
      <c r="H81" s="573">
        <v>1627</v>
      </c>
      <c r="I81" s="461">
        <f>K81+E81+F81</f>
        <v>797998</v>
      </c>
      <c r="J81" s="1140">
        <f t="shared" si="46"/>
        <v>97.813890833050394</v>
      </c>
      <c r="K81" s="574">
        <v>153465</v>
      </c>
      <c r="L81" s="1140">
        <f>K81/G81*100</f>
        <v>90.447507853341421</v>
      </c>
      <c r="M81" s="1036">
        <f t="shared" si="47"/>
        <v>-16208</v>
      </c>
      <c r="N81" s="3171"/>
    </row>
    <row r="82" spans="1:14" ht="12" customHeight="1" x14ac:dyDescent="0.2">
      <c r="A82" s="3118"/>
      <c r="B82" s="572" t="s">
        <v>12</v>
      </c>
      <c r="C82" s="3194"/>
      <c r="D82" s="474">
        <f t="shared" ref="D82:I82" si="53">+D83</f>
        <v>9246094</v>
      </c>
      <c r="E82" s="475">
        <f t="shared" si="53"/>
        <v>5913125</v>
      </c>
      <c r="F82" s="475">
        <f t="shared" si="53"/>
        <v>1812668</v>
      </c>
      <c r="G82" s="475">
        <f t="shared" si="53"/>
        <v>1501852</v>
      </c>
      <c r="H82" s="479">
        <f t="shared" si="53"/>
        <v>18449</v>
      </c>
      <c r="I82" s="474">
        <f t="shared" si="53"/>
        <v>9060639</v>
      </c>
      <c r="J82" s="1132">
        <f t="shared" si="46"/>
        <v>97.994234105774822</v>
      </c>
      <c r="K82" s="475">
        <f>+K83</f>
        <v>1334846</v>
      </c>
      <c r="L82" s="1132">
        <f>K82/G82*100</f>
        <v>88.879996164735275</v>
      </c>
      <c r="M82" s="479">
        <f t="shared" si="47"/>
        <v>-167006</v>
      </c>
      <c r="N82" s="3171"/>
    </row>
    <row r="83" spans="1:14" ht="13.5" customHeight="1" thickBot="1" x14ac:dyDescent="0.25">
      <c r="A83" s="3119"/>
      <c r="B83" s="537" t="s">
        <v>14</v>
      </c>
      <c r="C83" s="3195"/>
      <c r="D83" s="500">
        <f>+E83+F83+G83+H83</f>
        <v>9246094</v>
      </c>
      <c r="E83" s="502">
        <f>2680513+2251831+980781</f>
        <v>5913125</v>
      </c>
      <c r="F83" s="501">
        <v>1812668</v>
      </c>
      <c r="G83" s="501">
        <v>1501852</v>
      </c>
      <c r="H83" s="1165">
        <v>18449</v>
      </c>
      <c r="I83" s="504">
        <f>K83+E83+F83</f>
        <v>9060639</v>
      </c>
      <c r="J83" s="1134">
        <f t="shared" si="46"/>
        <v>97.994234105774822</v>
      </c>
      <c r="K83" s="502">
        <v>1334846</v>
      </c>
      <c r="L83" s="1134">
        <f>K83/G83*100</f>
        <v>88.879996164735275</v>
      </c>
      <c r="M83" s="507">
        <f t="shared" si="47"/>
        <v>-167006</v>
      </c>
      <c r="N83" s="3172"/>
    </row>
    <row r="84" spans="1:14" ht="41.25" customHeight="1" x14ac:dyDescent="0.2">
      <c r="A84" s="3116" t="s">
        <v>44</v>
      </c>
      <c r="B84" s="541" t="s">
        <v>316</v>
      </c>
      <c r="C84" s="443" t="s">
        <v>173</v>
      </c>
      <c r="D84" s="444"/>
      <c r="E84" s="445"/>
      <c r="F84" s="445"/>
      <c r="G84" s="445"/>
      <c r="H84" s="449"/>
      <c r="I84" s="444"/>
      <c r="J84" s="445"/>
      <c r="K84" s="445"/>
      <c r="L84" s="449"/>
      <c r="M84" s="449"/>
      <c r="N84" s="3275" t="s">
        <v>104</v>
      </c>
    </row>
    <row r="85" spans="1:14" ht="13.5" customHeight="1" x14ac:dyDescent="0.2">
      <c r="A85" s="3117"/>
      <c r="B85" s="566" t="s">
        <v>2</v>
      </c>
      <c r="C85" s="27"/>
      <c r="D85" s="513">
        <f t="shared" ref="D85:E85" si="54">+D86+D89</f>
        <v>3000000</v>
      </c>
      <c r="E85" s="514">
        <f t="shared" si="54"/>
        <v>0</v>
      </c>
      <c r="F85" s="514">
        <f>+F86+F89</f>
        <v>0</v>
      </c>
      <c r="G85" s="514">
        <f t="shared" ref="G85:I85" si="55">+G86+G89</f>
        <v>10616</v>
      </c>
      <c r="H85" s="518">
        <f t="shared" si="55"/>
        <v>2989384</v>
      </c>
      <c r="I85" s="513">
        <f t="shared" si="55"/>
        <v>6782</v>
      </c>
      <c r="J85" s="1104">
        <f t="shared" ref="J85:J95" si="56">I85/D85*100</f>
        <v>0.22606666666666664</v>
      </c>
      <c r="K85" s="514">
        <f>+K86+K89</f>
        <v>6782</v>
      </c>
      <c r="L85" s="1159">
        <f>K85/G85*100</f>
        <v>63.884702336096453</v>
      </c>
      <c r="M85" s="518">
        <f t="shared" ref="M85:M95" si="57">+K85-G85</f>
        <v>-3834</v>
      </c>
      <c r="N85" s="3266"/>
    </row>
    <row r="86" spans="1:14" ht="13.5" customHeight="1" x14ac:dyDescent="0.2">
      <c r="A86" s="3117"/>
      <c r="B86" s="569" t="s">
        <v>17</v>
      </c>
      <c r="C86" s="3086" t="s">
        <v>114</v>
      </c>
      <c r="D86" s="519">
        <f t="shared" ref="D86:E86" si="58">+D87+D88</f>
        <v>450000</v>
      </c>
      <c r="E86" s="520">
        <f t="shared" si="58"/>
        <v>0</v>
      </c>
      <c r="F86" s="520">
        <f>+F87+F88</f>
        <v>0</v>
      </c>
      <c r="G86" s="520">
        <f t="shared" ref="G86:I86" si="59">+G87+G88</f>
        <v>1592</v>
      </c>
      <c r="H86" s="521">
        <f t="shared" si="59"/>
        <v>448408</v>
      </c>
      <c r="I86" s="519">
        <f t="shared" si="59"/>
        <v>1018</v>
      </c>
      <c r="J86" s="1132">
        <f t="shared" si="56"/>
        <v>0.22622222222222224</v>
      </c>
      <c r="K86" s="520">
        <f>+K87+K88</f>
        <v>1018</v>
      </c>
      <c r="L86" s="1167">
        <f>K86/G86*100</f>
        <v>63.94472361809045</v>
      </c>
      <c r="M86" s="521">
        <f t="shared" si="57"/>
        <v>-574</v>
      </c>
      <c r="N86" s="3266"/>
    </row>
    <row r="87" spans="1:14" ht="13.5" customHeight="1" x14ac:dyDescent="0.2">
      <c r="A87" s="3117"/>
      <c r="B87" s="460" t="s">
        <v>4</v>
      </c>
      <c r="C87" s="3087"/>
      <c r="D87" s="461">
        <f>+E87+F87+G87+H87</f>
        <v>225000</v>
      </c>
      <c r="E87" s="463">
        <v>0</v>
      </c>
      <c r="F87" s="462">
        <v>0</v>
      </c>
      <c r="G87" s="462">
        <v>796</v>
      </c>
      <c r="H87" s="573">
        <f>202832+21372</f>
        <v>224204</v>
      </c>
      <c r="I87" s="464">
        <f>K87+E87+F87</f>
        <v>509</v>
      </c>
      <c r="J87" s="1140">
        <f t="shared" si="56"/>
        <v>0.22622222222222224</v>
      </c>
      <c r="K87" s="463">
        <v>509</v>
      </c>
      <c r="L87" s="1163">
        <f>K87/G87*100</f>
        <v>63.94472361809045</v>
      </c>
      <c r="M87" s="467">
        <f t="shared" si="57"/>
        <v>-287</v>
      </c>
      <c r="N87" s="3266"/>
    </row>
    <row r="88" spans="1:14" ht="13.5" customHeight="1" x14ac:dyDescent="0.2">
      <c r="A88" s="3117"/>
      <c r="B88" s="460" t="s">
        <v>7</v>
      </c>
      <c r="C88" s="3087"/>
      <c r="D88" s="461">
        <f>+E88+F88+G88+H88</f>
        <v>225000</v>
      </c>
      <c r="E88" s="463">
        <v>0</v>
      </c>
      <c r="F88" s="462">
        <v>0</v>
      </c>
      <c r="G88" s="462">
        <v>796</v>
      </c>
      <c r="H88" s="573">
        <f>202832+21372</f>
        <v>224204</v>
      </c>
      <c r="I88" s="464">
        <f>K88+E88+F88</f>
        <v>509</v>
      </c>
      <c r="J88" s="1140">
        <f t="shared" si="56"/>
        <v>0.22622222222222224</v>
      </c>
      <c r="K88" s="463">
        <v>509</v>
      </c>
      <c r="L88" s="1162">
        <f>K88/G88*100</f>
        <v>63.94472361809045</v>
      </c>
      <c r="M88" s="467">
        <f t="shared" si="57"/>
        <v>-287</v>
      </c>
      <c r="N88" s="3266"/>
    </row>
    <row r="89" spans="1:14" ht="13.5" customHeight="1" x14ac:dyDescent="0.2">
      <c r="A89" s="3117"/>
      <c r="B89" s="572" t="s">
        <v>12</v>
      </c>
      <c r="C89" s="3087"/>
      <c r="D89" s="474">
        <f t="shared" ref="D89:I89" si="60">+D90</f>
        <v>2550000</v>
      </c>
      <c r="E89" s="475">
        <f t="shared" si="60"/>
        <v>0</v>
      </c>
      <c r="F89" s="475">
        <f>+F90</f>
        <v>0</v>
      </c>
      <c r="G89" s="475">
        <f t="shared" si="60"/>
        <v>9024</v>
      </c>
      <c r="H89" s="479">
        <f t="shared" si="60"/>
        <v>2540976</v>
      </c>
      <c r="I89" s="474">
        <f t="shared" si="60"/>
        <v>5764</v>
      </c>
      <c r="J89" s="1132">
        <f t="shared" si="56"/>
        <v>0.2260392156862745</v>
      </c>
      <c r="K89" s="475">
        <f>+K90</f>
        <v>5764</v>
      </c>
      <c r="L89" s="1132">
        <f t="shared" ref="L89:L90" si="61">K89/G89*100</f>
        <v>63.87411347517731</v>
      </c>
      <c r="M89" s="479">
        <f t="shared" si="57"/>
        <v>-3260</v>
      </c>
      <c r="N89" s="3266"/>
    </row>
    <row r="90" spans="1:14" ht="13.5" customHeight="1" x14ac:dyDescent="0.2">
      <c r="A90" s="3117"/>
      <c r="B90" s="460" t="s">
        <v>14</v>
      </c>
      <c r="C90" s="3087"/>
      <c r="D90" s="461">
        <f>+E90+F90+G90+H90</f>
        <v>2550000</v>
      </c>
      <c r="E90" s="463">
        <v>0</v>
      </c>
      <c r="F90" s="462">
        <v>0</v>
      </c>
      <c r="G90" s="462">
        <v>9024</v>
      </c>
      <c r="H90" s="573">
        <f>2298760+242216</f>
        <v>2540976</v>
      </c>
      <c r="I90" s="464">
        <f>K90+E90+F90</f>
        <v>5764</v>
      </c>
      <c r="J90" s="1140">
        <f t="shared" si="56"/>
        <v>0.2260392156862745</v>
      </c>
      <c r="K90" s="463">
        <v>5764</v>
      </c>
      <c r="L90" s="1140">
        <f t="shared" si="61"/>
        <v>63.87411347517731</v>
      </c>
      <c r="M90" s="467">
        <f t="shared" si="57"/>
        <v>-3260</v>
      </c>
      <c r="N90" s="3266"/>
    </row>
    <row r="91" spans="1:14" ht="13.5" customHeight="1" x14ac:dyDescent="0.2">
      <c r="A91" s="3118"/>
      <c r="B91" s="566" t="s">
        <v>16</v>
      </c>
      <c r="C91" s="27"/>
      <c r="D91" s="415">
        <f t="shared" ref="D91:I91" si="62">+D92+D94</f>
        <v>2775000</v>
      </c>
      <c r="E91" s="416">
        <f t="shared" si="62"/>
        <v>0</v>
      </c>
      <c r="F91" s="416">
        <f t="shared" si="62"/>
        <v>0</v>
      </c>
      <c r="G91" s="416">
        <f t="shared" si="62"/>
        <v>9820</v>
      </c>
      <c r="H91" s="453">
        <f t="shared" si="62"/>
        <v>2765180</v>
      </c>
      <c r="I91" s="415">
        <f t="shared" si="62"/>
        <v>9533</v>
      </c>
      <c r="J91" s="1104">
        <f t="shared" si="56"/>
        <v>0.34353153153153154</v>
      </c>
      <c r="K91" s="416">
        <f>+K92+K94</f>
        <v>9533</v>
      </c>
      <c r="L91" s="1104">
        <f>K91/G91*100</f>
        <v>97.077393075356412</v>
      </c>
      <c r="M91" s="453">
        <f t="shared" si="57"/>
        <v>-287</v>
      </c>
      <c r="N91" s="3171"/>
    </row>
    <row r="92" spans="1:14" ht="13.5" customHeight="1" x14ac:dyDescent="0.2">
      <c r="A92" s="3118"/>
      <c r="B92" s="569" t="s">
        <v>17</v>
      </c>
      <c r="C92" s="3193" t="s">
        <v>108</v>
      </c>
      <c r="D92" s="474">
        <f t="shared" ref="D92:I92" si="63">+D93</f>
        <v>225000</v>
      </c>
      <c r="E92" s="475">
        <f t="shared" si="63"/>
        <v>0</v>
      </c>
      <c r="F92" s="475">
        <f t="shared" si="63"/>
        <v>0</v>
      </c>
      <c r="G92" s="475">
        <f t="shared" si="63"/>
        <v>796</v>
      </c>
      <c r="H92" s="479">
        <f t="shared" si="63"/>
        <v>224204</v>
      </c>
      <c r="I92" s="474">
        <f t="shared" si="63"/>
        <v>509</v>
      </c>
      <c r="J92" s="1132">
        <f t="shared" si="56"/>
        <v>0.22622222222222224</v>
      </c>
      <c r="K92" s="475">
        <f>+K93</f>
        <v>509</v>
      </c>
      <c r="L92" s="1132">
        <f>K92/G92*100</f>
        <v>63.94472361809045</v>
      </c>
      <c r="M92" s="479">
        <f t="shared" si="57"/>
        <v>-287</v>
      </c>
      <c r="N92" s="3171"/>
    </row>
    <row r="93" spans="1:14" ht="13.5" customHeight="1" x14ac:dyDescent="0.2">
      <c r="A93" s="3118"/>
      <c r="B93" s="460" t="s">
        <v>7</v>
      </c>
      <c r="C93" s="3087"/>
      <c r="D93" s="461">
        <f>+E93+F93+G93+H93</f>
        <v>225000</v>
      </c>
      <c r="E93" s="463">
        <v>0</v>
      </c>
      <c r="F93" s="462">
        <v>0</v>
      </c>
      <c r="G93" s="462">
        <v>796</v>
      </c>
      <c r="H93" s="573">
        <f>202832+21372</f>
        <v>224204</v>
      </c>
      <c r="I93" s="461">
        <f>K93+E93+F93</f>
        <v>509</v>
      </c>
      <c r="J93" s="1140">
        <f t="shared" si="56"/>
        <v>0.22622222222222224</v>
      </c>
      <c r="K93" s="574">
        <v>509</v>
      </c>
      <c r="L93" s="1140">
        <f>K93/G93*100</f>
        <v>63.94472361809045</v>
      </c>
      <c r="M93" s="1036">
        <f t="shared" si="57"/>
        <v>-287</v>
      </c>
      <c r="N93" s="3171"/>
    </row>
    <row r="94" spans="1:14" ht="13.5" customHeight="1" x14ac:dyDescent="0.2">
      <c r="A94" s="3118"/>
      <c r="B94" s="572" t="s">
        <v>12</v>
      </c>
      <c r="C94" s="3194"/>
      <c r="D94" s="474">
        <f t="shared" ref="D94:I94" si="64">+D95</f>
        <v>2550000</v>
      </c>
      <c r="E94" s="475">
        <f t="shared" si="64"/>
        <v>0</v>
      </c>
      <c r="F94" s="475">
        <f t="shared" si="64"/>
        <v>0</v>
      </c>
      <c r="G94" s="475">
        <f t="shared" si="64"/>
        <v>9024</v>
      </c>
      <c r="H94" s="479">
        <f t="shared" si="64"/>
        <v>2540976</v>
      </c>
      <c r="I94" s="474">
        <f t="shared" si="64"/>
        <v>9024</v>
      </c>
      <c r="J94" s="1132">
        <f t="shared" si="56"/>
        <v>0.35388235294117648</v>
      </c>
      <c r="K94" s="475">
        <f>+K95</f>
        <v>9024</v>
      </c>
      <c r="L94" s="1132">
        <f>K94/G94*100</f>
        <v>100</v>
      </c>
      <c r="M94" s="479">
        <f t="shared" si="57"/>
        <v>0</v>
      </c>
      <c r="N94" s="3171"/>
    </row>
    <row r="95" spans="1:14" ht="13.5" customHeight="1" thickBot="1" x14ac:dyDescent="0.25">
      <c r="A95" s="3119"/>
      <c r="B95" s="537" t="s">
        <v>14</v>
      </c>
      <c r="C95" s="3195"/>
      <c r="D95" s="500">
        <f>+E95+F95+G95+H95</f>
        <v>2550000</v>
      </c>
      <c r="E95" s="502">
        <v>0</v>
      </c>
      <c r="F95" s="501">
        <v>0</v>
      </c>
      <c r="G95" s="501">
        <v>9024</v>
      </c>
      <c r="H95" s="1165">
        <f>2298760+242216</f>
        <v>2540976</v>
      </c>
      <c r="I95" s="504">
        <f>K95+E95+F95</f>
        <v>9024</v>
      </c>
      <c r="J95" s="1134">
        <f t="shared" si="56"/>
        <v>0.35388235294117648</v>
      </c>
      <c r="K95" s="502">
        <v>9024</v>
      </c>
      <c r="L95" s="1134">
        <f>K95/G95*100</f>
        <v>100</v>
      </c>
      <c r="M95" s="507">
        <f t="shared" si="57"/>
        <v>0</v>
      </c>
      <c r="N95" s="3172"/>
    </row>
    <row r="96" spans="1:14" ht="26.25" customHeight="1" x14ac:dyDescent="0.2">
      <c r="A96" s="3116" t="s">
        <v>45</v>
      </c>
      <c r="B96" s="541" t="s">
        <v>116</v>
      </c>
      <c r="C96" s="443" t="s">
        <v>173</v>
      </c>
      <c r="D96" s="444"/>
      <c r="E96" s="445"/>
      <c r="F96" s="445"/>
      <c r="G96" s="445"/>
      <c r="H96" s="449"/>
      <c r="I96" s="444"/>
      <c r="J96" s="445"/>
      <c r="K96" s="445"/>
      <c r="L96" s="445"/>
      <c r="M96" s="449"/>
      <c r="N96" s="3275" t="s">
        <v>104</v>
      </c>
    </row>
    <row r="97" spans="1:14" ht="13.5" customHeight="1" x14ac:dyDescent="0.2">
      <c r="A97" s="3117"/>
      <c r="B97" s="566" t="s">
        <v>2</v>
      </c>
      <c r="C97" s="27"/>
      <c r="D97" s="513">
        <f t="shared" ref="D97:I97" si="65">+D98+D101</f>
        <v>4823588</v>
      </c>
      <c r="E97" s="514">
        <f t="shared" si="65"/>
        <v>2761307</v>
      </c>
      <c r="F97" s="514">
        <f t="shared" si="65"/>
        <v>1217110</v>
      </c>
      <c r="G97" s="514">
        <f t="shared" si="65"/>
        <v>845171</v>
      </c>
      <c r="H97" s="518">
        <f t="shared" si="65"/>
        <v>0</v>
      </c>
      <c r="I97" s="513">
        <f t="shared" si="65"/>
        <v>4823559</v>
      </c>
      <c r="J97" s="1104">
        <f>I97/D97*100</f>
        <v>99.999398787790341</v>
      </c>
      <c r="K97" s="514">
        <f>+K98+K101</f>
        <v>845142</v>
      </c>
      <c r="L97" s="1104">
        <f>K97/G97*100</f>
        <v>99.996568741710263</v>
      </c>
      <c r="M97" s="1168">
        <f t="shared" ref="M97:M107" si="66">+K97-G97</f>
        <v>-29</v>
      </c>
      <c r="N97" s="3266"/>
    </row>
    <row r="98" spans="1:14" ht="13.5" customHeight="1" x14ac:dyDescent="0.2">
      <c r="A98" s="3117"/>
      <c r="B98" s="569" t="s">
        <v>17</v>
      </c>
      <c r="C98" s="3086" t="s">
        <v>105</v>
      </c>
      <c r="D98" s="519">
        <f t="shared" ref="D98:I98" si="67">+D99+D100</f>
        <v>723544</v>
      </c>
      <c r="E98" s="520">
        <f t="shared" si="67"/>
        <v>414199</v>
      </c>
      <c r="F98" s="520">
        <f t="shared" si="67"/>
        <v>182567</v>
      </c>
      <c r="G98" s="520">
        <f t="shared" si="67"/>
        <v>126778</v>
      </c>
      <c r="H98" s="521">
        <f t="shared" si="67"/>
        <v>0</v>
      </c>
      <c r="I98" s="519">
        <f t="shared" si="67"/>
        <v>723537</v>
      </c>
      <c r="J98" s="1132">
        <f t="shared" ref="J98:J102" si="68">I98/D98*100</f>
        <v>99.999032539831717</v>
      </c>
      <c r="K98" s="520">
        <f>+K99+K100</f>
        <v>126771</v>
      </c>
      <c r="L98" s="1132">
        <f t="shared" ref="L98:L102" si="69">K98/G98*100</f>
        <v>99.994478537285644</v>
      </c>
      <c r="M98" s="1169">
        <f t="shared" si="66"/>
        <v>-7</v>
      </c>
      <c r="N98" s="3266"/>
    </row>
    <row r="99" spans="1:14" ht="11.25" customHeight="1" x14ac:dyDescent="0.2">
      <c r="A99" s="3117"/>
      <c r="B99" s="460" t="s">
        <v>4</v>
      </c>
      <c r="C99" s="3087"/>
      <c r="D99" s="461">
        <f>+E99+F99+G99+H99</f>
        <v>72358</v>
      </c>
      <c r="E99" s="463">
        <f>4370+18806+18245</f>
        <v>41421</v>
      </c>
      <c r="F99" s="462">
        <v>18257</v>
      </c>
      <c r="G99" s="462">
        <v>12680</v>
      </c>
      <c r="H99" s="1170">
        <v>0</v>
      </c>
      <c r="I99" s="464">
        <f>K99+E99+F99</f>
        <v>72355</v>
      </c>
      <c r="J99" s="1140">
        <f t="shared" si="68"/>
        <v>99.995853948423118</v>
      </c>
      <c r="K99" s="463">
        <v>12677</v>
      </c>
      <c r="L99" s="1140">
        <f t="shared" si="69"/>
        <v>99.976340694006311</v>
      </c>
      <c r="M99" s="1171">
        <f t="shared" si="66"/>
        <v>-3</v>
      </c>
      <c r="N99" s="3266"/>
    </row>
    <row r="100" spans="1:14" x14ac:dyDescent="0.2">
      <c r="A100" s="3117"/>
      <c r="B100" s="460" t="s">
        <v>7</v>
      </c>
      <c r="C100" s="3087"/>
      <c r="D100" s="461">
        <f>+E100+F100+G100+H100</f>
        <v>651186</v>
      </c>
      <c r="E100" s="463">
        <f>39327+169256+164195</f>
        <v>372778</v>
      </c>
      <c r="F100" s="462">
        <v>164310</v>
      </c>
      <c r="G100" s="462">
        <v>114098</v>
      </c>
      <c r="H100" s="573">
        <v>0</v>
      </c>
      <c r="I100" s="464">
        <f>K100+E100+F100</f>
        <v>651182</v>
      </c>
      <c r="J100" s="1140">
        <f t="shared" si="68"/>
        <v>99.999385736179832</v>
      </c>
      <c r="K100" s="463">
        <v>114094</v>
      </c>
      <c r="L100" s="1140">
        <f t="shared" si="69"/>
        <v>99.996494241792149</v>
      </c>
      <c r="M100" s="1171">
        <f t="shared" si="66"/>
        <v>-4</v>
      </c>
      <c r="N100" s="3266"/>
    </row>
    <row r="101" spans="1:14" ht="12.75" customHeight="1" x14ac:dyDescent="0.2">
      <c r="A101" s="3117"/>
      <c r="B101" s="572" t="s">
        <v>12</v>
      </c>
      <c r="C101" s="3087"/>
      <c r="D101" s="474">
        <f t="shared" ref="D101:I101" si="70">+D102</f>
        <v>4100044</v>
      </c>
      <c r="E101" s="475">
        <f t="shared" si="70"/>
        <v>2347108</v>
      </c>
      <c r="F101" s="475">
        <f t="shared" si="70"/>
        <v>1034543</v>
      </c>
      <c r="G101" s="475">
        <f t="shared" si="70"/>
        <v>718393</v>
      </c>
      <c r="H101" s="479">
        <f t="shared" si="70"/>
        <v>0</v>
      </c>
      <c r="I101" s="474">
        <f t="shared" si="70"/>
        <v>4100022</v>
      </c>
      <c r="J101" s="1132">
        <f t="shared" si="68"/>
        <v>99.999463420392559</v>
      </c>
      <c r="K101" s="475">
        <f>+K102</f>
        <v>718371</v>
      </c>
      <c r="L101" s="1132">
        <f t="shared" si="69"/>
        <v>99.996937609358667</v>
      </c>
      <c r="M101" s="1172">
        <f t="shared" si="66"/>
        <v>-22</v>
      </c>
      <c r="N101" s="3266"/>
    </row>
    <row r="102" spans="1:14" x14ac:dyDescent="0.2">
      <c r="A102" s="3117"/>
      <c r="B102" s="460" t="s">
        <v>14</v>
      </c>
      <c r="C102" s="3087"/>
      <c r="D102" s="461">
        <f>+E102+F102+G102+H102</f>
        <v>4100044</v>
      </c>
      <c r="E102" s="463">
        <f>247610+1065685+1033813</f>
        <v>2347108</v>
      </c>
      <c r="F102" s="462">
        <v>1034543</v>
      </c>
      <c r="G102" s="462">
        <v>718393</v>
      </c>
      <c r="H102" s="573">
        <v>0</v>
      </c>
      <c r="I102" s="464">
        <f>K102+E102+F102</f>
        <v>4100022</v>
      </c>
      <c r="J102" s="1140">
        <f t="shared" si="68"/>
        <v>99.999463420392559</v>
      </c>
      <c r="K102" s="463">
        <v>718371</v>
      </c>
      <c r="L102" s="1140">
        <f t="shared" si="69"/>
        <v>99.996937609358667</v>
      </c>
      <c r="M102" s="1171">
        <f t="shared" si="66"/>
        <v>-22</v>
      </c>
      <c r="N102" s="3266"/>
    </row>
    <row r="103" spans="1:14" ht="13.5" customHeight="1" x14ac:dyDescent="0.2">
      <c r="A103" s="3118"/>
      <c r="B103" s="566" t="s">
        <v>16</v>
      </c>
      <c r="C103" s="27"/>
      <c r="D103" s="415">
        <f t="shared" ref="D103:I103" si="71">+D104+D106</f>
        <v>4751230</v>
      </c>
      <c r="E103" s="416">
        <f t="shared" si="71"/>
        <v>2725567</v>
      </c>
      <c r="F103" s="416">
        <f t="shared" si="71"/>
        <v>1231632</v>
      </c>
      <c r="G103" s="416">
        <f t="shared" si="71"/>
        <v>794031</v>
      </c>
      <c r="H103" s="453">
        <f t="shared" si="71"/>
        <v>0</v>
      </c>
      <c r="I103" s="415">
        <f t="shared" si="71"/>
        <v>4751204</v>
      </c>
      <c r="J103" s="1104">
        <f>I103/D103*100</f>
        <v>99.99945277328186</v>
      </c>
      <c r="K103" s="416">
        <f>+K104+K106</f>
        <v>794005</v>
      </c>
      <c r="L103" s="1104">
        <f>K103/G103*100</f>
        <v>99.996725568649083</v>
      </c>
      <c r="M103" s="418">
        <f t="shared" si="66"/>
        <v>-26</v>
      </c>
      <c r="N103" s="3171"/>
    </row>
    <row r="104" spans="1:14" ht="11.25" customHeight="1" x14ac:dyDescent="0.2">
      <c r="A104" s="3118"/>
      <c r="B104" s="569" t="s">
        <v>17</v>
      </c>
      <c r="C104" s="3193" t="s">
        <v>113</v>
      </c>
      <c r="D104" s="474">
        <f t="shared" ref="D104:I104" si="72">+D105</f>
        <v>651186</v>
      </c>
      <c r="E104" s="475">
        <f>+E105</f>
        <v>372778</v>
      </c>
      <c r="F104" s="475">
        <f t="shared" si="72"/>
        <v>164310</v>
      </c>
      <c r="G104" s="475">
        <f t="shared" si="72"/>
        <v>114098</v>
      </c>
      <c r="H104" s="479">
        <f t="shared" si="72"/>
        <v>0</v>
      </c>
      <c r="I104" s="474">
        <f t="shared" si="72"/>
        <v>651182</v>
      </c>
      <c r="J104" s="1132">
        <f t="shared" ref="J104:J107" si="73">I104/D104*100</f>
        <v>99.999385736179832</v>
      </c>
      <c r="K104" s="475">
        <f>+K105</f>
        <v>114094</v>
      </c>
      <c r="L104" s="1132">
        <f t="shared" ref="L104:L107" si="74">K104/G104*100</f>
        <v>99.996494241792149</v>
      </c>
      <c r="M104" s="1172">
        <f t="shared" si="66"/>
        <v>-4</v>
      </c>
      <c r="N104" s="3171"/>
    </row>
    <row r="105" spans="1:14" ht="11.25" customHeight="1" x14ac:dyDescent="0.2">
      <c r="A105" s="3118"/>
      <c r="B105" s="460" t="s">
        <v>7</v>
      </c>
      <c r="C105" s="3087"/>
      <c r="D105" s="461">
        <f>+E105+F105+G105+H105</f>
        <v>651186</v>
      </c>
      <c r="E105" s="463">
        <f>39327+169256+164195</f>
        <v>372778</v>
      </c>
      <c r="F105" s="574">
        <v>164310</v>
      </c>
      <c r="G105" s="574">
        <v>114098</v>
      </c>
      <c r="H105" s="1036">
        <v>0</v>
      </c>
      <c r="I105" s="461">
        <f>K105+E105+F105</f>
        <v>651182</v>
      </c>
      <c r="J105" s="1140">
        <f t="shared" si="73"/>
        <v>99.999385736179832</v>
      </c>
      <c r="K105" s="574">
        <v>114094</v>
      </c>
      <c r="L105" s="1140">
        <f t="shared" si="74"/>
        <v>99.996494241792149</v>
      </c>
      <c r="M105" s="1173">
        <f t="shared" si="66"/>
        <v>-4</v>
      </c>
      <c r="N105" s="3171"/>
    </row>
    <row r="106" spans="1:14" ht="12" customHeight="1" x14ac:dyDescent="0.2">
      <c r="A106" s="3118"/>
      <c r="B106" s="572" t="s">
        <v>12</v>
      </c>
      <c r="C106" s="3194"/>
      <c r="D106" s="474">
        <f t="shared" ref="D106:I106" si="75">+D107</f>
        <v>4100044</v>
      </c>
      <c r="E106" s="475">
        <f t="shared" si="75"/>
        <v>2352789</v>
      </c>
      <c r="F106" s="475">
        <f t="shared" si="75"/>
        <v>1067322</v>
      </c>
      <c r="G106" s="475">
        <f t="shared" si="75"/>
        <v>679933</v>
      </c>
      <c r="H106" s="479">
        <f t="shared" si="75"/>
        <v>0</v>
      </c>
      <c r="I106" s="474">
        <f t="shared" si="75"/>
        <v>4100022</v>
      </c>
      <c r="J106" s="1132">
        <f t="shared" si="73"/>
        <v>99.999463420392559</v>
      </c>
      <c r="K106" s="475">
        <f>+K107</f>
        <v>679911</v>
      </c>
      <c r="L106" s="1132">
        <f t="shared" si="74"/>
        <v>99.996764387079324</v>
      </c>
      <c r="M106" s="1172">
        <f t="shared" si="66"/>
        <v>-22</v>
      </c>
      <c r="N106" s="3171"/>
    </row>
    <row r="107" spans="1:14" ht="11.25" customHeight="1" thickBot="1" x14ac:dyDescent="0.25">
      <c r="A107" s="3119"/>
      <c r="B107" s="537" t="s">
        <v>14</v>
      </c>
      <c r="C107" s="3195"/>
      <c r="D107" s="500">
        <f>+E107+F107+G107+H107</f>
        <v>4100044</v>
      </c>
      <c r="E107" s="502">
        <f>247610+1084861+1020318</f>
        <v>2352789</v>
      </c>
      <c r="F107" s="502">
        <v>1067322</v>
      </c>
      <c r="G107" s="502">
        <v>679933</v>
      </c>
      <c r="H107" s="507">
        <v>0</v>
      </c>
      <c r="I107" s="504">
        <f>K107+E107+F107</f>
        <v>4100022</v>
      </c>
      <c r="J107" s="1134">
        <f t="shared" si="73"/>
        <v>99.999463420392559</v>
      </c>
      <c r="K107" s="502">
        <v>679911</v>
      </c>
      <c r="L107" s="1134">
        <f t="shared" si="74"/>
        <v>99.996764387079324</v>
      </c>
      <c r="M107" s="1174">
        <f t="shared" si="66"/>
        <v>-22</v>
      </c>
      <c r="N107" s="3172"/>
    </row>
    <row r="108" spans="1:14" ht="37.5" customHeight="1" x14ac:dyDescent="0.2">
      <c r="A108" s="3116" t="s">
        <v>46</v>
      </c>
      <c r="B108" s="541" t="s">
        <v>282</v>
      </c>
      <c r="C108" s="443" t="s">
        <v>173</v>
      </c>
      <c r="D108" s="444"/>
      <c r="E108" s="445"/>
      <c r="F108" s="445"/>
      <c r="G108" s="445"/>
      <c r="H108" s="449"/>
      <c r="I108" s="444"/>
      <c r="J108" s="445"/>
      <c r="K108" s="445"/>
      <c r="L108" s="445"/>
      <c r="M108" s="449"/>
      <c r="N108" s="3275" t="s">
        <v>104</v>
      </c>
    </row>
    <row r="109" spans="1:14" ht="13.5" customHeight="1" x14ac:dyDescent="0.2">
      <c r="A109" s="3117"/>
      <c r="B109" s="566" t="s">
        <v>2</v>
      </c>
      <c r="C109" s="27"/>
      <c r="D109" s="513">
        <f t="shared" ref="D109:I109" si="76">+D110+D113</f>
        <v>2599022</v>
      </c>
      <c r="E109" s="606">
        <f t="shared" ref="E109:F109" si="77">+E110+E112</f>
        <v>0</v>
      </c>
      <c r="F109" s="606">
        <f t="shared" si="77"/>
        <v>0</v>
      </c>
      <c r="G109" s="1175">
        <f t="shared" si="76"/>
        <v>408155</v>
      </c>
      <c r="H109" s="518">
        <f t="shared" si="76"/>
        <v>2190867</v>
      </c>
      <c r="I109" s="513">
        <f t="shared" si="76"/>
        <v>402175</v>
      </c>
      <c r="J109" s="1104">
        <f>I109/D109*100</f>
        <v>15.474089869189257</v>
      </c>
      <c r="K109" s="514">
        <f>+K110+K113</f>
        <v>402175</v>
      </c>
      <c r="L109" s="1104">
        <f>K109/G109*100</f>
        <v>98.534870331124196</v>
      </c>
      <c r="M109" s="1168">
        <f t="shared" ref="M109:M119" si="78">+K109-G109</f>
        <v>-5980</v>
      </c>
      <c r="N109" s="3266"/>
    </row>
    <row r="110" spans="1:14" ht="13.5" customHeight="1" x14ac:dyDescent="0.2">
      <c r="A110" s="3117"/>
      <c r="B110" s="569" t="s">
        <v>17</v>
      </c>
      <c r="C110" s="3086" t="s">
        <v>105</v>
      </c>
      <c r="D110" s="519">
        <f t="shared" ref="D110:I110" si="79">+D111+D112</f>
        <v>389857</v>
      </c>
      <c r="E110" s="607">
        <f t="shared" ref="E110:F110" si="80">+E111</f>
        <v>0</v>
      </c>
      <c r="F110" s="607">
        <f t="shared" si="80"/>
        <v>0</v>
      </c>
      <c r="G110" s="571">
        <f t="shared" si="79"/>
        <v>61224</v>
      </c>
      <c r="H110" s="521">
        <f t="shared" si="79"/>
        <v>328633</v>
      </c>
      <c r="I110" s="519">
        <f t="shared" si="79"/>
        <v>60326</v>
      </c>
      <c r="J110" s="1126">
        <f t="shared" ref="J110:J114" si="81">I110/D110*100</f>
        <v>15.473878883795852</v>
      </c>
      <c r="K110" s="520">
        <f>+K111+K112</f>
        <v>60326</v>
      </c>
      <c r="L110" s="1132">
        <f t="shared" ref="L110:L114" si="82">K110/G110*100</f>
        <v>98.533254932706129</v>
      </c>
      <c r="M110" s="1169">
        <f t="shared" si="78"/>
        <v>-898</v>
      </c>
      <c r="N110" s="3266"/>
    </row>
    <row r="111" spans="1:14" ht="13.5" customHeight="1" x14ac:dyDescent="0.2">
      <c r="A111" s="3117"/>
      <c r="B111" s="460" t="s">
        <v>4</v>
      </c>
      <c r="C111" s="3086"/>
      <c r="D111" s="461">
        <f>+E111+F111+G111+H111</f>
        <v>38988</v>
      </c>
      <c r="E111" s="482">
        <v>0</v>
      </c>
      <c r="F111" s="470">
        <v>0</v>
      </c>
      <c r="G111" s="1176">
        <v>6123</v>
      </c>
      <c r="H111" s="1170">
        <f>19185+13680</f>
        <v>32865</v>
      </c>
      <c r="I111" s="464">
        <f>K111+E111+F111</f>
        <v>6032</v>
      </c>
      <c r="J111" s="1162">
        <f t="shared" si="81"/>
        <v>15.471427105776137</v>
      </c>
      <c r="K111" s="462">
        <v>6032</v>
      </c>
      <c r="L111" s="1140">
        <f t="shared" si="82"/>
        <v>98.513800424628457</v>
      </c>
      <c r="M111" s="1171">
        <f t="shared" si="78"/>
        <v>-91</v>
      </c>
      <c r="N111" s="3266"/>
    </row>
    <row r="112" spans="1:14" ht="13.5" customHeight="1" x14ac:dyDescent="0.2">
      <c r="A112" s="3117"/>
      <c r="B112" s="460" t="s">
        <v>7</v>
      </c>
      <c r="C112" s="3086"/>
      <c r="D112" s="461">
        <f>+E112+F112+G112+H112</f>
        <v>350869</v>
      </c>
      <c r="E112" s="477">
        <f t="shared" ref="E112:F112" si="83">+E113</f>
        <v>0</v>
      </c>
      <c r="F112" s="477">
        <f t="shared" si="83"/>
        <v>0</v>
      </c>
      <c r="G112" s="1176">
        <v>55101</v>
      </c>
      <c r="H112" s="573">
        <f>172654+123114</f>
        <v>295768</v>
      </c>
      <c r="I112" s="464">
        <f>K112+E112+F112</f>
        <v>54294</v>
      </c>
      <c r="J112" s="1162">
        <f t="shared" si="81"/>
        <v>15.474151321433355</v>
      </c>
      <c r="K112" s="462">
        <v>54294</v>
      </c>
      <c r="L112" s="1140">
        <f t="shared" si="82"/>
        <v>98.535416780094735</v>
      </c>
      <c r="M112" s="1171">
        <f t="shared" si="78"/>
        <v>-807</v>
      </c>
      <c r="N112" s="3266"/>
    </row>
    <row r="113" spans="1:18" ht="13.5" customHeight="1" x14ac:dyDescent="0.2">
      <c r="A113" s="3117"/>
      <c r="B113" s="572" t="s">
        <v>12</v>
      </c>
      <c r="C113" s="3086"/>
      <c r="D113" s="474">
        <f t="shared" ref="D113:I113" si="84">+D114</f>
        <v>2209165</v>
      </c>
      <c r="E113" s="482">
        <v>0</v>
      </c>
      <c r="F113" s="470">
        <v>0</v>
      </c>
      <c r="G113" s="30">
        <f t="shared" si="84"/>
        <v>346931</v>
      </c>
      <c r="H113" s="479">
        <f t="shared" si="84"/>
        <v>1862234</v>
      </c>
      <c r="I113" s="474">
        <f t="shared" si="84"/>
        <v>341849</v>
      </c>
      <c r="J113" s="1126">
        <f t="shared" si="81"/>
        <v>15.474127102321466</v>
      </c>
      <c r="K113" s="475">
        <f>+K114</f>
        <v>341849</v>
      </c>
      <c r="L113" s="1132">
        <f t="shared" si="82"/>
        <v>98.535155405541744</v>
      </c>
      <c r="M113" s="1172">
        <f t="shared" si="78"/>
        <v>-5082</v>
      </c>
      <c r="N113" s="3266"/>
    </row>
    <row r="114" spans="1:18" ht="13.5" customHeight="1" x14ac:dyDescent="0.2">
      <c r="A114" s="3117"/>
      <c r="B114" s="460" t="s">
        <v>14</v>
      </c>
      <c r="C114" s="3086"/>
      <c r="D114" s="461">
        <f>+E114+F114+G114+H114</f>
        <v>2209165</v>
      </c>
      <c r="E114" s="482">
        <v>0</v>
      </c>
      <c r="F114" s="470">
        <v>0</v>
      </c>
      <c r="G114" s="1176">
        <v>346931</v>
      </c>
      <c r="H114" s="573">
        <f>1087072+775162</f>
        <v>1862234</v>
      </c>
      <c r="I114" s="464">
        <f>K114+E114+F114</f>
        <v>341849</v>
      </c>
      <c r="J114" s="1162">
        <f t="shared" si="81"/>
        <v>15.474127102321466</v>
      </c>
      <c r="K114" s="463">
        <v>341849</v>
      </c>
      <c r="L114" s="1140">
        <f t="shared" si="82"/>
        <v>98.535155405541744</v>
      </c>
      <c r="M114" s="1171">
        <f t="shared" si="78"/>
        <v>-5082</v>
      </c>
      <c r="N114" s="3266"/>
    </row>
    <row r="115" spans="1:18" ht="13.5" customHeight="1" x14ac:dyDescent="0.2">
      <c r="A115" s="3117"/>
      <c r="B115" s="566" t="s">
        <v>16</v>
      </c>
      <c r="C115" s="27"/>
      <c r="D115" s="415">
        <f t="shared" ref="D115:I115" si="85">+D116+D118</f>
        <v>2560034</v>
      </c>
      <c r="E115" s="593">
        <f t="shared" si="85"/>
        <v>0</v>
      </c>
      <c r="F115" s="593">
        <f t="shared" si="85"/>
        <v>0</v>
      </c>
      <c r="G115" s="416">
        <f t="shared" si="85"/>
        <v>402032</v>
      </c>
      <c r="H115" s="453">
        <f t="shared" si="85"/>
        <v>2158002</v>
      </c>
      <c r="I115" s="415">
        <f t="shared" si="85"/>
        <v>401225</v>
      </c>
      <c r="J115" s="1104">
        <f>I115/D115*100</f>
        <v>15.672643410204708</v>
      </c>
      <c r="K115" s="416">
        <f>+K116+K118</f>
        <v>401225</v>
      </c>
      <c r="L115" s="1104">
        <f>K115/G115*100</f>
        <v>99.79926970987384</v>
      </c>
      <c r="M115" s="418">
        <f t="shared" si="78"/>
        <v>-807</v>
      </c>
      <c r="N115" s="3266"/>
    </row>
    <row r="116" spans="1:18" ht="13.5" customHeight="1" x14ac:dyDescent="0.2">
      <c r="A116" s="3117"/>
      <c r="B116" s="569" t="s">
        <v>17</v>
      </c>
      <c r="C116" s="3193" t="s">
        <v>113</v>
      </c>
      <c r="D116" s="474">
        <f t="shared" ref="D116:I116" si="86">+D117</f>
        <v>350869</v>
      </c>
      <c r="E116" s="477">
        <f t="shared" si="86"/>
        <v>0</v>
      </c>
      <c r="F116" s="477">
        <f t="shared" si="86"/>
        <v>0</v>
      </c>
      <c r="G116" s="475">
        <f t="shared" si="86"/>
        <v>55101</v>
      </c>
      <c r="H116" s="479">
        <f t="shared" si="86"/>
        <v>295768</v>
      </c>
      <c r="I116" s="474">
        <f t="shared" si="86"/>
        <v>54294</v>
      </c>
      <c r="J116" s="1126">
        <f t="shared" ref="J116:J119" si="87">I116/D116*100</f>
        <v>15.474151321433355</v>
      </c>
      <c r="K116" s="475">
        <f>+K117</f>
        <v>54294</v>
      </c>
      <c r="L116" s="1132">
        <f t="shared" ref="L116:L119" si="88">K116/G116*100</f>
        <v>98.535416780094735</v>
      </c>
      <c r="M116" s="1172">
        <f t="shared" si="78"/>
        <v>-807</v>
      </c>
      <c r="N116" s="3266"/>
    </row>
    <row r="117" spans="1:18" ht="13.5" customHeight="1" x14ac:dyDescent="0.2">
      <c r="A117" s="3117"/>
      <c r="B117" s="460" t="s">
        <v>7</v>
      </c>
      <c r="C117" s="3193"/>
      <c r="D117" s="461">
        <f>+E117+F117+G117+H117</f>
        <v>350869</v>
      </c>
      <c r="E117" s="482">
        <v>0</v>
      </c>
      <c r="F117" s="482">
        <v>0</v>
      </c>
      <c r="G117" s="574">
        <v>55101</v>
      </c>
      <c r="H117" s="1036">
        <f>172654+123114</f>
        <v>295768</v>
      </c>
      <c r="I117" s="461">
        <f>K117+E117+F117</f>
        <v>54294</v>
      </c>
      <c r="J117" s="1162">
        <f t="shared" si="87"/>
        <v>15.474151321433355</v>
      </c>
      <c r="K117" s="574">
        <v>54294</v>
      </c>
      <c r="L117" s="1140">
        <f t="shared" si="88"/>
        <v>98.535416780094735</v>
      </c>
      <c r="M117" s="1173">
        <f t="shared" si="78"/>
        <v>-807</v>
      </c>
      <c r="N117" s="3266"/>
    </row>
    <row r="118" spans="1:18" ht="13.5" customHeight="1" x14ac:dyDescent="0.2">
      <c r="A118" s="3117"/>
      <c r="B118" s="572" t="s">
        <v>12</v>
      </c>
      <c r="C118" s="3193"/>
      <c r="D118" s="474">
        <f t="shared" ref="D118:I118" si="89">+D119</f>
        <v>2209165</v>
      </c>
      <c r="E118" s="477">
        <f t="shared" si="89"/>
        <v>0</v>
      </c>
      <c r="F118" s="477">
        <f t="shared" si="89"/>
        <v>0</v>
      </c>
      <c r="G118" s="475">
        <f t="shared" si="89"/>
        <v>346931</v>
      </c>
      <c r="H118" s="479">
        <f t="shared" si="89"/>
        <v>1862234</v>
      </c>
      <c r="I118" s="474">
        <f t="shared" si="89"/>
        <v>346931</v>
      </c>
      <c r="J118" s="1126">
        <f t="shared" si="87"/>
        <v>15.704168769648261</v>
      </c>
      <c r="K118" s="475">
        <f>+K119</f>
        <v>346931</v>
      </c>
      <c r="L118" s="1132">
        <f t="shared" si="88"/>
        <v>100</v>
      </c>
      <c r="M118" s="1172">
        <f t="shared" si="78"/>
        <v>0</v>
      </c>
      <c r="N118" s="3266"/>
    </row>
    <row r="119" spans="1:18" ht="13.5" customHeight="1" thickBot="1" x14ac:dyDescent="0.25">
      <c r="A119" s="3190"/>
      <c r="B119" s="537" t="s">
        <v>14</v>
      </c>
      <c r="C119" s="3294"/>
      <c r="D119" s="500">
        <f>+E119+F119+G119+H119</f>
        <v>2209165</v>
      </c>
      <c r="E119" s="527">
        <v>0</v>
      </c>
      <c r="F119" s="527">
        <v>0</v>
      </c>
      <c r="G119" s="502">
        <v>346931</v>
      </c>
      <c r="H119" s="507">
        <f>1087072+775162</f>
        <v>1862234</v>
      </c>
      <c r="I119" s="504">
        <f>K119+E119+F119</f>
        <v>346931</v>
      </c>
      <c r="J119" s="1177">
        <f t="shared" si="87"/>
        <v>15.704168769648261</v>
      </c>
      <c r="K119" s="502">
        <v>346931</v>
      </c>
      <c r="L119" s="1134">
        <f t="shared" si="88"/>
        <v>100</v>
      </c>
      <c r="M119" s="1174">
        <f t="shared" si="78"/>
        <v>0</v>
      </c>
      <c r="N119" s="3276"/>
    </row>
    <row r="120" spans="1:18" ht="27.75" customHeight="1" x14ac:dyDescent="0.2">
      <c r="A120" s="3116" t="s">
        <v>48</v>
      </c>
      <c r="B120" s="541" t="s">
        <v>239</v>
      </c>
      <c r="C120" s="443" t="s">
        <v>173</v>
      </c>
      <c r="D120" s="444"/>
      <c r="E120" s="445"/>
      <c r="F120" s="445"/>
      <c r="G120" s="445"/>
      <c r="H120" s="449"/>
      <c r="I120" s="444"/>
      <c r="J120" s="445"/>
      <c r="K120" s="445"/>
      <c r="L120" s="445"/>
      <c r="M120" s="449"/>
      <c r="N120" s="3275" t="s">
        <v>104</v>
      </c>
      <c r="O120" s="272"/>
      <c r="P120" s="272"/>
      <c r="Q120" s="272"/>
      <c r="R120" s="272"/>
    </row>
    <row r="121" spans="1:18" ht="13.5" customHeight="1" x14ac:dyDescent="0.2">
      <c r="A121" s="3117"/>
      <c r="B121" s="566" t="s">
        <v>2</v>
      </c>
      <c r="C121" s="27"/>
      <c r="D121" s="513">
        <f t="shared" ref="D121:I121" si="90">+D122+D125</f>
        <v>5944352</v>
      </c>
      <c r="E121" s="514">
        <f t="shared" si="90"/>
        <v>3435215</v>
      </c>
      <c r="F121" s="514">
        <f t="shared" si="90"/>
        <v>914517</v>
      </c>
      <c r="G121" s="514">
        <f t="shared" si="90"/>
        <v>957000</v>
      </c>
      <c r="H121" s="518">
        <f t="shared" si="90"/>
        <v>637620</v>
      </c>
      <c r="I121" s="513">
        <f t="shared" si="90"/>
        <v>5267151</v>
      </c>
      <c r="J121" s="1104">
        <f>I121/D121*100</f>
        <v>88.607656477947472</v>
      </c>
      <c r="K121" s="514">
        <f>+K122+K125</f>
        <v>917419</v>
      </c>
      <c r="L121" s="1104">
        <f>K121/G121*100</f>
        <v>95.864054336468129</v>
      </c>
      <c r="M121" s="518">
        <f>+K121-G121</f>
        <v>-39581</v>
      </c>
      <c r="N121" s="3266"/>
    </row>
    <row r="122" spans="1:18" ht="12.75" customHeight="1" x14ac:dyDescent="0.2">
      <c r="A122" s="3117"/>
      <c r="B122" s="569" t="s">
        <v>17</v>
      </c>
      <c r="C122" s="3086" t="s">
        <v>118</v>
      </c>
      <c r="D122" s="519">
        <f t="shared" ref="D122:I122" si="91">+D123+D124</f>
        <v>891655</v>
      </c>
      <c r="E122" s="520">
        <f t="shared" si="91"/>
        <v>515284</v>
      </c>
      <c r="F122" s="520">
        <f t="shared" si="91"/>
        <v>137178</v>
      </c>
      <c r="G122" s="520">
        <f t="shared" si="91"/>
        <v>143550</v>
      </c>
      <c r="H122" s="521">
        <f t="shared" si="91"/>
        <v>95643</v>
      </c>
      <c r="I122" s="519">
        <f t="shared" si="91"/>
        <v>790075</v>
      </c>
      <c r="J122" s="1132">
        <f t="shared" ref="J122:J131" si="92">I122/D122*100</f>
        <v>88.607701409177324</v>
      </c>
      <c r="K122" s="520">
        <f>+K123+K124</f>
        <v>137613</v>
      </c>
      <c r="L122" s="1132">
        <f t="shared" ref="L122:L131" si="93">K122/G122*100</f>
        <v>95.864158829676072</v>
      </c>
      <c r="M122" s="521">
        <f>+K122-G122</f>
        <v>-5937</v>
      </c>
      <c r="N122" s="3266"/>
    </row>
    <row r="123" spans="1:18" ht="13.5" hidden="1" customHeight="1" x14ac:dyDescent="0.2">
      <c r="A123" s="3117"/>
      <c r="B123" s="460" t="s">
        <v>4</v>
      </c>
      <c r="C123" s="3087"/>
      <c r="D123" s="461">
        <f>+E123+F123+G123+H123</f>
        <v>0</v>
      </c>
      <c r="E123" s="463">
        <v>0</v>
      </c>
      <c r="F123" s="462"/>
      <c r="G123" s="462"/>
      <c r="H123" s="573"/>
      <c r="I123" s="464"/>
      <c r="J123" s="1140" t="e">
        <f t="shared" si="92"/>
        <v>#DIV/0!</v>
      </c>
      <c r="K123" s="463"/>
      <c r="L123" s="1140" t="e">
        <f t="shared" si="93"/>
        <v>#DIV/0!</v>
      </c>
      <c r="M123" s="467">
        <f t="shared" ref="M123" si="94">+K123-G123*0.5</f>
        <v>0</v>
      </c>
      <c r="N123" s="3266"/>
    </row>
    <row r="124" spans="1:18" ht="13.5" customHeight="1" x14ac:dyDescent="0.2">
      <c r="A124" s="3117"/>
      <c r="B124" s="460" t="s">
        <v>7</v>
      </c>
      <c r="C124" s="3087"/>
      <c r="D124" s="461">
        <f>+E124+F124+G124+H124</f>
        <v>891655</v>
      </c>
      <c r="E124" s="463">
        <f>201703+175332+138249</f>
        <v>515284</v>
      </c>
      <c r="F124" s="462">
        <v>137178</v>
      </c>
      <c r="G124" s="462">
        <v>143550</v>
      </c>
      <c r="H124" s="573">
        <v>95643</v>
      </c>
      <c r="I124" s="464">
        <f>K124+E124+F124</f>
        <v>790075</v>
      </c>
      <c r="J124" s="1140">
        <f t="shared" si="92"/>
        <v>88.607701409177324</v>
      </c>
      <c r="K124" s="463">
        <v>137613</v>
      </c>
      <c r="L124" s="1140">
        <f t="shared" si="93"/>
        <v>95.864158829676072</v>
      </c>
      <c r="M124" s="467">
        <f t="shared" ref="M124:M131" si="95">+K124-G124</f>
        <v>-5937</v>
      </c>
      <c r="N124" s="3266"/>
    </row>
    <row r="125" spans="1:18" ht="12.75" customHeight="1" x14ac:dyDescent="0.2">
      <c r="A125" s="3117"/>
      <c r="B125" s="572" t="s">
        <v>12</v>
      </c>
      <c r="C125" s="3087"/>
      <c r="D125" s="474">
        <f t="shared" ref="D125:I125" si="96">+D126</f>
        <v>5052697</v>
      </c>
      <c r="E125" s="475">
        <f t="shared" si="96"/>
        <v>2919931</v>
      </c>
      <c r="F125" s="475">
        <f t="shared" si="96"/>
        <v>777339</v>
      </c>
      <c r="G125" s="475">
        <f t="shared" si="96"/>
        <v>813450</v>
      </c>
      <c r="H125" s="479">
        <f t="shared" si="96"/>
        <v>541977</v>
      </c>
      <c r="I125" s="474">
        <f t="shared" si="96"/>
        <v>4477076</v>
      </c>
      <c r="J125" s="1132">
        <f t="shared" si="92"/>
        <v>88.607648548883887</v>
      </c>
      <c r="K125" s="475">
        <f>+K126</f>
        <v>779806</v>
      </c>
      <c r="L125" s="1132">
        <f t="shared" si="93"/>
        <v>95.864035896490265</v>
      </c>
      <c r="M125" s="479">
        <f t="shared" si="95"/>
        <v>-33644</v>
      </c>
      <c r="N125" s="3266"/>
    </row>
    <row r="126" spans="1:18" ht="12" customHeight="1" x14ac:dyDescent="0.2">
      <c r="A126" s="3117"/>
      <c r="B126" s="460" t="s">
        <v>14</v>
      </c>
      <c r="C126" s="3087"/>
      <c r="D126" s="461">
        <f>+E126+F126+G126+H126</f>
        <v>5052697</v>
      </c>
      <c r="E126" s="463">
        <f>1142978+993543+783410</f>
        <v>2919931</v>
      </c>
      <c r="F126" s="462">
        <v>777339</v>
      </c>
      <c r="G126" s="462">
        <v>813450</v>
      </c>
      <c r="H126" s="573">
        <v>541977</v>
      </c>
      <c r="I126" s="464">
        <f>K126+E126+F126</f>
        <v>4477076</v>
      </c>
      <c r="J126" s="1140">
        <f t="shared" si="92"/>
        <v>88.607648548883887</v>
      </c>
      <c r="K126" s="463">
        <v>779806</v>
      </c>
      <c r="L126" s="1140">
        <f t="shared" si="93"/>
        <v>95.864035896490265</v>
      </c>
      <c r="M126" s="467">
        <f t="shared" si="95"/>
        <v>-33644</v>
      </c>
      <c r="N126" s="3266"/>
    </row>
    <row r="127" spans="1:18" ht="13.5" customHeight="1" x14ac:dyDescent="0.2">
      <c r="A127" s="3118"/>
      <c r="B127" s="566" t="s">
        <v>16</v>
      </c>
      <c r="C127" s="27"/>
      <c r="D127" s="415">
        <f t="shared" ref="D127:I127" si="97">+D128+D130</f>
        <v>5944352</v>
      </c>
      <c r="E127" s="416">
        <f t="shared" si="97"/>
        <v>3435215</v>
      </c>
      <c r="F127" s="416">
        <f t="shared" si="97"/>
        <v>914517</v>
      </c>
      <c r="G127" s="416">
        <f t="shared" si="97"/>
        <v>957000</v>
      </c>
      <c r="H127" s="453">
        <f t="shared" si="97"/>
        <v>637620</v>
      </c>
      <c r="I127" s="415">
        <f t="shared" si="97"/>
        <v>5267151</v>
      </c>
      <c r="J127" s="1104">
        <f t="shared" si="92"/>
        <v>88.607656477947472</v>
      </c>
      <c r="K127" s="416">
        <f>+K128+K130</f>
        <v>917419</v>
      </c>
      <c r="L127" s="1104">
        <f t="shared" si="93"/>
        <v>95.864054336468129</v>
      </c>
      <c r="M127" s="453">
        <f t="shared" si="95"/>
        <v>-39581</v>
      </c>
      <c r="N127" s="3266"/>
    </row>
    <row r="128" spans="1:18" ht="13.5" customHeight="1" thickBot="1" x14ac:dyDescent="0.25">
      <c r="A128" s="3119"/>
      <c r="B128" s="569" t="s">
        <v>17</v>
      </c>
      <c r="C128" s="3299" t="s">
        <v>119</v>
      </c>
      <c r="D128" s="474">
        <f t="shared" ref="D128:I128" si="98">+D129</f>
        <v>891655</v>
      </c>
      <c r="E128" s="475">
        <f t="shared" si="98"/>
        <v>515284</v>
      </c>
      <c r="F128" s="475">
        <f t="shared" si="98"/>
        <v>137178</v>
      </c>
      <c r="G128" s="475">
        <f t="shared" si="98"/>
        <v>143550</v>
      </c>
      <c r="H128" s="479">
        <f t="shared" si="98"/>
        <v>95643</v>
      </c>
      <c r="I128" s="474">
        <f t="shared" si="98"/>
        <v>790075</v>
      </c>
      <c r="J128" s="1132">
        <f t="shared" si="92"/>
        <v>88.607701409177324</v>
      </c>
      <c r="K128" s="475">
        <f>+K129</f>
        <v>137613</v>
      </c>
      <c r="L128" s="1132">
        <f t="shared" si="93"/>
        <v>95.864158829676072</v>
      </c>
      <c r="M128" s="479">
        <f t="shared" si="95"/>
        <v>-5937</v>
      </c>
      <c r="N128" s="3276"/>
    </row>
    <row r="129" spans="1:14" ht="13.5" customHeight="1" x14ac:dyDescent="0.2">
      <c r="A129" s="3205"/>
      <c r="B129" s="460" t="s">
        <v>7</v>
      </c>
      <c r="C129" s="3303"/>
      <c r="D129" s="461">
        <f>+E129+F129+G129+H129</f>
        <v>891655</v>
      </c>
      <c r="E129" s="463">
        <f>201703+175332+138249</f>
        <v>515284</v>
      </c>
      <c r="F129" s="462">
        <v>137178</v>
      </c>
      <c r="G129" s="462">
        <v>143550</v>
      </c>
      <c r="H129" s="573">
        <v>95643</v>
      </c>
      <c r="I129" s="461">
        <f>K129+E129+F129</f>
        <v>790075</v>
      </c>
      <c r="J129" s="1140">
        <f t="shared" si="92"/>
        <v>88.607701409177324</v>
      </c>
      <c r="K129" s="574">
        <v>137613</v>
      </c>
      <c r="L129" s="1140">
        <f t="shared" si="93"/>
        <v>95.864158829676072</v>
      </c>
      <c r="M129" s="1036">
        <f t="shared" si="95"/>
        <v>-5937</v>
      </c>
      <c r="N129" s="3275"/>
    </row>
    <row r="130" spans="1:14" ht="12" customHeight="1" x14ac:dyDescent="0.2">
      <c r="A130" s="3118"/>
      <c r="B130" s="572" t="s">
        <v>12</v>
      </c>
      <c r="C130" s="3194"/>
      <c r="D130" s="474">
        <f t="shared" ref="D130:I130" si="99">+D131</f>
        <v>5052697</v>
      </c>
      <c r="E130" s="475">
        <f t="shared" si="99"/>
        <v>2919931</v>
      </c>
      <c r="F130" s="475">
        <f t="shared" si="99"/>
        <v>777339</v>
      </c>
      <c r="G130" s="475">
        <f t="shared" si="99"/>
        <v>813450</v>
      </c>
      <c r="H130" s="479">
        <f t="shared" si="99"/>
        <v>541977</v>
      </c>
      <c r="I130" s="474">
        <f t="shared" si="99"/>
        <v>4477076</v>
      </c>
      <c r="J130" s="1132">
        <f t="shared" si="92"/>
        <v>88.607648548883887</v>
      </c>
      <c r="K130" s="475">
        <f>+K131</f>
        <v>779806</v>
      </c>
      <c r="L130" s="1132">
        <f t="shared" si="93"/>
        <v>95.864035896490265</v>
      </c>
      <c r="M130" s="479">
        <f t="shared" si="95"/>
        <v>-33644</v>
      </c>
      <c r="N130" s="3266"/>
    </row>
    <row r="131" spans="1:14" ht="13.5" customHeight="1" thickBot="1" x14ac:dyDescent="0.25">
      <c r="A131" s="3119"/>
      <c r="B131" s="537" t="s">
        <v>14</v>
      </c>
      <c r="C131" s="3195"/>
      <c r="D131" s="500">
        <f>+E131+F131+G131+H131</f>
        <v>5052697</v>
      </c>
      <c r="E131" s="502">
        <f>1142978+993543+783410</f>
        <v>2919931</v>
      </c>
      <c r="F131" s="501">
        <v>777339</v>
      </c>
      <c r="G131" s="501">
        <v>813450</v>
      </c>
      <c r="H131" s="1165">
        <v>541977</v>
      </c>
      <c r="I131" s="504">
        <f>K131+E131+F131</f>
        <v>4477076</v>
      </c>
      <c r="J131" s="1134">
        <f t="shared" si="92"/>
        <v>88.607648548883887</v>
      </c>
      <c r="K131" s="502">
        <v>779806</v>
      </c>
      <c r="L131" s="1134">
        <f t="shared" si="93"/>
        <v>95.864035896490265</v>
      </c>
      <c r="M131" s="507">
        <f t="shared" si="95"/>
        <v>-33644</v>
      </c>
      <c r="N131" s="3276"/>
    </row>
    <row r="132" spans="1:14" ht="27" customHeight="1" x14ac:dyDescent="0.2">
      <c r="A132" s="3116" t="s">
        <v>50</v>
      </c>
      <c r="B132" s="541" t="s">
        <v>238</v>
      </c>
      <c r="C132" s="443" t="s">
        <v>173</v>
      </c>
      <c r="D132" s="444"/>
      <c r="E132" s="445"/>
      <c r="F132" s="445"/>
      <c r="G132" s="445"/>
      <c r="H132" s="449"/>
      <c r="I132" s="444"/>
      <c r="J132" s="445"/>
      <c r="K132" s="445"/>
      <c r="L132" s="445"/>
      <c r="M132" s="449"/>
      <c r="N132" s="3275" t="s">
        <v>104</v>
      </c>
    </row>
    <row r="133" spans="1:14" ht="12" customHeight="1" x14ac:dyDescent="0.2">
      <c r="A133" s="3117"/>
      <c r="B133" s="566" t="s">
        <v>2</v>
      </c>
      <c r="C133" s="27"/>
      <c r="D133" s="513">
        <f t="shared" ref="D133:I133" si="100">+D134+D137</f>
        <v>67131718</v>
      </c>
      <c r="E133" s="514">
        <f t="shared" si="100"/>
        <v>27222929</v>
      </c>
      <c r="F133" s="514">
        <f t="shared" si="100"/>
        <v>8426857</v>
      </c>
      <c r="G133" s="514">
        <f t="shared" si="100"/>
        <v>10488282</v>
      </c>
      <c r="H133" s="518">
        <f t="shared" si="100"/>
        <v>20993650</v>
      </c>
      <c r="I133" s="513">
        <f t="shared" si="100"/>
        <v>45565233</v>
      </c>
      <c r="J133" s="1104">
        <f>I133/D133*100</f>
        <v>67.874373481697575</v>
      </c>
      <c r="K133" s="514">
        <f>+K134+K137</f>
        <v>9915447</v>
      </c>
      <c r="L133" s="1104">
        <f>K133/G133*100</f>
        <v>94.538333351448784</v>
      </c>
      <c r="M133" s="1168">
        <f t="shared" ref="M133:M143" si="101">+K133-G133</f>
        <v>-572835</v>
      </c>
      <c r="N133" s="3266"/>
    </row>
    <row r="134" spans="1:14" ht="13.5" customHeight="1" x14ac:dyDescent="0.2">
      <c r="A134" s="3117"/>
      <c r="B134" s="569" t="s">
        <v>17</v>
      </c>
      <c r="C134" s="3086" t="s">
        <v>118</v>
      </c>
      <c r="D134" s="519">
        <f t="shared" ref="D134:I134" si="102">+D135+D136</f>
        <v>10069755</v>
      </c>
      <c r="E134" s="520">
        <f t="shared" si="102"/>
        <v>4083437</v>
      </c>
      <c r="F134" s="520">
        <f t="shared" si="102"/>
        <v>1264029</v>
      </c>
      <c r="G134" s="520">
        <f t="shared" si="102"/>
        <v>1573242</v>
      </c>
      <c r="H134" s="521">
        <f t="shared" si="102"/>
        <v>3149047</v>
      </c>
      <c r="I134" s="519">
        <f t="shared" si="102"/>
        <v>6834782</v>
      </c>
      <c r="J134" s="1126">
        <f t="shared" ref="J134:J143" si="103">I134/D134*100</f>
        <v>67.874362385182167</v>
      </c>
      <c r="K134" s="520">
        <f>+K135+K136</f>
        <v>1487316</v>
      </c>
      <c r="L134" s="1126">
        <f t="shared" ref="L134:L135" si="104">K134/G134*100</f>
        <v>94.538284637709907</v>
      </c>
      <c r="M134" s="1169">
        <f t="shared" si="101"/>
        <v>-85926</v>
      </c>
      <c r="N134" s="3266"/>
    </row>
    <row r="135" spans="1:14" ht="12" customHeight="1" x14ac:dyDescent="0.2">
      <c r="A135" s="3117"/>
      <c r="B135" s="460" t="s">
        <v>4</v>
      </c>
      <c r="C135" s="3087"/>
      <c r="D135" s="461">
        <f>+E135+F135+G135+H135</f>
        <v>10056177</v>
      </c>
      <c r="E135" s="463">
        <f>1643859+1157208+1268792</f>
        <v>4069859</v>
      </c>
      <c r="F135" s="462">
        <v>1264029</v>
      </c>
      <c r="G135" s="462">
        <v>1573242</v>
      </c>
      <c r="H135" s="573">
        <f>1671180+1477867</f>
        <v>3149047</v>
      </c>
      <c r="I135" s="464">
        <f>E135+F135+K135</f>
        <v>6821204</v>
      </c>
      <c r="J135" s="1162">
        <f t="shared" si="103"/>
        <v>67.830985870674311</v>
      </c>
      <c r="K135" s="463">
        <v>1487316</v>
      </c>
      <c r="L135" s="1162">
        <f t="shared" si="104"/>
        <v>94.538284637709907</v>
      </c>
      <c r="M135" s="1171">
        <f t="shared" si="101"/>
        <v>-85926</v>
      </c>
      <c r="N135" s="3266"/>
    </row>
    <row r="136" spans="1:14" ht="12.75" customHeight="1" x14ac:dyDescent="0.2">
      <c r="A136" s="3117"/>
      <c r="B136" s="460" t="s">
        <v>7</v>
      </c>
      <c r="C136" s="3087"/>
      <c r="D136" s="461">
        <f>+E136+F136+G136+H136</f>
        <v>13578</v>
      </c>
      <c r="E136" s="462">
        <f>10500-6809+9887</f>
        <v>13578</v>
      </c>
      <c r="F136" s="482">
        <v>0</v>
      </c>
      <c r="G136" s="482">
        <v>0</v>
      </c>
      <c r="H136" s="471">
        <v>0</v>
      </c>
      <c r="I136" s="461">
        <f>K136+E136+F136</f>
        <v>13578</v>
      </c>
      <c r="J136" s="1162">
        <f t="shared" si="103"/>
        <v>100</v>
      </c>
      <c r="K136" s="470">
        <v>0</v>
      </c>
      <c r="L136" s="1178">
        <v>0</v>
      </c>
      <c r="M136" s="1173">
        <f t="shared" si="101"/>
        <v>0</v>
      </c>
      <c r="N136" s="3266"/>
    </row>
    <row r="137" spans="1:14" ht="12.75" customHeight="1" x14ac:dyDescent="0.2">
      <c r="A137" s="3117"/>
      <c r="B137" s="572" t="s">
        <v>12</v>
      </c>
      <c r="C137" s="3087"/>
      <c r="D137" s="474">
        <f t="shared" ref="D137:I137" si="105">+D138</f>
        <v>57061963</v>
      </c>
      <c r="E137" s="475">
        <f t="shared" si="105"/>
        <v>23139492</v>
      </c>
      <c r="F137" s="475">
        <f t="shared" si="105"/>
        <v>7162828</v>
      </c>
      <c r="G137" s="475">
        <f t="shared" si="105"/>
        <v>8915040</v>
      </c>
      <c r="H137" s="479">
        <f t="shared" si="105"/>
        <v>17844603</v>
      </c>
      <c r="I137" s="474">
        <f t="shared" si="105"/>
        <v>38730451</v>
      </c>
      <c r="J137" s="1126">
        <f t="shared" si="103"/>
        <v>67.874375439905563</v>
      </c>
      <c r="K137" s="475">
        <f>+K138</f>
        <v>8428131</v>
      </c>
      <c r="L137" s="1126">
        <f>K137/G137*100</f>
        <v>94.538341947989011</v>
      </c>
      <c r="M137" s="1172">
        <f t="shared" si="101"/>
        <v>-486909</v>
      </c>
      <c r="N137" s="3266"/>
    </row>
    <row r="138" spans="1:14" ht="12.75" customHeight="1" x14ac:dyDescent="0.2">
      <c r="A138" s="3117"/>
      <c r="B138" s="460" t="s">
        <v>14</v>
      </c>
      <c r="C138" s="3087"/>
      <c r="D138" s="461">
        <f>+E138+F138+G138+H138</f>
        <v>57061963</v>
      </c>
      <c r="E138" s="463">
        <f>9315213+6578429+7245850</f>
        <v>23139492</v>
      </c>
      <c r="F138" s="462">
        <v>7162828</v>
      </c>
      <c r="G138" s="462">
        <v>8915040</v>
      </c>
      <c r="H138" s="573">
        <f>9470023+8374580</f>
        <v>17844603</v>
      </c>
      <c r="I138" s="464">
        <f>E138+F138+K138</f>
        <v>38730451</v>
      </c>
      <c r="J138" s="1162">
        <f t="shared" si="103"/>
        <v>67.874375439905563</v>
      </c>
      <c r="K138" s="463">
        <v>8428131</v>
      </c>
      <c r="L138" s="1162">
        <f t="shared" ref="L138:L139" si="106">K138/G138*100</f>
        <v>94.538341947989011</v>
      </c>
      <c r="M138" s="1171">
        <f t="shared" si="101"/>
        <v>-486909</v>
      </c>
      <c r="N138" s="3266"/>
    </row>
    <row r="139" spans="1:14" ht="11.25" customHeight="1" x14ac:dyDescent="0.2">
      <c r="A139" s="3118"/>
      <c r="B139" s="566" t="s">
        <v>16</v>
      </c>
      <c r="C139" s="27"/>
      <c r="D139" s="415">
        <f t="shared" ref="D139:I139" si="107">+D140+D142</f>
        <v>57075541</v>
      </c>
      <c r="E139" s="416">
        <f>+E140+E142</f>
        <v>23153070</v>
      </c>
      <c r="F139" s="416">
        <f>+F140+F142</f>
        <v>7162828</v>
      </c>
      <c r="G139" s="416">
        <f t="shared" si="107"/>
        <v>8915040</v>
      </c>
      <c r="H139" s="453">
        <f t="shared" si="107"/>
        <v>17844603</v>
      </c>
      <c r="I139" s="415">
        <f t="shared" si="107"/>
        <v>38744029</v>
      </c>
      <c r="J139" s="1104">
        <f t="shared" si="103"/>
        <v>67.882017973338165</v>
      </c>
      <c r="K139" s="416">
        <f>+K140+K142</f>
        <v>8428131</v>
      </c>
      <c r="L139" s="1104">
        <f t="shared" si="106"/>
        <v>94.538341947989011</v>
      </c>
      <c r="M139" s="418">
        <f t="shared" si="101"/>
        <v>-486909</v>
      </c>
      <c r="N139" s="3295"/>
    </row>
    <row r="140" spans="1:14" ht="12.75" customHeight="1" thickBot="1" x14ac:dyDescent="0.25">
      <c r="A140" s="3119"/>
      <c r="B140" s="569" t="s">
        <v>17</v>
      </c>
      <c r="C140" s="3299" t="s">
        <v>119</v>
      </c>
      <c r="D140" s="474">
        <f t="shared" ref="D140:I140" si="108">+D141</f>
        <v>13578</v>
      </c>
      <c r="E140" s="475">
        <f t="shared" si="108"/>
        <v>13578</v>
      </c>
      <c r="F140" s="477">
        <f t="shared" si="108"/>
        <v>0</v>
      </c>
      <c r="G140" s="477">
        <f t="shared" si="108"/>
        <v>0</v>
      </c>
      <c r="H140" s="478">
        <f t="shared" si="108"/>
        <v>0</v>
      </c>
      <c r="I140" s="474">
        <f t="shared" si="108"/>
        <v>13578</v>
      </c>
      <c r="J140" s="1126">
        <f t="shared" si="103"/>
        <v>100</v>
      </c>
      <c r="K140" s="477">
        <f>+K141</f>
        <v>0</v>
      </c>
      <c r="L140" s="917">
        <v>0</v>
      </c>
      <c r="M140" s="479">
        <f t="shared" si="101"/>
        <v>0</v>
      </c>
      <c r="N140" s="3296"/>
    </row>
    <row r="141" spans="1:14" ht="12.75" customHeight="1" x14ac:dyDescent="0.2">
      <c r="A141" s="3297"/>
      <c r="B141" s="1068" t="s">
        <v>7</v>
      </c>
      <c r="C141" s="3300"/>
      <c r="D141" s="529">
        <f>+E141+F141+G141+H141</f>
        <v>13578</v>
      </c>
      <c r="E141" s="1179">
        <f>10500-6809+9887</f>
        <v>13578</v>
      </c>
      <c r="F141" s="1180">
        <v>0</v>
      </c>
      <c r="G141" s="1180">
        <v>0</v>
      </c>
      <c r="H141" s="1181">
        <v>0</v>
      </c>
      <c r="I141" s="529">
        <f>K141+E141+F141</f>
        <v>13578</v>
      </c>
      <c r="J141" s="1182">
        <f t="shared" si="103"/>
        <v>100</v>
      </c>
      <c r="K141" s="1180">
        <v>0</v>
      </c>
      <c r="L141" s="1183">
        <v>0</v>
      </c>
      <c r="M141" s="1184">
        <f t="shared" si="101"/>
        <v>0</v>
      </c>
      <c r="N141" s="3298"/>
    </row>
    <row r="142" spans="1:14" ht="12.75" customHeight="1" x14ac:dyDescent="0.2">
      <c r="A142" s="3118"/>
      <c r="B142" s="572" t="s">
        <v>12</v>
      </c>
      <c r="C142" s="3194"/>
      <c r="D142" s="474">
        <f t="shared" ref="D142:I142" si="109">+D143</f>
        <v>57061963</v>
      </c>
      <c r="E142" s="475">
        <f t="shared" si="109"/>
        <v>23139492</v>
      </c>
      <c r="F142" s="475">
        <f t="shared" si="109"/>
        <v>7162828</v>
      </c>
      <c r="G142" s="475">
        <f t="shared" si="109"/>
        <v>8915040</v>
      </c>
      <c r="H142" s="479">
        <f t="shared" si="109"/>
        <v>17844603</v>
      </c>
      <c r="I142" s="474">
        <f t="shared" si="109"/>
        <v>38730451</v>
      </c>
      <c r="J142" s="1126">
        <f t="shared" si="103"/>
        <v>67.874375439905563</v>
      </c>
      <c r="K142" s="475">
        <f>+K143</f>
        <v>8428131</v>
      </c>
      <c r="L142" s="1126">
        <f>K142/G142*100</f>
        <v>94.538341947989011</v>
      </c>
      <c r="M142" s="1172">
        <f t="shared" si="101"/>
        <v>-486909</v>
      </c>
      <c r="N142" s="3295"/>
    </row>
    <row r="143" spans="1:14" ht="12" customHeight="1" thickBot="1" x14ac:dyDescent="0.25">
      <c r="A143" s="3119"/>
      <c r="B143" s="537" t="s">
        <v>14</v>
      </c>
      <c r="C143" s="3195"/>
      <c r="D143" s="500">
        <f>+E143+F143+G143+H143</f>
        <v>57061963</v>
      </c>
      <c r="E143" s="502">
        <f>9315213+6578429+7245850</f>
        <v>23139492</v>
      </c>
      <c r="F143" s="501">
        <v>7162828</v>
      </c>
      <c r="G143" s="501">
        <v>8915040</v>
      </c>
      <c r="H143" s="1165">
        <f>9470023+8374580</f>
        <v>17844603</v>
      </c>
      <c r="I143" s="504">
        <f>E143+F143+K143</f>
        <v>38730451</v>
      </c>
      <c r="J143" s="1177">
        <f t="shared" si="103"/>
        <v>67.874375439905563</v>
      </c>
      <c r="K143" s="502">
        <v>8428131</v>
      </c>
      <c r="L143" s="1177">
        <f>K143/G143*100</f>
        <v>94.538341947989011</v>
      </c>
      <c r="M143" s="1174">
        <f t="shared" si="101"/>
        <v>-486909</v>
      </c>
      <c r="N143" s="3296"/>
    </row>
    <row r="144" spans="1:14" ht="27.75" customHeight="1" x14ac:dyDescent="0.2">
      <c r="A144" s="3116" t="s">
        <v>52</v>
      </c>
      <c r="B144" s="541" t="s">
        <v>225</v>
      </c>
      <c r="C144" s="443" t="s">
        <v>168</v>
      </c>
      <c r="D144" s="444"/>
      <c r="E144" s="445"/>
      <c r="F144" s="445"/>
      <c r="G144" s="445"/>
      <c r="H144" s="449"/>
      <c r="I144" s="444"/>
      <c r="J144" s="445"/>
      <c r="K144" s="445"/>
      <c r="L144" s="445"/>
      <c r="M144" s="449"/>
      <c r="N144" s="3275" t="s">
        <v>104</v>
      </c>
    </row>
    <row r="145" spans="1:14" ht="13.5" customHeight="1" x14ac:dyDescent="0.2">
      <c r="A145" s="3117"/>
      <c r="B145" s="566" t="s">
        <v>2</v>
      </c>
      <c r="C145" s="27"/>
      <c r="D145" s="513">
        <f t="shared" ref="D145:I145" si="110">+D146+D149</f>
        <v>397217</v>
      </c>
      <c r="E145" s="514">
        <f t="shared" si="110"/>
        <v>224276</v>
      </c>
      <c r="F145" s="514">
        <f t="shared" si="110"/>
        <v>0</v>
      </c>
      <c r="G145" s="514">
        <f t="shared" si="110"/>
        <v>72941</v>
      </c>
      <c r="H145" s="514">
        <f>+H146+H149</f>
        <v>100000</v>
      </c>
      <c r="I145" s="513">
        <f t="shared" si="110"/>
        <v>291778</v>
      </c>
      <c r="J145" s="1104">
        <f>I145/D145*100</f>
        <v>73.45556710815498</v>
      </c>
      <c r="K145" s="759">
        <f>K146+K149</f>
        <v>67502</v>
      </c>
      <c r="L145" s="1104">
        <f>K145/G145*100</f>
        <v>92.543288411181635</v>
      </c>
      <c r="M145" s="1105">
        <f>+K145-G145</f>
        <v>-5439</v>
      </c>
      <c r="N145" s="3266"/>
    </row>
    <row r="146" spans="1:14" ht="13.5" customHeight="1" x14ac:dyDescent="0.2">
      <c r="A146" s="3117"/>
      <c r="B146" s="569" t="s">
        <v>17</v>
      </c>
      <c r="C146" s="3086" t="s">
        <v>118</v>
      </c>
      <c r="D146" s="519">
        <f t="shared" ref="D146:I146" si="111">+D147+D148</f>
        <v>59583</v>
      </c>
      <c r="E146" s="520">
        <f t="shared" si="111"/>
        <v>33642</v>
      </c>
      <c r="F146" s="520">
        <f t="shared" si="111"/>
        <v>0</v>
      </c>
      <c r="G146" s="520">
        <f t="shared" si="111"/>
        <v>10941</v>
      </c>
      <c r="H146" s="520">
        <f>+H147+H148</f>
        <v>15000</v>
      </c>
      <c r="I146" s="519">
        <f t="shared" si="111"/>
        <v>43767</v>
      </c>
      <c r="J146" s="1132">
        <f t="shared" ref="J146:J155" si="112">I146/D146*100</f>
        <v>73.455515835053617</v>
      </c>
      <c r="K146" s="916">
        <f>K147</f>
        <v>10125</v>
      </c>
      <c r="L146" s="1126">
        <f t="shared" ref="L146:L155" si="113">K146/G146*100</f>
        <v>92.54181519056759</v>
      </c>
      <c r="M146" s="919">
        <f>+K146-G146</f>
        <v>-816</v>
      </c>
      <c r="N146" s="3266"/>
    </row>
    <row r="147" spans="1:14" ht="13.5" customHeight="1" x14ac:dyDescent="0.2">
      <c r="A147" s="3117"/>
      <c r="B147" s="460" t="s">
        <v>4</v>
      </c>
      <c r="C147" s="3087"/>
      <c r="D147" s="461">
        <f>+E147+F147+G147+H147</f>
        <v>59583</v>
      </c>
      <c r="E147" s="462">
        <v>33642</v>
      </c>
      <c r="F147" s="462">
        <v>0</v>
      </c>
      <c r="G147" s="462">
        <v>10941</v>
      </c>
      <c r="H147" s="462">
        <v>15000</v>
      </c>
      <c r="I147" s="461">
        <f>K147+E147+F147</f>
        <v>43767</v>
      </c>
      <c r="J147" s="1140">
        <f t="shared" si="112"/>
        <v>73.455515835053617</v>
      </c>
      <c r="K147" s="463">
        <v>10125</v>
      </c>
      <c r="L147" s="1162">
        <f t="shared" si="113"/>
        <v>92.54181519056759</v>
      </c>
      <c r="M147" s="1185">
        <f>+K147-G147</f>
        <v>-816</v>
      </c>
      <c r="N147" s="3266"/>
    </row>
    <row r="148" spans="1:14" ht="13.5" hidden="1" customHeight="1" x14ac:dyDescent="0.2">
      <c r="A148" s="3117"/>
      <c r="B148" s="460" t="s">
        <v>7</v>
      </c>
      <c r="C148" s="3087"/>
      <c r="D148" s="461">
        <f>+E148+F148+G148+H148</f>
        <v>0</v>
      </c>
      <c r="E148" s="462"/>
      <c r="F148" s="462"/>
      <c r="G148" s="482">
        <v>0</v>
      </c>
      <c r="H148" s="482">
        <v>0</v>
      </c>
      <c r="I148" s="461">
        <f>K148+E148+F148</f>
        <v>0</v>
      </c>
      <c r="J148" s="1140" t="e">
        <f t="shared" si="112"/>
        <v>#DIV/0!</v>
      </c>
      <c r="K148" s="866"/>
      <c r="L148" s="1162" t="e">
        <f t="shared" si="113"/>
        <v>#DIV/0!</v>
      </c>
      <c r="M148" s="1185">
        <f t="shared" ref="M148:M153" si="114">+K148-G148*0.5</f>
        <v>0</v>
      </c>
      <c r="N148" s="3266"/>
    </row>
    <row r="149" spans="1:14" ht="12.75" customHeight="1" x14ac:dyDescent="0.2">
      <c r="A149" s="3117"/>
      <c r="B149" s="572" t="s">
        <v>12</v>
      </c>
      <c r="C149" s="3087"/>
      <c r="D149" s="474">
        <f t="shared" ref="D149:I149" si="115">+D150</f>
        <v>337634</v>
      </c>
      <c r="E149" s="475">
        <f t="shared" si="115"/>
        <v>190634</v>
      </c>
      <c r="F149" s="475">
        <f t="shared" si="115"/>
        <v>0</v>
      </c>
      <c r="G149" s="475">
        <f t="shared" si="115"/>
        <v>62000</v>
      </c>
      <c r="H149" s="475">
        <f t="shared" si="115"/>
        <v>85000</v>
      </c>
      <c r="I149" s="474">
        <f t="shared" si="115"/>
        <v>248011</v>
      </c>
      <c r="J149" s="1132">
        <f t="shared" si="112"/>
        <v>73.455576156429743</v>
      </c>
      <c r="K149" s="916">
        <f>K150</f>
        <v>57377</v>
      </c>
      <c r="L149" s="1126">
        <f t="shared" si="113"/>
        <v>92.543548387096777</v>
      </c>
      <c r="M149" s="919">
        <f>+K149-G149</f>
        <v>-4623</v>
      </c>
      <c r="N149" s="3266"/>
    </row>
    <row r="150" spans="1:14" ht="13.5" customHeight="1" x14ac:dyDescent="0.2">
      <c r="A150" s="3117"/>
      <c r="B150" s="460" t="s">
        <v>14</v>
      </c>
      <c r="C150" s="3087"/>
      <c r="D150" s="461">
        <f>+E150+F150+G150+H150</f>
        <v>337634</v>
      </c>
      <c r="E150" s="462">
        <v>190634</v>
      </c>
      <c r="F150" s="462">
        <v>0</v>
      </c>
      <c r="G150" s="462">
        <v>62000</v>
      </c>
      <c r="H150" s="462">
        <v>85000</v>
      </c>
      <c r="I150" s="461">
        <f>K150+E150+F150</f>
        <v>248011</v>
      </c>
      <c r="J150" s="1140">
        <f t="shared" si="112"/>
        <v>73.455576156429743</v>
      </c>
      <c r="K150" s="463">
        <v>57377</v>
      </c>
      <c r="L150" s="1162">
        <f t="shared" si="113"/>
        <v>92.543548387096777</v>
      </c>
      <c r="M150" s="1185">
        <f>+K150-G150</f>
        <v>-4623</v>
      </c>
      <c r="N150" s="3266"/>
    </row>
    <row r="151" spans="1:14" ht="13.5" customHeight="1" x14ac:dyDescent="0.2">
      <c r="A151" s="3118"/>
      <c r="B151" s="566" t="s">
        <v>16</v>
      </c>
      <c r="C151" s="27"/>
      <c r="D151" s="415">
        <f t="shared" ref="D151:I151" si="116">+D152+D154</f>
        <v>337634</v>
      </c>
      <c r="E151" s="416">
        <f t="shared" si="116"/>
        <v>190634</v>
      </c>
      <c r="F151" s="416">
        <f t="shared" si="116"/>
        <v>0</v>
      </c>
      <c r="G151" s="416">
        <f t="shared" si="116"/>
        <v>62000</v>
      </c>
      <c r="H151" s="416">
        <f t="shared" si="116"/>
        <v>85000</v>
      </c>
      <c r="I151" s="415">
        <f t="shared" si="116"/>
        <v>248011</v>
      </c>
      <c r="J151" s="1104">
        <f t="shared" si="112"/>
        <v>73.455576156429743</v>
      </c>
      <c r="K151" s="759">
        <f>K154</f>
        <v>57377</v>
      </c>
      <c r="L151" s="1104">
        <f t="shared" si="113"/>
        <v>92.543548387096777</v>
      </c>
      <c r="M151" s="1105">
        <f>+K151-G151</f>
        <v>-4623</v>
      </c>
      <c r="N151" s="3295"/>
    </row>
    <row r="152" spans="1:14" ht="13.5" hidden="1" customHeight="1" x14ac:dyDescent="0.2">
      <c r="A152" s="3118"/>
      <c r="B152" s="569" t="s">
        <v>17</v>
      </c>
      <c r="C152" s="3193" t="s">
        <v>108</v>
      </c>
      <c r="D152" s="474">
        <f t="shared" ref="D152:I152" si="117">+D153</f>
        <v>0</v>
      </c>
      <c r="E152" s="475">
        <f t="shared" si="117"/>
        <v>0</v>
      </c>
      <c r="F152" s="475">
        <f t="shared" si="117"/>
        <v>0</v>
      </c>
      <c r="G152" s="475">
        <f t="shared" si="117"/>
        <v>0</v>
      </c>
      <c r="H152" s="475">
        <f>+H153</f>
        <v>0</v>
      </c>
      <c r="I152" s="474">
        <f t="shared" si="117"/>
        <v>0</v>
      </c>
      <c r="J152" s="1132" t="e">
        <f t="shared" si="112"/>
        <v>#DIV/0!</v>
      </c>
      <c r="K152" s="477"/>
      <c r="L152" s="1126" t="e">
        <f t="shared" si="113"/>
        <v>#DIV/0!</v>
      </c>
      <c r="M152" s="919">
        <f t="shared" si="114"/>
        <v>0</v>
      </c>
      <c r="N152" s="3295"/>
    </row>
    <row r="153" spans="1:14" ht="13.5" hidden="1" customHeight="1" x14ac:dyDescent="0.2">
      <c r="A153" s="3118"/>
      <c r="B153" s="460" t="s">
        <v>7</v>
      </c>
      <c r="C153" s="3087"/>
      <c r="D153" s="461">
        <f>+E153+F153+G153+H153</f>
        <v>0</v>
      </c>
      <c r="E153" s="574"/>
      <c r="F153" s="574"/>
      <c r="G153" s="574">
        <v>0</v>
      </c>
      <c r="H153" s="574">
        <v>0</v>
      </c>
      <c r="I153" s="461">
        <f>K153+E153+F153</f>
        <v>0</v>
      </c>
      <c r="J153" s="1140" t="e">
        <f t="shared" si="112"/>
        <v>#DIV/0!</v>
      </c>
      <c r="K153" s="609"/>
      <c r="L153" s="1162" t="e">
        <f t="shared" si="113"/>
        <v>#DIV/0!</v>
      </c>
      <c r="M153" s="1185">
        <f t="shared" si="114"/>
        <v>0</v>
      </c>
      <c r="N153" s="3295"/>
    </row>
    <row r="154" spans="1:14" ht="12" customHeight="1" x14ac:dyDescent="0.2">
      <c r="A154" s="3118"/>
      <c r="B154" s="572" t="s">
        <v>12</v>
      </c>
      <c r="C154" s="3194"/>
      <c r="D154" s="474">
        <f t="shared" ref="D154:I154" si="118">+D155</f>
        <v>337634</v>
      </c>
      <c r="E154" s="475">
        <f t="shared" si="118"/>
        <v>190634</v>
      </c>
      <c r="F154" s="475">
        <f t="shared" si="118"/>
        <v>0</v>
      </c>
      <c r="G154" s="475">
        <f t="shared" si="118"/>
        <v>62000</v>
      </c>
      <c r="H154" s="475">
        <f>+H155</f>
        <v>85000</v>
      </c>
      <c r="I154" s="474">
        <f t="shared" si="118"/>
        <v>248011</v>
      </c>
      <c r="J154" s="1132">
        <f t="shared" si="112"/>
        <v>73.455576156429743</v>
      </c>
      <c r="K154" s="520">
        <f>K155</f>
        <v>57377</v>
      </c>
      <c r="L154" s="1126">
        <f t="shared" si="113"/>
        <v>92.543548387096777</v>
      </c>
      <c r="M154" s="919">
        <f>+K154-G154</f>
        <v>-4623</v>
      </c>
      <c r="N154" s="3295"/>
    </row>
    <row r="155" spans="1:14" ht="13.5" customHeight="1" thickBot="1" x14ac:dyDescent="0.25">
      <c r="A155" s="3119"/>
      <c r="B155" s="537" t="s">
        <v>14</v>
      </c>
      <c r="C155" s="3195"/>
      <c r="D155" s="500">
        <f>+E155+F155+G155+H155</f>
        <v>337634</v>
      </c>
      <c r="E155" s="501">
        <v>190634</v>
      </c>
      <c r="F155" s="501">
        <v>0</v>
      </c>
      <c r="G155" s="501">
        <v>62000</v>
      </c>
      <c r="H155" s="501">
        <v>85000</v>
      </c>
      <c r="I155" s="500">
        <f>K155+E155+F155</f>
        <v>248011</v>
      </c>
      <c r="J155" s="1134">
        <f t="shared" si="112"/>
        <v>73.455576156429743</v>
      </c>
      <c r="K155" s="502">
        <v>57377</v>
      </c>
      <c r="L155" s="1177">
        <f t="shared" si="113"/>
        <v>92.543548387096777</v>
      </c>
      <c r="M155" s="1186">
        <f>+K155-G155</f>
        <v>-4623</v>
      </c>
      <c r="N155" s="3296"/>
    </row>
    <row r="156" spans="1:14" ht="45" customHeight="1" x14ac:dyDescent="0.2">
      <c r="A156" s="3116" t="s">
        <v>53</v>
      </c>
      <c r="B156" s="541" t="s">
        <v>305</v>
      </c>
      <c r="C156" s="443" t="s">
        <v>173</v>
      </c>
      <c r="D156" s="444"/>
      <c r="E156" s="445"/>
      <c r="F156" s="445"/>
      <c r="G156" s="445"/>
      <c r="H156" s="449"/>
      <c r="I156" s="444"/>
      <c r="J156" s="445"/>
      <c r="K156" s="445"/>
      <c r="L156" s="445"/>
      <c r="M156" s="449"/>
      <c r="N156" s="3275" t="s">
        <v>120</v>
      </c>
    </row>
    <row r="157" spans="1:14" ht="13.5" customHeight="1" x14ac:dyDescent="0.2">
      <c r="A157" s="3117"/>
      <c r="B157" s="334" t="s">
        <v>2</v>
      </c>
      <c r="C157" s="27"/>
      <c r="D157" s="513">
        <f t="shared" ref="D157:I157" si="119">+D158+D161</f>
        <v>1319989.3999999999</v>
      </c>
      <c r="E157" s="514">
        <f t="shared" si="119"/>
        <v>304733</v>
      </c>
      <c r="F157" s="514">
        <f t="shared" si="119"/>
        <v>250256.4</v>
      </c>
      <c r="G157" s="514">
        <f t="shared" si="119"/>
        <v>366012</v>
      </c>
      <c r="H157" s="518">
        <f t="shared" si="119"/>
        <v>398988</v>
      </c>
      <c r="I157" s="513">
        <f t="shared" si="119"/>
        <v>842868.39999999991</v>
      </c>
      <c r="J157" s="1104">
        <f t="shared" ref="J157:J158" si="120">I157/D157*100</f>
        <v>63.85417943507727</v>
      </c>
      <c r="K157" s="514">
        <f>+K158+K161</f>
        <v>287879</v>
      </c>
      <c r="L157" s="1159">
        <f>+K157/G157*100</f>
        <v>78.652885697736679</v>
      </c>
      <c r="M157" s="518">
        <f>+K157-G157</f>
        <v>-78133</v>
      </c>
      <c r="N157" s="3266"/>
    </row>
    <row r="158" spans="1:14" ht="13.5" customHeight="1" x14ac:dyDescent="0.2">
      <c r="A158" s="3117"/>
      <c r="B158" s="454" t="s">
        <v>17</v>
      </c>
      <c r="C158" s="3086" t="s">
        <v>121</v>
      </c>
      <c r="D158" s="519">
        <f t="shared" ref="D158:H158" si="121">+D159+D160</f>
        <v>197999.46</v>
      </c>
      <c r="E158" s="520">
        <f t="shared" si="121"/>
        <v>45710</v>
      </c>
      <c r="F158" s="520">
        <f t="shared" si="121"/>
        <v>37538.46</v>
      </c>
      <c r="G158" s="520">
        <f t="shared" si="121"/>
        <v>54902</v>
      </c>
      <c r="H158" s="521">
        <f t="shared" si="121"/>
        <v>59849</v>
      </c>
      <c r="I158" s="519">
        <f>K158+E158+F158</f>
        <v>126430.45999999999</v>
      </c>
      <c r="J158" s="1132">
        <f t="shared" si="120"/>
        <v>63.85394182388174</v>
      </c>
      <c r="K158" s="520">
        <f>+K159+K160</f>
        <v>43182</v>
      </c>
      <c r="L158" s="1160">
        <f>+K158/G158*100</f>
        <v>78.652872390805442</v>
      </c>
      <c r="M158" s="521">
        <f>+K158-G158</f>
        <v>-11720</v>
      </c>
      <c r="N158" s="3266"/>
    </row>
    <row r="159" spans="1:14" ht="13.5" hidden="1" customHeight="1" x14ac:dyDescent="0.2">
      <c r="A159" s="3117"/>
      <c r="B159" s="460" t="s">
        <v>4</v>
      </c>
      <c r="C159" s="3087"/>
      <c r="D159" s="461">
        <f>+E159+F159+G159+H159</f>
        <v>0</v>
      </c>
      <c r="E159" s="462"/>
      <c r="F159" s="462"/>
      <c r="G159" s="462"/>
      <c r="H159" s="573"/>
      <c r="I159" s="464">
        <f t="shared" ref="I159:I166" si="122">K159+E159+F159</f>
        <v>0</v>
      </c>
      <c r="J159" s="250" t="e">
        <f>I159/#REF!*100</f>
        <v>#REF!</v>
      </c>
      <c r="K159" s="250"/>
      <c r="L159" s="250" t="e">
        <f>K159/#REF!*100</f>
        <v>#REF!</v>
      </c>
      <c r="M159" s="467">
        <f t="shared" ref="M159:M189" si="123">+K159-G159*0.5</f>
        <v>0</v>
      </c>
      <c r="N159" s="3266"/>
    </row>
    <row r="160" spans="1:14" ht="13.5" customHeight="1" x14ac:dyDescent="0.2">
      <c r="A160" s="3117"/>
      <c r="B160" s="460" t="s">
        <v>7</v>
      </c>
      <c r="C160" s="3087"/>
      <c r="D160" s="461">
        <f>+E160+F160+G160+H160</f>
        <v>197999.46</v>
      </c>
      <c r="E160" s="462">
        <f>19739+25971</f>
        <v>45710</v>
      </c>
      <c r="F160" s="462">
        <v>37538.46</v>
      </c>
      <c r="G160" s="462">
        <v>54902</v>
      </c>
      <c r="H160" s="573">
        <f>45513+14336</f>
        <v>59849</v>
      </c>
      <c r="I160" s="464">
        <f>K160+E160+F160</f>
        <v>126430.45999999999</v>
      </c>
      <c r="J160" s="1140">
        <f>I160/D160*100</f>
        <v>63.85394182388174</v>
      </c>
      <c r="K160" s="463">
        <v>43182</v>
      </c>
      <c r="L160" s="1161">
        <f t="shared" ref="L160:L167" si="124">+K160/G160*100</f>
        <v>78.652872390805442</v>
      </c>
      <c r="M160" s="467">
        <f t="shared" ref="M160:M167" si="125">+K160-G160</f>
        <v>-11720</v>
      </c>
      <c r="N160" s="3266"/>
    </row>
    <row r="161" spans="1:14" ht="12.75" customHeight="1" thickBot="1" x14ac:dyDescent="0.25">
      <c r="A161" s="3206"/>
      <c r="B161" s="473" t="s">
        <v>12</v>
      </c>
      <c r="C161" s="3169"/>
      <c r="D161" s="474">
        <f t="shared" ref="D161:H161" si="126">+D162</f>
        <v>1121989.94</v>
      </c>
      <c r="E161" s="475">
        <f t="shared" si="126"/>
        <v>259023</v>
      </c>
      <c r="F161" s="475">
        <f t="shared" si="126"/>
        <v>212717.94</v>
      </c>
      <c r="G161" s="475">
        <f t="shared" si="126"/>
        <v>311110</v>
      </c>
      <c r="H161" s="479">
        <f t="shared" si="126"/>
        <v>339139</v>
      </c>
      <c r="I161" s="474">
        <f t="shared" si="122"/>
        <v>716437.94</v>
      </c>
      <c r="J161" s="1132">
        <f t="shared" ref="J161:J166" si="127">I161/D161*100</f>
        <v>63.854221366726335</v>
      </c>
      <c r="K161" s="1187">
        <f>+K162</f>
        <v>244697</v>
      </c>
      <c r="L161" s="1160">
        <f t="shared" si="124"/>
        <v>78.652888046028735</v>
      </c>
      <c r="M161" s="479">
        <f t="shared" si="125"/>
        <v>-66413</v>
      </c>
      <c r="N161" s="3301"/>
    </row>
    <row r="162" spans="1:14" ht="13.5" customHeight="1" x14ac:dyDescent="0.2">
      <c r="A162" s="3116"/>
      <c r="B162" s="460" t="s">
        <v>14</v>
      </c>
      <c r="C162" s="3302"/>
      <c r="D162" s="461">
        <f>+E162+F162+G162+H162</f>
        <v>1121989.94</v>
      </c>
      <c r="E162" s="462">
        <f>111854+147169</f>
        <v>259023</v>
      </c>
      <c r="F162" s="462">
        <v>212717.94</v>
      </c>
      <c r="G162" s="462">
        <v>311110</v>
      </c>
      <c r="H162" s="573">
        <f>257905+81234</f>
        <v>339139</v>
      </c>
      <c r="I162" s="464">
        <f t="shared" si="122"/>
        <v>716437.94</v>
      </c>
      <c r="J162" s="1140">
        <f t="shared" si="127"/>
        <v>63.854221366726335</v>
      </c>
      <c r="K162" s="463">
        <v>244697</v>
      </c>
      <c r="L162" s="1161">
        <f t="shared" si="124"/>
        <v>78.652888046028735</v>
      </c>
      <c r="M162" s="467">
        <f t="shared" si="125"/>
        <v>-66413</v>
      </c>
      <c r="N162" s="3275"/>
    </row>
    <row r="163" spans="1:14" ht="13.5" customHeight="1" x14ac:dyDescent="0.2">
      <c r="A163" s="3118"/>
      <c r="B163" s="334" t="s">
        <v>16</v>
      </c>
      <c r="C163" s="27"/>
      <c r="D163" s="415">
        <f t="shared" ref="D163:I163" si="128">+D164+D166</f>
        <v>1319989</v>
      </c>
      <c r="E163" s="416">
        <f t="shared" si="128"/>
        <v>302399</v>
      </c>
      <c r="F163" s="416">
        <f t="shared" si="128"/>
        <v>250256</v>
      </c>
      <c r="G163" s="416">
        <f t="shared" si="128"/>
        <v>366012</v>
      </c>
      <c r="H163" s="453">
        <f t="shared" si="128"/>
        <v>401322</v>
      </c>
      <c r="I163" s="415">
        <f t="shared" si="128"/>
        <v>840534</v>
      </c>
      <c r="J163" s="1104">
        <f t="shared" si="127"/>
        <v>63.677348826391736</v>
      </c>
      <c r="K163" s="416">
        <f>+K164+K166</f>
        <v>287879</v>
      </c>
      <c r="L163" s="1159">
        <f t="shared" si="124"/>
        <v>78.652885697736679</v>
      </c>
      <c r="M163" s="453">
        <f t="shared" si="125"/>
        <v>-78133</v>
      </c>
      <c r="N163" s="3295"/>
    </row>
    <row r="164" spans="1:14" ht="13.5" customHeight="1" x14ac:dyDescent="0.2">
      <c r="A164" s="3118"/>
      <c r="B164" s="454" t="s">
        <v>17</v>
      </c>
      <c r="C164" s="3193" t="s">
        <v>122</v>
      </c>
      <c r="D164" s="474">
        <f t="shared" ref="D164:H164" si="129">+D165</f>
        <v>197999</v>
      </c>
      <c r="E164" s="475">
        <f t="shared" si="129"/>
        <v>45360</v>
      </c>
      <c r="F164" s="475">
        <f t="shared" si="129"/>
        <v>37538</v>
      </c>
      <c r="G164" s="475">
        <f t="shared" si="129"/>
        <v>54902</v>
      </c>
      <c r="H164" s="479">
        <f t="shared" si="129"/>
        <v>60199</v>
      </c>
      <c r="I164" s="474">
        <f t="shared" si="122"/>
        <v>126080</v>
      </c>
      <c r="J164" s="1132">
        <f t="shared" si="127"/>
        <v>63.677089278228685</v>
      </c>
      <c r="K164" s="475">
        <f>+K165</f>
        <v>43182</v>
      </c>
      <c r="L164" s="1160">
        <f t="shared" si="124"/>
        <v>78.652872390805442</v>
      </c>
      <c r="M164" s="479">
        <f t="shared" si="125"/>
        <v>-11720</v>
      </c>
      <c r="N164" s="3295"/>
    </row>
    <row r="165" spans="1:14" ht="13.5" customHeight="1" x14ac:dyDescent="0.2">
      <c r="A165" s="3118"/>
      <c r="B165" s="460" t="s">
        <v>7</v>
      </c>
      <c r="C165" s="3087"/>
      <c r="D165" s="461">
        <f>+E165+F165+G165+H165</f>
        <v>197999</v>
      </c>
      <c r="E165" s="462">
        <f>19739+25621</f>
        <v>45360</v>
      </c>
      <c r="F165" s="462">
        <v>37538</v>
      </c>
      <c r="G165" s="462">
        <v>54902</v>
      </c>
      <c r="H165" s="573">
        <f>45513+14686</f>
        <v>60199</v>
      </c>
      <c r="I165" s="461">
        <f t="shared" si="122"/>
        <v>126080</v>
      </c>
      <c r="J165" s="1140">
        <f t="shared" si="127"/>
        <v>63.677089278228685</v>
      </c>
      <c r="K165" s="462">
        <v>43182</v>
      </c>
      <c r="L165" s="1161">
        <f t="shared" si="124"/>
        <v>78.652872390805442</v>
      </c>
      <c r="M165" s="1036">
        <f t="shared" si="125"/>
        <v>-11720</v>
      </c>
      <c r="N165" s="3295"/>
    </row>
    <row r="166" spans="1:14" ht="12" customHeight="1" x14ac:dyDescent="0.2">
      <c r="A166" s="3118"/>
      <c r="B166" s="473" t="s">
        <v>12</v>
      </c>
      <c r="C166" s="3194"/>
      <c r="D166" s="474">
        <f t="shared" ref="D166:H166" si="130">+D167</f>
        <v>1121990</v>
      </c>
      <c r="E166" s="475">
        <f t="shared" si="130"/>
        <v>257039</v>
      </c>
      <c r="F166" s="475">
        <f t="shared" si="130"/>
        <v>212718</v>
      </c>
      <c r="G166" s="475">
        <f t="shared" si="130"/>
        <v>311110</v>
      </c>
      <c r="H166" s="479">
        <f t="shared" si="130"/>
        <v>341123</v>
      </c>
      <c r="I166" s="474">
        <f t="shared" si="122"/>
        <v>714454</v>
      </c>
      <c r="J166" s="1132">
        <f t="shared" si="127"/>
        <v>63.677394629185649</v>
      </c>
      <c r="K166" s="475">
        <f>+K167</f>
        <v>244697</v>
      </c>
      <c r="L166" s="1160">
        <f t="shared" si="124"/>
        <v>78.652888046028735</v>
      </c>
      <c r="M166" s="479">
        <f t="shared" si="125"/>
        <v>-66413</v>
      </c>
      <c r="N166" s="3295"/>
    </row>
    <row r="167" spans="1:14" ht="13.5" thickBot="1" x14ac:dyDescent="0.25">
      <c r="A167" s="3119"/>
      <c r="B167" s="537" t="s">
        <v>14</v>
      </c>
      <c r="C167" s="3195"/>
      <c r="D167" s="500">
        <f>+E167+F167+G167+H167</f>
        <v>1121990</v>
      </c>
      <c r="E167" s="501">
        <f>111854+145185</f>
        <v>257039</v>
      </c>
      <c r="F167" s="501">
        <v>212718</v>
      </c>
      <c r="G167" s="501">
        <v>311110</v>
      </c>
      <c r="H167" s="1165">
        <f>257905+83218</f>
        <v>341123</v>
      </c>
      <c r="I167" s="504">
        <f>K167+E167+F167</f>
        <v>714454</v>
      </c>
      <c r="J167" s="1134">
        <f t="shared" ref="J167" si="131">I167/D167*100</f>
        <v>63.677394629185649</v>
      </c>
      <c r="K167" s="501">
        <v>244697</v>
      </c>
      <c r="L167" s="1166">
        <f t="shared" si="124"/>
        <v>78.652888046028735</v>
      </c>
      <c r="M167" s="507">
        <f t="shared" si="125"/>
        <v>-66413</v>
      </c>
      <c r="N167" s="3296"/>
    </row>
    <row r="168" spans="1:14" ht="68.25" customHeight="1" x14ac:dyDescent="0.2">
      <c r="A168" s="3116" t="s">
        <v>54</v>
      </c>
      <c r="B168" s="541" t="s">
        <v>306</v>
      </c>
      <c r="C168" s="443" t="s">
        <v>173</v>
      </c>
      <c r="D168" s="1188"/>
      <c r="E168" s="445"/>
      <c r="F168" s="445"/>
      <c r="G168" s="445"/>
      <c r="H168" s="449"/>
      <c r="I168" s="444"/>
      <c r="J168" s="445"/>
      <c r="K168" s="445"/>
      <c r="L168" s="449"/>
      <c r="M168" s="449"/>
      <c r="N168" s="3275" t="s">
        <v>120</v>
      </c>
    </row>
    <row r="169" spans="1:14" ht="13.5" customHeight="1" x14ac:dyDescent="0.2">
      <c r="A169" s="3117"/>
      <c r="B169" s="334" t="s">
        <v>2</v>
      </c>
      <c r="C169" s="27"/>
      <c r="D169" s="451">
        <f t="shared" ref="D169:H169" si="132">+D170+D173</f>
        <v>7460883</v>
      </c>
      <c r="E169" s="416">
        <f t="shared" si="132"/>
        <v>0</v>
      </c>
      <c r="F169" s="416">
        <f t="shared" ref="F169" si="133">+F170+F173</f>
        <v>1460883</v>
      </c>
      <c r="G169" s="416">
        <f t="shared" si="132"/>
        <v>483500</v>
      </c>
      <c r="H169" s="418">
        <f t="shared" si="132"/>
        <v>5516500</v>
      </c>
      <c r="I169" s="415">
        <f>+I170+I173</f>
        <v>1828633</v>
      </c>
      <c r="J169" s="1104">
        <f t="shared" ref="J169" si="134">I169/D169*100</f>
        <v>24.509605632470045</v>
      </c>
      <c r="K169" s="28">
        <f>+K170+K173</f>
        <v>367750</v>
      </c>
      <c r="L169" s="1159">
        <f>+K169/G169*100</f>
        <v>76.059979317476731</v>
      </c>
      <c r="M169" s="453">
        <f>+K169-G169</f>
        <v>-115750</v>
      </c>
      <c r="N169" s="3266"/>
    </row>
    <row r="170" spans="1:14" ht="13.5" hidden="1" customHeight="1" x14ac:dyDescent="0.25">
      <c r="A170" s="3190"/>
      <c r="B170" s="1189" t="s">
        <v>17</v>
      </c>
      <c r="C170" s="3108" t="s">
        <v>121</v>
      </c>
      <c r="D170" s="1190">
        <f t="shared" ref="D170:H170" si="135">+D171+D172</f>
        <v>0</v>
      </c>
      <c r="E170" s="1191">
        <f t="shared" si="135"/>
        <v>0</v>
      </c>
      <c r="F170" s="1191">
        <f t="shared" ref="F170" si="136">+F171+F172</f>
        <v>0</v>
      </c>
      <c r="G170" s="1191">
        <f t="shared" si="135"/>
        <v>0</v>
      </c>
      <c r="H170" s="1192">
        <f t="shared" si="135"/>
        <v>0</v>
      </c>
      <c r="I170" s="1193">
        <f>+I172</f>
        <v>0</v>
      </c>
      <c r="J170" s="1194" t="e">
        <f>I170/#REF!*100</f>
        <v>#REF!</v>
      </c>
      <c r="K170" s="1195">
        <f>+K171+K172</f>
        <v>0</v>
      </c>
      <c r="L170" s="1196" t="e">
        <f>K170/#REF!*100</f>
        <v>#REF!</v>
      </c>
      <c r="M170" s="1197">
        <f t="shared" si="123"/>
        <v>0</v>
      </c>
      <c r="N170" s="3276"/>
    </row>
    <row r="171" spans="1:14" ht="13.5" hidden="1" customHeight="1" x14ac:dyDescent="0.2">
      <c r="A171" s="3116"/>
      <c r="B171" s="1198" t="s">
        <v>4</v>
      </c>
      <c r="C171" s="3302"/>
      <c r="D171" s="1199">
        <f>+E171+F171+G171+H171</f>
        <v>0</v>
      </c>
      <c r="E171" s="1200"/>
      <c r="F171" s="1200"/>
      <c r="G171" s="1200"/>
      <c r="H171" s="1201"/>
      <c r="I171" s="1202">
        <f>K171+E171+F171</f>
        <v>0</v>
      </c>
      <c r="J171" s="1203" t="e">
        <f>I171/#REF!*100</f>
        <v>#REF!</v>
      </c>
      <c r="K171" s="1204"/>
      <c r="L171" s="1205" t="e">
        <f>K171/#REF!*100</f>
        <v>#REF!</v>
      </c>
      <c r="M171" s="1206">
        <f t="shared" si="123"/>
        <v>0</v>
      </c>
      <c r="N171" s="3275"/>
    </row>
    <row r="172" spans="1:14" ht="13.5" hidden="1" customHeight="1" x14ac:dyDescent="0.2">
      <c r="A172" s="3117"/>
      <c r="B172" s="460" t="s">
        <v>7</v>
      </c>
      <c r="C172" s="3087"/>
      <c r="D172" s="451">
        <f>+E172+F172+G172+H172</f>
        <v>0</v>
      </c>
      <c r="E172" s="416">
        <v>0</v>
      </c>
      <c r="F172" s="416">
        <v>0</v>
      </c>
      <c r="G172" s="416">
        <v>0</v>
      </c>
      <c r="H172" s="418">
        <v>0</v>
      </c>
      <c r="I172" s="415">
        <v>0</v>
      </c>
      <c r="J172" s="1207" t="e">
        <f>I172/#REF!*100</f>
        <v>#REF!</v>
      </c>
      <c r="K172" s="28">
        <v>0</v>
      </c>
      <c r="L172" s="1208" t="e">
        <f>K172/#REF!*100</f>
        <v>#REF!</v>
      </c>
      <c r="M172" s="453">
        <f t="shared" si="123"/>
        <v>0</v>
      </c>
      <c r="N172" s="3266"/>
    </row>
    <row r="173" spans="1:14" ht="12.75" customHeight="1" x14ac:dyDescent="0.2">
      <c r="A173" s="3117"/>
      <c r="B173" s="473" t="s">
        <v>12</v>
      </c>
      <c r="C173" s="3087"/>
      <c r="D173" s="1209">
        <f t="shared" ref="D173:H173" si="137">+D174</f>
        <v>7460883</v>
      </c>
      <c r="E173" s="475">
        <f t="shared" si="137"/>
        <v>0</v>
      </c>
      <c r="F173" s="475">
        <f t="shared" si="137"/>
        <v>1460883</v>
      </c>
      <c r="G173" s="475">
        <f t="shared" si="137"/>
        <v>483500</v>
      </c>
      <c r="H173" s="1172">
        <f t="shared" si="137"/>
        <v>5516500</v>
      </c>
      <c r="I173" s="474">
        <f>+I174</f>
        <v>1828633</v>
      </c>
      <c r="J173" s="1132">
        <f t="shared" ref="J173:J175" si="138">I173/D173*100</f>
        <v>24.509605632470045</v>
      </c>
      <c r="K173" s="30">
        <f>+K174</f>
        <v>367750</v>
      </c>
      <c r="L173" s="1160">
        <f>+K173/G173*100</f>
        <v>76.059979317476731</v>
      </c>
      <c r="M173" s="479">
        <f>+K173-G173</f>
        <v>-115750</v>
      </c>
      <c r="N173" s="3266"/>
    </row>
    <row r="174" spans="1:14" ht="13.5" customHeight="1" x14ac:dyDescent="0.2">
      <c r="A174" s="3117"/>
      <c r="B174" s="460" t="s">
        <v>14</v>
      </c>
      <c r="C174" s="3087"/>
      <c r="D174" s="1035">
        <f>+E174+F174+G174+H174</f>
        <v>7460883</v>
      </c>
      <c r="E174" s="574">
        <v>0</v>
      </c>
      <c r="F174" s="574">
        <v>1460883</v>
      </c>
      <c r="G174" s="574">
        <v>483500</v>
      </c>
      <c r="H174" s="1173">
        <v>5516500</v>
      </c>
      <c r="I174" s="461">
        <f>K174+E174+F174</f>
        <v>1828633</v>
      </c>
      <c r="J174" s="1140">
        <f t="shared" si="138"/>
        <v>24.509605632470045</v>
      </c>
      <c r="K174" s="1210">
        <v>367750</v>
      </c>
      <c r="L174" s="1161">
        <f>+K174/G174*100</f>
        <v>76.059979317476731</v>
      </c>
      <c r="M174" s="1036">
        <f>+K174-G174</f>
        <v>-115750</v>
      </c>
      <c r="N174" s="3266"/>
    </row>
    <row r="175" spans="1:14" ht="13.5" customHeight="1" x14ac:dyDescent="0.2">
      <c r="A175" s="3118"/>
      <c r="B175" s="334" t="s">
        <v>16</v>
      </c>
      <c r="C175" s="27"/>
      <c r="D175" s="415">
        <f t="shared" ref="D175:H175" si="139">+D176+D178</f>
        <v>7460883</v>
      </c>
      <c r="E175" s="593">
        <f t="shared" si="139"/>
        <v>0</v>
      </c>
      <c r="F175" s="416">
        <f t="shared" ref="F175" si="140">+F176+F178</f>
        <v>1440142</v>
      </c>
      <c r="G175" s="416">
        <f t="shared" si="139"/>
        <v>483500</v>
      </c>
      <c r="H175" s="418">
        <f t="shared" si="139"/>
        <v>5537241</v>
      </c>
      <c r="I175" s="415">
        <f t="shared" ref="I175:I179" si="141">K175+E175+F175</f>
        <v>4617388</v>
      </c>
      <c r="J175" s="1104">
        <f t="shared" si="138"/>
        <v>61.887956157468224</v>
      </c>
      <c r="K175" s="28">
        <f>+K176+K178</f>
        <v>3177246</v>
      </c>
      <c r="L175" s="1159">
        <f>+K175/G175*100</f>
        <v>657.1346432264736</v>
      </c>
      <c r="M175" s="453">
        <f>+K175-G175</f>
        <v>2693746</v>
      </c>
      <c r="N175" s="3295"/>
    </row>
    <row r="176" spans="1:14" ht="13.5" hidden="1" customHeight="1" x14ac:dyDescent="0.2">
      <c r="A176" s="3118"/>
      <c r="B176" s="454" t="s">
        <v>17</v>
      </c>
      <c r="C176" s="3193" t="s">
        <v>348</v>
      </c>
      <c r="D176" s="1211">
        <f t="shared" ref="D176:H176" si="142">+D177</f>
        <v>0</v>
      </c>
      <c r="E176" s="477">
        <f t="shared" si="142"/>
        <v>0</v>
      </c>
      <c r="F176" s="1207">
        <f t="shared" si="142"/>
        <v>0</v>
      </c>
      <c r="G176" s="1207">
        <f t="shared" si="142"/>
        <v>0</v>
      </c>
      <c r="H176" s="250">
        <f t="shared" si="142"/>
        <v>0</v>
      </c>
      <c r="I176" s="1211">
        <f t="shared" si="141"/>
        <v>0</v>
      </c>
      <c r="J176" s="1207" t="e">
        <f>I176/#REF!*100</f>
        <v>#REF!</v>
      </c>
      <c r="K176" s="1212">
        <f>+K177</f>
        <v>0</v>
      </c>
      <c r="L176" s="1208" t="e">
        <f>K176/#REF!*100</f>
        <v>#REF!</v>
      </c>
      <c r="M176" s="1208">
        <f t="shared" si="123"/>
        <v>0</v>
      </c>
      <c r="N176" s="3295"/>
    </row>
    <row r="177" spans="1:14" ht="13.5" hidden="1" customHeight="1" x14ac:dyDescent="0.2">
      <c r="A177" s="3118"/>
      <c r="B177" s="460" t="s">
        <v>7</v>
      </c>
      <c r="C177" s="3087"/>
      <c r="D177" s="1211">
        <f>+E177+F177+G177+H177</f>
        <v>0</v>
      </c>
      <c r="E177" s="482"/>
      <c r="F177" s="1207"/>
      <c r="G177" s="1207"/>
      <c r="H177" s="250">
        <v>0</v>
      </c>
      <c r="I177" s="1211">
        <f t="shared" si="141"/>
        <v>0</v>
      </c>
      <c r="J177" s="1207" t="e">
        <f>I177/#REF!*100</f>
        <v>#REF!</v>
      </c>
      <c r="K177" s="1212">
        <v>0</v>
      </c>
      <c r="L177" s="1208" t="e">
        <f>K177/#REF!*100</f>
        <v>#REF!</v>
      </c>
      <c r="M177" s="1208">
        <f t="shared" si="123"/>
        <v>0</v>
      </c>
      <c r="N177" s="3295"/>
    </row>
    <row r="178" spans="1:14" ht="12" customHeight="1" x14ac:dyDescent="0.2">
      <c r="A178" s="3118"/>
      <c r="B178" s="473" t="s">
        <v>12</v>
      </c>
      <c r="C178" s="3194"/>
      <c r="D178" s="474">
        <f t="shared" ref="D178:H178" si="143">+D179</f>
        <v>7460883</v>
      </c>
      <c r="E178" s="477">
        <f t="shared" si="143"/>
        <v>0</v>
      </c>
      <c r="F178" s="475">
        <f t="shared" si="143"/>
        <v>1440142</v>
      </c>
      <c r="G178" s="475">
        <f t="shared" si="143"/>
        <v>483500</v>
      </c>
      <c r="H178" s="1172">
        <f t="shared" si="143"/>
        <v>5537241</v>
      </c>
      <c r="I178" s="474">
        <f t="shared" si="141"/>
        <v>4617388</v>
      </c>
      <c r="J178" s="1132">
        <f t="shared" ref="J178:J179" si="144">I178/D178*100</f>
        <v>61.887956157468224</v>
      </c>
      <c r="K178" s="30">
        <f>+K179</f>
        <v>3177246</v>
      </c>
      <c r="L178" s="1160">
        <f>+K178/G178*100</f>
        <v>657.1346432264736</v>
      </c>
      <c r="M178" s="479">
        <f>+K178-G178</f>
        <v>2693746</v>
      </c>
      <c r="N178" s="3295"/>
    </row>
    <row r="179" spans="1:14" ht="11.25" customHeight="1" thickBot="1" x14ac:dyDescent="0.25">
      <c r="A179" s="3119"/>
      <c r="B179" s="537" t="s">
        <v>14</v>
      </c>
      <c r="C179" s="3195"/>
      <c r="D179" s="500">
        <f>+E179+F179+G179+H179</f>
        <v>7460883</v>
      </c>
      <c r="E179" s="501"/>
      <c r="F179" s="577">
        <v>1440142</v>
      </c>
      <c r="G179" s="577">
        <v>483500</v>
      </c>
      <c r="H179" s="1213">
        <v>5537241</v>
      </c>
      <c r="I179" s="500">
        <f t="shared" si="141"/>
        <v>4617388</v>
      </c>
      <c r="J179" s="1134">
        <f t="shared" si="144"/>
        <v>61.887956157468224</v>
      </c>
      <c r="K179" s="1214">
        <v>3177246</v>
      </c>
      <c r="L179" s="1166">
        <f>+K179/G179*100</f>
        <v>657.1346432264736</v>
      </c>
      <c r="M179" s="1039">
        <f>+K179-G179</f>
        <v>2693746</v>
      </c>
      <c r="N179" s="3296"/>
    </row>
    <row r="180" spans="1:14" ht="41.25" customHeight="1" x14ac:dyDescent="0.2">
      <c r="A180" s="3116" t="s">
        <v>55</v>
      </c>
      <c r="B180" s="541" t="s">
        <v>307</v>
      </c>
      <c r="C180" s="443" t="s">
        <v>173</v>
      </c>
      <c r="D180" s="444"/>
      <c r="E180" s="445"/>
      <c r="F180" s="449"/>
      <c r="G180" s="445"/>
      <c r="H180" s="1124"/>
      <c r="I180" s="444"/>
      <c r="J180" s="445"/>
      <c r="K180" s="445"/>
      <c r="L180" s="449"/>
      <c r="M180" s="449"/>
      <c r="N180" s="3275" t="s">
        <v>120</v>
      </c>
    </row>
    <row r="181" spans="1:14" ht="13.5" customHeight="1" x14ac:dyDescent="0.2">
      <c r="A181" s="3117"/>
      <c r="B181" s="334" t="s">
        <v>2</v>
      </c>
      <c r="C181" s="27"/>
      <c r="D181" s="415">
        <f t="shared" ref="D181:I181" si="145">+D182+D185</f>
        <v>919301</v>
      </c>
      <c r="E181" s="606">
        <f t="shared" si="145"/>
        <v>0</v>
      </c>
      <c r="F181" s="416">
        <f t="shared" ref="F181" si="146">+F182+F185</f>
        <v>219301</v>
      </c>
      <c r="G181" s="416">
        <f t="shared" si="145"/>
        <v>130000</v>
      </c>
      <c r="H181" s="418">
        <f t="shared" si="145"/>
        <v>570000</v>
      </c>
      <c r="I181" s="415">
        <f t="shared" si="145"/>
        <v>321410</v>
      </c>
      <c r="J181" s="1104">
        <f t="shared" ref="J181" si="147">I181/D181*100</f>
        <v>34.962433414083094</v>
      </c>
      <c r="K181" s="416">
        <f>+K182+K185</f>
        <v>102109</v>
      </c>
      <c r="L181" s="1159">
        <f>+K181/G181*100</f>
        <v>78.54538461538462</v>
      </c>
      <c r="M181" s="453">
        <f>+K181-G181</f>
        <v>-27891</v>
      </c>
      <c r="N181" s="3266"/>
    </row>
    <row r="182" spans="1:14" ht="13.5" hidden="1" customHeight="1" x14ac:dyDescent="0.2">
      <c r="A182" s="3117"/>
      <c r="B182" s="454" t="s">
        <v>17</v>
      </c>
      <c r="C182" s="3086" t="s">
        <v>121</v>
      </c>
      <c r="D182" s="250">
        <f t="shared" ref="D182:H182" si="148">+D183+D184</f>
        <v>0</v>
      </c>
      <c r="E182" s="607">
        <f t="shared" si="148"/>
        <v>0</v>
      </c>
      <c r="F182" s="1207">
        <f t="shared" ref="F182" si="149">+F183+F184</f>
        <v>0</v>
      </c>
      <c r="G182" s="1207">
        <f t="shared" si="148"/>
        <v>0</v>
      </c>
      <c r="H182" s="250">
        <f t="shared" si="148"/>
        <v>0</v>
      </c>
      <c r="I182" s="1211">
        <f>+I184</f>
        <v>0</v>
      </c>
      <c r="J182" s="1207" t="e">
        <f>I182/#REF!*100</f>
        <v>#REF!</v>
      </c>
      <c r="K182" s="1207">
        <f>+K183+K184</f>
        <v>0</v>
      </c>
      <c r="L182" s="1208" t="e">
        <f>K182/#REF!*100</f>
        <v>#REF!</v>
      </c>
      <c r="M182" s="1208">
        <f t="shared" si="123"/>
        <v>0</v>
      </c>
      <c r="N182" s="3266"/>
    </row>
    <row r="183" spans="1:14" ht="13.5" hidden="1" customHeight="1" x14ac:dyDescent="0.2">
      <c r="A183" s="3117"/>
      <c r="B183" s="460" t="s">
        <v>4</v>
      </c>
      <c r="C183" s="3087"/>
      <c r="D183" s="250">
        <f>+E183+F183+G183+H183</f>
        <v>0</v>
      </c>
      <c r="E183" s="482"/>
      <c r="F183" s="1207"/>
      <c r="G183" s="1207"/>
      <c r="H183" s="250"/>
      <c r="I183" s="1211">
        <f>K183+E183+F183</f>
        <v>0</v>
      </c>
      <c r="J183" s="1207" t="e">
        <f>I183/#REF!*100</f>
        <v>#REF!</v>
      </c>
      <c r="K183" s="1207"/>
      <c r="L183" s="1208" t="e">
        <f>K183/#REF!*100</f>
        <v>#REF!</v>
      </c>
      <c r="M183" s="1208">
        <f t="shared" si="123"/>
        <v>0</v>
      </c>
      <c r="N183" s="3266"/>
    </row>
    <row r="184" spans="1:14" ht="13.5" hidden="1" customHeight="1" x14ac:dyDescent="0.2">
      <c r="A184" s="3117"/>
      <c r="B184" s="460" t="s">
        <v>7</v>
      </c>
      <c r="C184" s="3087"/>
      <c r="D184" s="250">
        <f>+E184+F184+G184+H184</f>
        <v>0</v>
      </c>
      <c r="E184" s="482">
        <v>0</v>
      </c>
      <c r="F184" s="1207">
        <v>0</v>
      </c>
      <c r="G184" s="1207">
        <v>0</v>
      </c>
      <c r="H184" s="250">
        <v>0</v>
      </c>
      <c r="I184" s="1211">
        <v>0</v>
      </c>
      <c r="J184" s="1207" t="e">
        <f>I184/#REF!*100</f>
        <v>#REF!</v>
      </c>
      <c r="K184" s="1207">
        <v>0</v>
      </c>
      <c r="L184" s="1208" t="e">
        <f>K184/#REF!*100</f>
        <v>#REF!</v>
      </c>
      <c r="M184" s="1208">
        <f t="shared" si="123"/>
        <v>0</v>
      </c>
      <c r="N184" s="3266"/>
    </row>
    <row r="185" spans="1:14" x14ac:dyDescent="0.2">
      <c r="A185" s="3117"/>
      <c r="B185" s="473" t="s">
        <v>12</v>
      </c>
      <c r="C185" s="3087"/>
      <c r="D185" s="474">
        <f t="shared" ref="D185:H185" si="150">+D186</f>
        <v>919301</v>
      </c>
      <c r="E185" s="477">
        <f t="shared" si="150"/>
        <v>0</v>
      </c>
      <c r="F185" s="475">
        <f t="shared" si="150"/>
        <v>219301</v>
      </c>
      <c r="G185" s="475">
        <f t="shared" si="150"/>
        <v>130000</v>
      </c>
      <c r="H185" s="1172">
        <f t="shared" si="150"/>
        <v>570000</v>
      </c>
      <c r="I185" s="474">
        <f>+I186</f>
        <v>321410</v>
      </c>
      <c r="J185" s="1132">
        <f t="shared" ref="J185:J187" si="151">I185/D185*100</f>
        <v>34.962433414083094</v>
      </c>
      <c r="K185" s="475">
        <f>+K186</f>
        <v>102109</v>
      </c>
      <c r="L185" s="1160">
        <f>+K185/G185*100</f>
        <v>78.54538461538462</v>
      </c>
      <c r="M185" s="479">
        <f>+K185-G185</f>
        <v>-27891</v>
      </c>
      <c r="N185" s="3266"/>
    </row>
    <row r="186" spans="1:14" x14ac:dyDescent="0.2">
      <c r="A186" s="3117"/>
      <c r="B186" s="460" t="s">
        <v>14</v>
      </c>
      <c r="C186" s="3087"/>
      <c r="D186" s="461">
        <f>+E186+F186+G186+H186</f>
        <v>919301</v>
      </c>
      <c r="E186" s="482">
        <v>0</v>
      </c>
      <c r="F186" s="574">
        <v>219301</v>
      </c>
      <c r="G186" s="574">
        <v>130000</v>
      </c>
      <c r="H186" s="1173">
        <v>570000</v>
      </c>
      <c r="I186" s="461">
        <f t="shared" ref="I186:I191" si="152">K186+E186+F186</f>
        <v>321410</v>
      </c>
      <c r="J186" s="1140">
        <f t="shared" si="151"/>
        <v>34.962433414083094</v>
      </c>
      <c r="K186" s="574">
        <v>102109</v>
      </c>
      <c r="L186" s="1161">
        <f>+K186/G186*100</f>
        <v>78.54538461538462</v>
      </c>
      <c r="M186" s="1036">
        <f>+K186-G186</f>
        <v>-27891</v>
      </c>
      <c r="N186" s="3266"/>
    </row>
    <row r="187" spans="1:14" ht="13.5" customHeight="1" x14ac:dyDescent="0.2">
      <c r="A187" s="3118"/>
      <c r="B187" s="334" t="s">
        <v>16</v>
      </c>
      <c r="C187" s="27"/>
      <c r="D187" s="415">
        <f>+D188+D190</f>
        <v>919301</v>
      </c>
      <c r="E187" s="593">
        <f t="shared" ref="E187:H187" si="153">+E188+E190</f>
        <v>0</v>
      </c>
      <c r="F187" s="416">
        <f t="shared" ref="F187" si="154">+F188+F190</f>
        <v>0</v>
      </c>
      <c r="G187" s="416">
        <f t="shared" si="153"/>
        <v>130000</v>
      </c>
      <c r="H187" s="418">
        <f t="shared" si="153"/>
        <v>789301</v>
      </c>
      <c r="I187" s="415">
        <f t="shared" si="152"/>
        <v>0</v>
      </c>
      <c r="J187" s="1215">
        <f t="shared" si="151"/>
        <v>0</v>
      </c>
      <c r="K187" s="416">
        <f>+K188+K190</f>
        <v>0</v>
      </c>
      <c r="L187" s="1216">
        <f>+K187/G187*100</f>
        <v>0</v>
      </c>
      <c r="M187" s="453">
        <f>+K187-G187</f>
        <v>-130000</v>
      </c>
      <c r="N187" s="3295"/>
    </row>
    <row r="188" spans="1:14" ht="13.5" hidden="1" customHeight="1" x14ac:dyDescent="0.2">
      <c r="A188" s="3118"/>
      <c r="B188" s="454" t="s">
        <v>17</v>
      </c>
      <c r="C188" s="3193" t="s">
        <v>348</v>
      </c>
      <c r="D188" s="250">
        <f t="shared" ref="D188:H188" si="155">+D189</f>
        <v>0</v>
      </c>
      <c r="E188" s="477">
        <f t="shared" si="155"/>
        <v>0</v>
      </c>
      <c r="F188" s="1207">
        <f t="shared" si="155"/>
        <v>0</v>
      </c>
      <c r="G188" s="1207">
        <f t="shared" si="155"/>
        <v>0</v>
      </c>
      <c r="H188" s="250">
        <f t="shared" si="155"/>
        <v>0</v>
      </c>
      <c r="I188" s="1211">
        <f t="shared" si="152"/>
        <v>0</v>
      </c>
      <c r="J188" s="1132" t="e">
        <f>I188/#REF!*100</f>
        <v>#REF!</v>
      </c>
      <c r="K188" s="1207">
        <f>+K189</f>
        <v>0</v>
      </c>
      <c r="L188" s="1160" t="e">
        <f>K188/#REF!*100</f>
        <v>#REF!</v>
      </c>
      <c r="M188" s="1208">
        <f t="shared" si="123"/>
        <v>0</v>
      </c>
      <c r="N188" s="3295"/>
    </row>
    <row r="189" spans="1:14" ht="13.5" hidden="1" customHeight="1" x14ac:dyDescent="0.2">
      <c r="A189" s="3118"/>
      <c r="B189" s="460" t="s">
        <v>7</v>
      </c>
      <c r="C189" s="3087"/>
      <c r="D189" s="250">
        <f>+E189+F189+G189+H189</f>
        <v>0</v>
      </c>
      <c r="E189" s="482">
        <v>0</v>
      </c>
      <c r="F189" s="1207">
        <v>0</v>
      </c>
      <c r="G189" s="1207">
        <v>0</v>
      </c>
      <c r="H189" s="250">
        <v>0</v>
      </c>
      <c r="I189" s="1211">
        <f t="shared" si="152"/>
        <v>0</v>
      </c>
      <c r="J189" s="1140" t="e">
        <f>I189/#REF!*100</f>
        <v>#REF!</v>
      </c>
      <c r="K189" s="1207">
        <v>0</v>
      </c>
      <c r="L189" s="1161" t="e">
        <f>K189/#REF!*100</f>
        <v>#REF!</v>
      </c>
      <c r="M189" s="1208">
        <f t="shared" si="123"/>
        <v>0</v>
      </c>
      <c r="N189" s="3295"/>
    </row>
    <row r="190" spans="1:14" x14ac:dyDescent="0.2">
      <c r="A190" s="3118"/>
      <c r="B190" s="473" t="s">
        <v>12</v>
      </c>
      <c r="C190" s="3194"/>
      <c r="D190" s="474">
        <f t="shared" ref="D190:H190" si="156">+D191</f>
        <v>919301</v>
      </c>
      <c r="E190" s="477">
        <f t="shared" si="156"/>
        <v>0</v>
      </c>
      <c r="F190" s="475">
        <f t="shared" si="156"/>
        <v>0</v>
      </c>
      <c r="G190" s="475">
        <f t="shared" si="156"/>
        <v>130000</v>
      </c>
      <c r="H190" s="1172">
        <f t="shared" si="156"/>
        <v>789301</v>
      </c>
      <c r="I190" s="474">
        <f t="shared" si="152"/>
        <v>0</v>
      </c>
      <c r="J190" s="1132">
        <f t="shared" ref="J190:J191" si="157">I190/D190*100</f>
        <v>0</v>
      </c>
      <c r="K190" s="475">
        <f>+K191</f>
        <v>0</v>
      </c>
      <c r="L190" s="1160">
        <f>+K190/G190*100</f>
        <v>0</v>
      </c>
      <c r="M190" s="479">
        <f>+K190-G190</f>
        <v>-130000</v>
      </c>
      <c r="N190" s="3295"/>
    </row>
    <row r="191" spans="1:14" ht="13.5" thickBot="1" x14ac:dyDescent="0.25">
      <c r="A191" s="3119"/>
      <c r="B191" s="537" t="s">
        <v>14</v>
      </c>
      <c r="C191" s="3195"/>
      <c r="D191" s="500">
        <f>+E191+F191+G191+H191</f>
        <v>919301</v>
      </c>
      <c r="E191" s="527">
        <v>0</v>
      </c>
      <c r="F191" s="577">
        <v>0</v>
      </c>
      <c r="G191" s="577">
        <v>130000</v>
      </c>
      <c r="H191" s="1213">
        <v>789301</v>
      </c>
      <c r="I191" s="500">
        <f t="shared" si="152"/>
        <v>0</v>
      </c>
      <c r="J191" s="1134">
        <f t="shared" si="157"/>
        <v>0</v>
      </c>
      <c r="K191" s="577">
        <v>0</v>
      </c>
      <c r="L191" s="1166">
        <f>+K191/G191*100</f>
        <v>0</v>
      </c>
      <c r="M191" s="1039">
        <f>+K191-G191</f>
        <v>-130000</v>
      </c>
      <c r="N191" s="3296"/>
    </row>
    <row r="192" spans="1:14" ht="51" x14ac:dyDescent="0.2">
      <c r="A192" s="3320" t="s">
        <v>333</v>
      </c>
      <c r="B192" s="541" t="s">
        <v>347</v>
      </c>
      <c r="C192" s="1217" t="s">
        <v>320</v>
      </c>
      <c r="D192" s="1218"/>
      <c r="E192" s="1218"/>
      <c r="F192" s="1218"/>
      <c r="G192" s="1218"/>
      <c r="H192" s="1218"/>
      <c r="I192" s="1218"/>
      <c r="J192" s="1218"/>
      <c r="K192" s="1218"/>
      <c r="L192" s="1218"/>
      <c r="M192" s="1218"/>
      <c r="N192" s="3275" t="s">
        <v>283</v>
      </c>
    </row>
    <row r="193" spans="1:14" x14ac:dyDescent="0.2">
      <c r="A193" s="3321"/>
      <c r="B193" s="1219" t="s">
        <v>2</v>
      </c>
      <c r="C193" s="1220"/>
      <c r="D193" s="1221">
        <f t="shared" ref="D193" si="158">+D194+D197</f>
        <v>544168</v>
      </c>
      <c r="G193" s="1221">
        <f t="shared" ref="G193:I193" si="159">+G194+G197</f>
        <v>11050</v>
      </c>
      <c r="H193" s="1221">
        <f t="shared" si="159"/>
        <v>533118</v>
      </c>
      <c r="I193" s="1221">
        <f t="shared" si="159"/>
        <v>0</v>
      </c>
      <c r="J193" s="1221">
        <f t="shared" ref="J193:J194" si="160">I193/D193*100</f>
        <v>0</v>
      </c>
      <c r="K193" s="1221">
        <f>+K194+K197</f>
        <v>0</v>
      </c>
      <c r="L193" s="1221">
        <f>+K193/G193*100</f>
        <v>0</v>
      </c>
      <c r="M193" s="1221">
        <f>+K193-G193</f>
        <v>-11050</v>
      </c>
      <c r="N193" s="3266"/>
    </row>
    <row r="194" spans="1:14" x14ac:dyDescent="0.2">
      <c r="A194" s="3321"/>
      <c r="B194" s="1222" t="s">
        <v>17</v>
      </c>
      <c r="C194" s="3325" t="s">
        <v>346</v>
      </c>
      <c r="D194" s="1223">
        <f t="shared" ref="D194" si="161">+D195+D196</f>
        <v>46168</v>
      </c>
      <c r="G194" s="1223">
        <f t="shared" ref="G194:H194" si="162">+G195+G196</f>
        <v>11050</v>
      </c>
      <c r="H194" s="1223">
        <f t="shared" si="162"/>
        <v>35118</v>
      </c>
      <c r="I194" s="1223">
        <f>+I196</f>
        <v>0</v>
      </c>
      <c r="J194" s="1223">
        <f t="shared" si="160"/>
        <v>0</v>
      </c>
      <c r="K194" s="1223">
        <f>+K195+K196</f>
        <v>0</v>
      </c>
      <c r="L194" s="1223">
        <f>+K194/G194*100</f>
        <v>0</v>
      </c>
      <c r="M194" s="1223">
        <f>+K194-G194</f>
        <v>-11050</v>
      </c>
      <c r="N194" s="3266"/>
    </row>
    <row r="195" spans="1:14" x14ac:dyDescent="0.2">
      <c r="A195" s="3321"/>
      <c r="B195" s="1224" t="s">
        <v>4</v>
      </c>
      <c r="C195" s="3326"/>
      <c r="D195" s="1225">
        <f>+E195+F195+G195+H195</f>
        <v>46168</v>
      </c>
      <c r="G195" s="1225">
        <v>11050</v>
      </c>
      <c r="H195" s="1225">
        <v>35118</v>
      </c>
      <c r="I195" s="1225">
        <f t="shared" ref="I195" si="163">K195+E195+F195</f>
        <v>0</v>
      </c>
      <c r="J195" s="1225">
        <f t="shared" ref="J195" si="164">I195/D195*100</f>
        <v>0</v>
      </c>
      <c r="K195" s="1225">
        <v>0</v>
      </c>
      <c r="L195" s="1225">
        <f>+K195/G195*100</f>
        <v>0</v>
      </c>
      <c r="M195" s="1225">
        <f>+K195-G195</f>
        <v>-11050</v>
      </c>
      <c r="N195" s="3266"/>
    </row>
    <row r="196" spans="1:14" hidden="1" x14ac:dyDescent="0.2">
      <c r="A196" s="3321"/>
      <c r="B196" s="1224" t="s">
        <v>7</v>
      </c>
      <c r="C196" s="3326"/>
      <c r="D196" s="1225">
        <f>+E196+F196+G196+H196</f>
        <v>0</v>
      </c>
      <c r="G196" s="1225">
        <v>0</v>
      </c>
      <c r="H196" s="1225"/>
      <c r="I196" s="1225"/>
      <c r="J196" s="1225"/>
      <c r="K196" s="1225"/>
      <c r="L196" s="1225"/>
      <c r="M196" s="1225"/>
      <c r="N196" s="3266"/>
    </row>
    <row r="197" spans="1:14" x14ac:dyDescent="0.2">
      <c r="A197" s="3321"/>
      <c r="B197" s="1226" t="s">
        <v>12</v>
      </c>
      <c r="C197" s="3326"/>
      <c r="D197" s="1227">
        <f t="shared" ref="D197" si="165">+D198</f>
        <v>498000</v>
      </c>
      <c r="G197" s="1227">
        <f t="shared" ref="G197:H197" si="166">+G198</f>
        <v>0</v>
      </c>
      <c r="H197" s="1227">
        <f t="shared" si="166"/>
        <v>498000</v>
      </c>
      <c r="I197" s="1227">
        <f>+I198</f>
        <v>0</v>
      </c>
      <c r="J197" s="1227">
        <f t="shared" ref="J197:J199" si="167">I197/D197*100</f>
        <v>0</v>
      </c>
      <c r="K197" s="1227">
        <f>+K198</f>
        <v>0</v>
      </c>
      <c r="L197" s="1228">
        <v>0</v>
      </c>
      <c r="M197" s="1227">
        <f>+K197-G197</f>
        <v>0</v>
      </c>
      <c r="N197" s="3266"/>
    </row>
    <row r="198" spans="1:14" x14ac:dyDescent="0.2">
      <c r="A198" s="3321"/>
      <c r="B198" s="1229" t="s">
        <v>14</v>
      </c>
      <c r="C198" s="3326"/>
      <c r="D198" s="1225">
        <f>+E198+F198+G198+H198</f>
        <v>498000</v>
      </c>
      <c r="G198" s="1225">
        <v>0</v>
      </c>
      <c r="H198" s="1225">
        <v>498000</v>
      </c>
      <c r="I198" s="1225">
        <f t="shared" ref="I198:I199" si="168">K198+E198+F198</f>
        <v>0</v>
      </c>
      <c r="J198" s="1225">
        <f t="shared" si="167"/>
        <v>0</v>
      </c>
      <c r="K198" s="1225">
        <v>0</v>
      </c>
      <c r="L198" s="1230">
        <v>0</v>
      </c>
      <c r="M198" s="1225">
        <f>+K198-G198</f>
        <v>0</v>
      </c>
      <c r="N198" s="3266"/>
    </row>
    <row r="199" spans="1:14" x14ac:dyDescent="0.2">
      <c r="A199" s="3322"/>
      <c r="B199" s="1231" t="s">
        <v>16</v>
      </c>
      <c r="C199" s="1220"/>
      <c r="D199" s="1232">
        <f>+D200+D202</f>
        <v>498000</v>
      </c>
      <c r="G199" s="1232">
        <f t="shared" ref="G199:H199" si="169">+G200+G202</f>
        <v>0</v>
      </c>
      <c r="H199" s="1232">
        <f t="shared" si="169"/>
        <v>498000</v>
      </c>
      <c r="I199" s="1232">
        <f t="shared" si="168"/>
        <v>0</v>
      </c>
      <c r="J199" s="1232">
        <f t="shared" si="167"/>
        <v>0</v>
      </c>
      <c r="K199" s="1232">
        <f>+K200+K202</f>
        <v>0</v>
      </c>
      <c r="L199" s="1233">
        <v>0</v>
      </c>
      <c r="M199" s="1232">
        <f>+K199-G199</f>
        <v>0</v>
      </c>
      <c r="N199" s="3295"/>
    </row>
    <row r="200" spans="1:14" hidden="1" x14ac:dyDescent="0.2">
      <c r="A200" s="3323"/>
      <c r="B200" s="1222" t="s">
        <v>17</v>
      </c>
      <c r="C200" s="3327" t="s">
        <v>200</v>
      </c>
      <c r="D200" s="1234">
        <f t="shared" ref="D200" si="170">+D201</f>
        <v>0</v>
      </c>
      <c r="G200" s="1234"/>
      <c r="H200" s="1234"/>
      <c r="I200" s="1234"/>
      <c r="J200" s="1234"/>
      <c r="K200" s="1234"/>
      <c r="L200" s="1235"/>
      <c r="M200" s="1234"/>
      <c r="N200" s="3295"/>
    </row>
    <row r="201" spans="1:14" hidden="1" x14ac:dyDescent="0.2">
      <c r="A201" s="3323"/>
      <c r="B201" s="1224" t="s">
        <v>7</v>
      </c>
      <c r="C201" s="3326"/>
      <c r="D201" s="1225">
        <f>+E201+F201+G201+H201</f>
        <v>0</v>
      </c>
      <c r="G201" s="1225"/>
      <c r="H201" s="1225"/>
      <c r="I201" s="1225"/>
      <c r="J201" s="1225"/>
      <c r="K201" s="1225"/>
      <c r="L201" s="1230"/>
      <c r="M201" s="1225"/>
      <c r="N201" s="3295"/>
    </row>
    <row r="202" spans="1:14" x14ac:dyDescent="0.2">
      <c r="A202" s="3323"/>
      <c r="B202" s="1226" t="s">
        <v>12</v>
      </c>
      <c r="C202" s="3328"/>
      <c r="D202" s="1227">
        <f t="shared" ref="D202" si="171">+D203</f>
        <v>498000</v>
      </c>
      <c r="G202" s="1227">
        <f t="shared" ref="G202:H202" si="172">+G203</f>
        <v>0</v>
      </c>
      <c r="H202" s="1227">
        <f t="shared" si="172"/>
        <v>498000</v>
      </c>
      <c r="I202" s="1227">
        <f t="shared" ref="I202" si="173">K202+E202+F202</f>
        <v>0</v>
      </c>
      <c r="J202" s="1227">
        <f t="shared" ref="J202" si="174">I202/D202*100</f>
        <v>0</v>
      </c>
      <c r="K202" s="1227">
        <f>+K203</f>
        <v>0</v>
      </c>
      <c r="L202" s="1228">
        <v>0</v>
      </c>
      <c r="M202" s="1227">
        <f>+K202-G202</f>
        <v>0</v>
      </c>
      <c r="N202" s="3295"/>
    </row>
    <row r="203" spans="1:14" ht="13.5" thickBot="1" x14ac:dyDescent="0.25">
      <c r="A203" s="3324"/>
      <c r="B203" s="1236" t="s">
        <v>14</v>
      </c>
      <c r="C203" s="3329"/>
      <c r="D203" s="1237">
        <f>+E203+F203+G203+H203</f>
        <v>498000</v>
      </c>
      <c r="G203" s="1237">
        <v>0</v>
      </c>
      <c r="H203" s="1237">
        <v>498000</v>
      </c>
      <c r="I203" s="1237">
        <f t="shared" ref="I203" si="175">K203+E203+F203</f>
        <v>0</v>
      </c>
      <c r="J203" s="1237">
        <f t="shared" ref="J203" si="176">I203/D203*100</f>
        <v>0</v>
      </c>
      <c r="K203" s="1237">
        <f>+K204</f>
        <v>0</v>
      </c>
      <c r="L203" s="1238">
        <v>0</v>
      </c>
      <c r="M203" s="1237">
        <f>+K203-G203</f>
        <v>0</v>
      </c>
      <c r="N203" s="3296"/>
    </row>
    <row r="204" spans="1:14" x14ac:dyDescent="0.2">
      <c r="A204" s="1239"/>
      <c r="B204" s="1240"/>
      <c r="C204" s="1241"/>
      <c r="D204" s="1240"/>
      <c r="E204" s="1240"/>
      <c r="F204" s="1240"/>
      <c r="G204" s="1240"/>
      <c r="H204" s="1240"/>
      <c r="I204" s="1240"/>
      <c r="J204" s="1240"/>
      <c r="K204" s="1240"/>
      <c r="L204" s="1240"/>
      <c r="M204" s="1240"/>
      <c r="N204" s="1242"/>
    </row>
    <row r="205" spans="1:14" x14ac:dyDescent="0.2">
      <c r="A205" s="1243"/>
      <c r="B205" s="250"/>
      <c r="C205" s="254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1244"/>
    </row>
    <row r="206" spans="1:14" x14ac:dyDescent="0.2">
      <c r="A206" s="1243"/>
      <c r="B206" s="250"/>
      <c r="C206" s="254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1244"/>
    </row>
    <row r="207" spans="1:14" x14ac:dyDescent="0.2">
      <c r="A207" s="1243"/>
      <c r="B207" s="250"/>
      <c r="C207" s="254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1244"/>
    </row>
    <row r="208" spans="1:14" x14ac:dyDescent="0.2">
      <c r="A208" s="1243"/>
      <c r="B208" s="250"/>
      <c r="C208" s="254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1244"/>
    </row>
    <row r="209" spans="1:14" x14ac:dyDescent="0.2">
      <c r="A209" s="1243"/>
      <c r="B209" s="250"/>
      <c r="C209" s="254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1244"/>
    </row>
    <row r="210" spans="1:14" x14ac:dyDescent="0.2">
      <c r="A210" s="1243"/>
      <c r="B210" s="250"/>
      <c r="C210" s="254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1244"/>
    </row>
    <row r="211" spans="1:14" x14ac:dyDescent="0.2">
      <c r="A211" s="1243"/>
      <c r="B211" s="250"/>
      <c r="C211" s="254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1244"/>
    </row>
    <row r="212" spans="1:14" ht="13.5" thickBot="1" x14ac:dyDescent="0.25">
      <c r="A212" s="1245"/>
      <c r="B212" s="1246"/>
      <c r="C212" s="1247"/>
      <c r="D212" s="1246"/>
      <c r="E212" s="1246"/>
      <c r="F212" s="1246"/>
      <c r="G212" s="1246"/>
      <c r="H212" s="1246"/>
      <c r="I212" s="1246"/>
      <c r="J212" s="1246"/>
      <c r="K212" s="1246"/>
      <c r="L212" s="1246"/>
      <c r="M212" s="1246"/>
      <c r="N212" s="1248"/>
    </row>
    <row r="213" spans="1:14" x14ac:dyDescent="0.2">
      <c r="A213" s="1239"/>
      <c r="B213" s="1240"/>
      <c r="C213" s="1241"/>
      <c r="D213" s="1240"/>
      <c r="E213" s="1240"/>
      <c r="F213" s="1240"/>
      <c r="G213" s="1240"/>
      <c r="H213" s="1240"/>
      <c r="I213" s="1240"/>
      <c r="J213" s="1240"/>
      <c r="K213" s="1240"/>
      <c r="L213" s="1240"/>
      <c r="M213" s="1240"/>
      <c r="N213" s="1242"/>
    </row>
    <row r="214" spans="1:14" x14ac:dyDescent="0.2">
      <c r="A214" s="1243"/>
      <c r="B214" s="250"/>
      <c r="C214" s="254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1244"/>
    </row>
    <row r="215" spans="1:14" x14ac:dyDescent="0.2">
      <c r="A215" s="1243"/>
      <c r="B215" s="250"/>
      <c r="C215" s="254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1244"/>
    </row>
    <row r="216" spans="1:14" x14ac:dyDescent="0.2">
      <c r="A216" s="1243"/>
      <c r="B216" s="250"/>
      <c r="C216" s="254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1244"/>
    </row>
    <row r="217" spans="1:14" x14ac:dyDescent="0.2">
      <c r="A217" s="1243"/>
      <c r="B217" s="250"/>
      <c r="C217" s="254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1244"/>
    </row>
    <row r="218" spans="1:14" x14ac:dyDescent="0.2">
      <c r="A218" s="1243"/>
      <c r="B218" s="250"/>
      <c r="C218" s="254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1244"/>
    </row>
    <row r="219" spans="1:14" x14ac:dyDescent="0.2">
      <c r="A219" s="1243"/>
      <c r="B219" s="250"/>
      <c r="C219" s="254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1244"/>
    </row>
    <row r="220" spans="1:14" x14ac:dyDescent="0.2">
      <c r="A220" s="1243"/>
      <c r="B220" s="250"/>
      <c r="C220" s="254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1244"/>
    </row>
    <row r="221" spans="1:14" x14ac:dyDescent="0.2">
      <c r="A221" s="1243"/>
      <c r="B221" s="250"/>
      <c r="C221" s="254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1244"/>
    </row>
    <row r="222" spans="1:14" x14ac:dyDescent="0.2">
      <c r="A222" s="1243"/>
      <c r="B222" s="250"/>
      <c r="C222" s="254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1244"/>
    </row>
    <row r="223" spans="1:14" x14ac:dyDescent="0.2">
      <c r="A223" s="1243"/>
      <c r="B223" s="250"/>
      <c r="C223" s="254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1244"/>
    </row>
    <row r="224" spans="1:14" ht="13.5" thickBot="1" x14ac:dyDescent="0.25">
      <c r="A224" s="1245"/>
      <c r="B224" s="1246"/>
      <c r="C224" s="1247"/>
      <c r="D224" s="1246"/>
      <c r="E224" s="1246"/>
      <c r="F224" s="1246"/>
      <c r="G224" s="1246"/>
      <c r="H224" s="1246"/>
      <c r="I224" s="1246"/>
      <c r="J224" s="1246"/>
      <c r="K224" s="1246"/>
      <c r="L224" s="1246"/>
      <c r="M224" s="1246"/>
      <c r="N224" s="1248"/>
    </row>
    <row r="245" spans="1:14" ht="13.5" thickBot="1" x14ac:dyDescent="0.25"/>
    <row r="246" spans="1:14" x14ac:dyDescent="0.2">
      <c r="A246" s="1239"/>
      <c r="B246" s="1240"/>
      <c r="C246" s="1241"/>
      <c r="D246" s="1240"/>
      <c r="E246" s="1240"/>
      <c r="F246" s="1240"/>
      <c r="G246" s="1240"/>
      <c r="H246" s="1240"/>
      <c r="I246" s="1240"/>
      <c r="J246" s="1240"/>
      <c r="K246" s="1240"/>
      <c r="L246" s="1240"/>
      <c r="M246" s="1240"/>
      <c r="N246" s="1242"/>
    </row>
    <row r="247" spans="1:14" x14ac:dyDescent="0.2">
      <c r="A247" s="1243"/>
      <c r="B247" s="250"/>
      <c r="C247" s="254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1244"/>
    </row>
    <row r="248" spans="1:14" x14ac:dyDescent="0.2">
      <c r="A248" s="1243"/>
      <c r="B248" s="250"/>
      <c r="C248" s="254"/>
      <c r="D248" s="250"/>
      <c r="E248" s="250"/>
      <c r="F248" s="250"/>
      <c r="G248" s="250"/>
      <c r="H248" s="250"/>
      <c r="I248" s="250"/>
      <c r="J248" s="250"/>
      <c r="K248" s="250"/>
      <c r="L248" s="250"/>
      <c r="M248" s="250"/>
      <c r="N248" s="1244"/>
    </row>
    <row r="249" spans="1:14" x14ac:dyDescent="0.2">
      <c r="A249" s="1243"/>
      <c r="B249" s="250"/>
      <c r="C249" s="254"/>
      <c r="D249" s="250"/>
      <c r="E249" s="250"/>
      <c r="F249" s="250"/>
      <c r="G249" s="250"/>
      <c r="H249" s="250"/>
      <c r="I249" s="250"/>
      <c r="J249" s="250"/>
      <c r="K249" s="250"/>
      <c r="L249" s="250"/>
      <c r="M249" s="250"/>
      <c r="N249" s="1244"/>
    </row>
    <row r="250" spans="1:14" x14ac:dyDescent="0.2">
      <c r="A250" s="1243"/>
      <c r="B250" s="250"/>
      <c r="C250" s="254"/>
      <c r="D250" s="250"/>
      <c r="E250" s="250"/>
      <c r="F250" s="250"/>
      <c r="G250" s="250"/>
      <c r="H250" s="250"/>
      <c r="I250" s="250"/>
      <c r="J250" s="250"/>
      <c r="K250" s="250"/>
      <c r="L250" s="250"/>
      <c r="M250" s="250"/>
      <c r="N250" s="1244"/>
    </row>
    <row r="251" spans="1:14" x14ac:dyDescent="0.2">
      <c r="A251" s="1243"/>
      <c r="B251" s="250"/>
      <c r="C251" s="254"/>
      <c r="D251" s="250"/>
      <c r="E251" s="250"/>
      <c r="F251" s="250"/>
      <c r="G251" s="250"/>
      <c r="H251" s="250"/>
      <c r="I251" s="250"/>
      <c r="J251" s="250"/>
      <c r="K251" s="250"/>
      <c r="L251" s="250"/>
      <c r="M251" s="250"/>
      <c r="N251" s="1244"/>
    </row>
    <row r="252" spans="1:14" x14ac:dyDescent="0.2">
      <c r="A252" s="1243"/>
      <c r="B252" s="250"/>
      <c r="C252" s="254"/>
      <c r="D252" s="250"/>
      <c r="E252" s="250"/>
      <c r="F252" s="250"/>
      <c r="G252" s="250"/>
      <c r="H252" s="250"/>
      <c r="I252" s="250"/>
      <c r="J252" s="250"/>
      <c r="K252" s="250"/>
      <c r="L252" s="250"/>
      <c r="M252" s="250"/>
      <c r="N252" s="1244"/>
    </row>
    <row r="253" spans="1:14" x14ac:dyDescent="0.2">
      <c r="A253" s="1243"/>
      <c r="B253" s="250"/>
      <c r="C253" s="254"/>
      <c r="D253" s="250"/>
      <c r="E253" s="250"/>
      <c r="F253" s="250"/>
      <c r="G253" s="250"/>
      <c r="H253" s="250"/>
      <c r="I253" s="250"/>
      <c r="J253" s="250"/>
      <c r="K253" s="250"/>
      <c r="L253" s="250"/>
      <c r="M253" s="250"/>
      <c r="N253" s="1244"/>
    </row>
    <row r="254" spans="1:14" ht="13.5" thickBot="1" x14ac:dyDescent="0.25">
      <c r="A254" s="1245"/>
      <c r="B254" s="1246"/>
      <c r="C254" s="1247"/>
      <c r="D254" s="1246"/>
      <c r="E254" s="1246"/>
      <c r="F254" s="1246"/>
      <c r="G254" s="1246"/>
      <c r="H254" s="1246"/>
      <c r="I254" s="1246"/>
      <c r="J254" s="1246"/>
      <c r="K254" s="1246"/>
      <c r="L254" s="1246"/>
      <c r="M254" s="1246"/>
      <c r="N254" s="1248"/>
    </row>
    <row r="255" spans="1:14" x14ac:dyDescent="0.2">
      <c r="A255" s="1239"/>
      <c r="B255" s="1240"/>
      <c r="C255" s="1241"/>
      <c r="D255" s="1240"/>
      <c r="E255" s="1240"/>
      <c r="F255" s="1240"/>
      <c r="G255" s="1240"/>
      <c r="H255" s="1240"/>
      <c r="I255" s="1240"/>
      <c r="J255" s="1240"/>
      <c r="K255" s="1240"/>
      <c r="L255" s="1240"/>
      <c r="M255" s="1240"/>
      <c r="N255" s="1242"/>
    </row>
    <row r="256" spans="1:14" x14ac:dyDescent="0.2">
      <c r="A256" s="1243"/>
      <c r="B256" s="250"/>
      <c r="C256" s="254"/>
      <c r="D256" s="250"/>
      <c r="E256" s="250"/>
      <c r="F256" s="250"/>
      <c r="G256" s="250"/>
      <c r="H256" s="250"/>
      <c r="I256" s="250"/>
      <c r="J256" s="250"/>
      <c r="K256" s="250"/>
      <c r="L256" s="250"/>
      <c r="M256" s="250"/>
      <c r="N256" s="1244"/>
    </row>
    <row r="257" spans="1:14" x14ac:dyDescent="0.2">
      <c r="A257" s="1243"/>
      <c r="B257" s="250"/>
      <c r="C257" s="254"/>
      <c r="D257" s="250"/>
      <c r="E257" s="250"/>
      <c r="F257" s="250"/>
      <c r="G257" s="250"/>
      <c r="H257" s="250"/>
      <c r="I257" s="250"/>
      <c r="J257" s="250"/>
      <c r="K257" s="250"/>
      <c r="L257" s="250"/>
      <c r="M257" s="250"/>
      <c r="N257" s="1244"/>
    </row>
    <row r="258" spans="1:14" x14ac:dyDescent="0.2">
      <c r="A258" s="1243"/>
      <c r="B258" s="250"/>
      <c r="C258" s="254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1244"/>
    </row>
    <row r="259" spans="1:14" x14ac:dyDescent="0.2">
      <c r="A259" s="1243"/>
      <c r="B259" s="250"/>
      <c r="C259" s="254"/>
      <c r="D259" s="250"/>
      <c r="E259" s="250"/>
      <c r="F259" s="250"/>
      <c r="G259" s="250"/>
      <c r="H259" s="250"/>
      <c r="I259" s="250"/>
      <c r="J259" s="250"/>
      <c r="K259" s="250"/>
      <c r="L259" s="250"/>
      <c r="M259" s="250"/>
      <c r="N259" s="1244"/>
    </row>
    <row r="260" spans="1:14" x14ac:dyDescent="0.2">
      <c r="A260" s="1243"/>
      <c r="B260" s="250"/>
      <c r="C260" s="254"/>
      <c r="D260" s="250"/>
      <c r="E260" s="250"/>
      <c r="F260" s="250"/>
      <c r="G260" s="250"/>
      <c r="H260" s="250"/>
      <c r="I260" s="250"/>
      <c r="J260" s="250"/>
      <c r="K260" s="250"/>
      <c r="L260" s="250"/>
      <c r="M260" s="250"/>
      <c r="N260" s="1244"/>
    </row>
    <row r="261" spans="1:14" x14ac:dyDescent="0.2">
      <c r="A261" s="1243"/>
      <c r="B261" s="250"/>
      <c r="C261" s="254"/>
      <c r="D261" s="250"/>
      <c r="E261" s="250"/>
      <c r="F261" s="250"/>
      <c r="G261" s="250"/>
      <c r="H261" s="250"/>
      <c r="I261" s="250"/>
      <c r="J261" s="250"/>
      <c r="K261" s="250"/>
      <c r="L261" s="250"/>
      <c r="M261" s="250"/>
      <c r="N261" s="1244"/>
    </row>
    <row r="262" spans="1:14" x14ac:dyDescent="0.2">
      <c r="A262" s="1243"/>
      <c r="B262" s="250"/>
      <c r="C262" s="254"/>
      <c r="D262" s="250"/>
      <c r="E262" s="250"/>
      <c r="F262" s="250"/>
      <c r="G262" s="250"/>
      <c r="H262" s="250"/>
      <c r="I262" s="250"/>
      <c r="J262" s="250"/>
      <c r="K262" s="250"/>
      <c r="L262" s="250"/>
      <c r="M262" s="250"/>
      <c r="N262" s="1244"/>
    </row>
    <row r="263" spans="1:14" ht="13.5" thickBot="1" x14ac:dyDescent="0.25">
      <c r="A263" s="1245"/>
      <c r="B263" s="1246"/>
      <c r="C263" s="1247"/>
      <c r="D263" s="1246"/>
      <c r="E263" s="1246"/>
      <c r="F263" s="1246"/>
      <c r="G263" s="1246"/>
      <c r="H263" s="1246"/>
      <c r="I263" s="1246"/>
      <c r="J263" s="1246"/>
      <c r="K263" s="1246"/>
      <c r="L263" s="1246"/>
      <c r="M263" s="1246"/>
      <c r="N263" s="1248"/>
    </row>
    <row r="281" spans="1:14" ht="13.5" thickBot="1" x14ac:dyDescent="0.25"/>
    <row r="282" spans="1:14" x14ac:dyDescent="0.2">
      <c r="A282" s="1239"/>
      <c r="B282" s="1240"/>
      <c r="C282" s="1241"/>
      <c r="D282" s="1240"/>
      <c r="E282" s="1240"/>
      <c r="F282" s="1240"/>
      <c r="G282" s="1240"/>
      <c r="H282" s="1240"/>
      <c r="I282" s="1240"/>
      <c r="J282" s="1240"/>
      <c r="K282" s="1240"/>
      <c r="L282" s="1240"/>
      <c r="M282" s="1240"/>
      <c r="N282" s="1242"/>
    </row>
    <row r="283" spans="1:14" x14ac:dyDescent="0.2">
      <c r="A283" s="1243"/>
      <c r="B283" s="250"/>
      <c r="C283" s="254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1244"/>
    </row>
    <row r="284" spans="1:14" x14ac:dyDescent="0.2">
      <c r="A284" s="1243"/>
      <c r="B284" s="250"/>
      <c r="C284" s="254"/>
      <c r="D284" s="250"/>
      <c r="E284" s="250"/>
      <c r="F284" s="250"/>
      <c r="G284" s="250"/>
      <c r="H284" s="250"/>
      <c r="I284" s="250"/>
      <c r="J284" s="250"/>
      <c r="K284" s="250"/>
      <c r="L284" s="250"/>
      <c r="M284" s="250"/>
      <c r="N284" s="1244"/>
    </row>
    <row r="285" spans="1:14" x14ac:dyDescent="0.2">
      <c r="A285" s="1243"/>
      <c r="B285" s="250"/>
      <c r="C285" s="254"/>
      <c r="D285" s="250"/>
      <c r="E285" s="250"/>
      <c r="F285" s="250"/>
      <c r="G285" s="250"/>
      <c r="H285" s="250"/>
      <c r="I285" s="250"/>
      <c r="J285" s="250"/>
      <c r="K285" s="250"/>
      <c r="L285" s="250"/>
      <c r="M285" s="250"/>
      <c r="N285" s="1244"/>
    </row>
    <row r="286" spans="1:14" x14ac:dyDescent="0.2">
      <c r="A286" s="1243"/>
      <c r="B286" s="250"/>
      <c r="C286" s="254"/>
      <c r="D286" s="250"/>
      <c r="E286" s="250"/>
      <c r="F286" s="250"/>
      <c r="G286" s="250"/>
      <c r="H286" s="250"/>
      <c r="I286" s="250"/>
      <c r="J286" s="250"/>
      <c r="K286" s="250"/>
      <c r="L286" s="250"/>
      <c r="M286" s="250"/>
      <c r="N286" s="1244"/>
    </row>
    <row r="287" spans="1:14" x14ac:dyDescent="0.2">
      <c r="A287" s="1243"/>
      <c r="B287" s="250"/>
      <c r="C287" s="254"/>
      <c r="D287" s="250"/>
      <c r="E287" s="250"/>
      <c r="F287" s="250"/>
      <c r="G287" s="250"/>
      <c r="H287" s="250"/>
      <c r="I287" s="250"/>
      <c r="J287" s="250"/>
      <c r="K287" s="250"/>
      <c r="L287" s="250"/>
      <c r="M287" s="250"/>
      <c r="N287" s="1244"/>
    </row>
    <row r="288" spans="1:14" x14ac:dyDescent="0.2">
      <c r="A288" s="1243"/>
      <c r="B288" s="250"/>
      <c r="C288" s="254"/>
      <c r="D288" s="250"/>
      <c r="E288" s="250"/>
      <c r="F288" s="250"/>
      <c r="G288" s="250"/>
      <c r="H288" s="250"/>
      <c r="I288" s="250"/>
      <c r="J288" s="250"/>
      <c r="K288" s="250"/>
      <c r="L288" s="250"/>
      <c r="M288" s="250"/>
      <c r="N288" s="1244"/>
    </row>
    <row r="289" spans="1:14" x14ac:dyDescent="0.2">
      <c r="A289" s="1243"/>
      <c r="B289" s="250"/>
      <c r="C289" s="254"/>
      <c r="D289" s="250"/>
      <c r="E289" s="250"/>
      <c r="F289" s="250"/>
      <c r="G289" s="250"/>
      <c r="H289" s="250"/>
      <c r="I289" s="250"/>
      <c r="J289" s="250"/>
      <c r="K289" s="250"/>
      <c r="L289" s="250"/>
      <c r="M289" s="250"/>
      <c r="N289" s="1244"/>
    </row>
    <row r="290" spans="1:14" ht="13.5" thickBot="1" x14ac:dyDescent="0.25">
      <c r="A290" s="1245"/>
      <c r="B290" s="1246"/>
      <c r="C290" s="1247"/>
      <c r="D290" s="1246"/>
      <c r="E290" s="1246"/>
      <c r="F290" s="1246"/>
      <c r="G290" s="1246"/>
      <c r="H290" s="1246"/>
      <c r="I290" s="1246"/>
      <c r="J290" s="1246"/>
      <c r="K290" s="1246"/>
      <c r="L290" s="1246"/>
      <c r="M290" s="1246"/>
      <c r="N290" s="1248"/>
    </row>
    <row r="291" spans="1:14" x14ac:dyDescent="0.2">
      <c r="A291" s="1239"/>
      <c r="B291" s="1240"/>
      <c r="C291" s="1241"/>
      <c r="D291" s="1240"/>
      <c r="E291" s="1240"/>
      <c r="F291" s="1240"/>
      <c r="G291" s="1240"/>
      <c r="H291" s="1240"/>
      <c r="I291" s="1240"/>
      <c r="J291" s="1240"/>
      <c r="K291" s="1240"/>
      <c r="L291" s="1240"/>
      <c r="M291" s="1240"/>
      <c r="N291" s="1242"/>
    </row>
    <row r="292" spans="1:14" x14ac:dyDescent="0.2">
      <c r="A292" s="1243"/>
      <c r="B292" s="250"/>
      <c r="C292" s="254"/>
      <c r="D292" s="250"/>
      <c r="E292" s="250"/>
      <c r="F292" s="250"/>
      <c r="G292" s="250"/>
      <c r="H292" s="250"/>
      <c r="I292" s="250"/>
      <c r="J292" s="250"/>
      <c r="K292" s="250"/>
      <c r="L292" s="250"/>
      <c r="M292" s="250"/>
      <c r="N292" s="1244"/>
    </row>
    <row r="293" spans="1:14" x14ac:dyDescent="0.2">
      <c r="A293" s="1243"/>
      <c r="B293" s="250"/>
      <c r="C293" s="254"/>
      <c r="D293" s="250"/>
      <c r="E293" s="250"/>
      <c r="F293" s="250"/>
      <c r="G293" s="250"/>
      <c r="H293" s="250"/>
      <c r="I293" s="250"/>
      <c r="J293" s="250"/>
      <c r="K293" s="250"/>
      <c r="L293" s="250"/>
      <c r="M293" s="250"/>
      <c r="N293" s="1244"/>
    </row>
    <row r="294" spans="1:14" x14ac:dyDescent="0.2">
      <c r="A294" s="1243"/>
      <c r="B294" s="250"/>
      <c r="C294" s="254"/>
      <c r="D294" s="250"/>
      <c r="E294" s="250"/>
      <c r="F294" s="250"/>
      <c r="G294" s="250"/>
      <c r="H294" s="250"/>
      <c r="I294" s="250"/>
      <c r="J294" s="250"/>
      <c r="K294" s="250"/>
      <c r="L294" s="250"/>
      <c r="M294" s="250"/>
      <c r="N294" s="1244"/>
    </row>
    <row r="295" spans="1:14" x14ac:dyDescent="0.2">
      <c r="A295" s="1243"/>
      <c r="B295" s="250"/>
      <c r="C295" s="254"/>
      <c r="D295" s="250"/>
      <c r="E295" s="250"/>
      <c r="F295" s="250"/>
      <c r="G295" s="250"/>
      <c r="H295" s="250"/>
      <c r="I295" s="250"/>
      <c r="J295" s="250"/>
      <c r="K295" s="250"/>
      <c r="L295" s="250"/>
      <c r="M295" s="250"/>
      <c r="N295" s="1244"/>
    </row>
    <row r="296" spans="1:14" x14ac:dyDescent="0.2">
      <c r="A296" s="1243"/>
      <c r="B296" s="250"/>
      <c r="C296" s="254"/>
      <c r="D296" s="250"/>
      <c r="E296" s="250"/>
      <c r="F296" s="250"/>
      <c r="G296" s="250"/>
      <c r="H296" s="250"/>
      <c r="I296" s="250"/>
      <c r="J296" s="250"/>
      <c r="K296" s="250"/>
      <c r="L296" s="250"/>
      <c r="M296" s="250"/>
      <c r="N296" s="1244"/>
    </row>
    <row r="297" spans="1:14" x14ac:dyDescent="0.2">
      <c r="A297" s="1243"/>
      <c r="B297" s="250"/>
      <c r="C297" s="254"/>
      <c r="D297" s="250"/>
      <c r="E297" s="250"/>
      <c r="F297" s="250"/>
      <c r="G297" s="250"/>
      <c r="H297" s="250"/>
      <c r="I297" s="250"/>
      <c r="J297" s="250"/>
      <c r="K297" s="250"/>
      <c r="L297" s="250"/>
      <c r="M297" s="250"/>
      <c r="N297" s="1244"/>
    </row>
    <row r="298" spans="1:14" x14ac:dyDescent="0.2">
      <c r="A298" s="1243"/>
      <c r="B298" s="250"/>
      <c r="C298" s="254"/>
      <c r="D298" s="250"/>
      <c r="E298" s="250"/>
      <c r="F298" s="250"/>
      <c r="G298" s="250"/>
      <c r="H298" s="250"/>
      <c r="I298" s="250"/>
      <c r="J298" s="250"/>
      <c r="K298" s="250"/>
      <c r="L298" s="250"/>
      <c r="M298" s="250"/>
      <c r="N298" s="1244"/>
    </row>
    <row r="299" spans="1:14" ht="13.5" thickBot="1" x14ac:dyDescent="0.25">
      <c r="A299" s="1245"/>
      <c r="B299" s="1246"/>
      <c r="C299" s="1247"/>
      <c r="D299" s="1246"/>
      <c r="E299" s="1246"/>
      <c r="F299" s="1246"/>
      <c r="G299" s="1246"/>
      <c r="H299" s="1246"/>
      <c r="I299" s="1246"/>
      <c r="J299" s="1246"/>
      <c r="K299" s="1246"/>
      <c r="L299" s="1246"/>
      <c r="M299" s="1246"/>
      <c r="N299" s="1248"/>
    </row>
    <row r="317" spans="1:14" ht="13.5" thickBot="1" x14ac:dyDescent="0.25"/>
    <row r="318" spans="1:14" x14ac:dyDescent="0.2">
      <c r="A318" s="1239"/>
      <c r="B318" s="1240"/>
      <c r="C318" s="1241"/>
      <c r="D318" s="1240"/>
      <c r="E318" s="1240"/>
      <c r="F318" s="1240"/>
      <c r="G318" s="1240"/>
      <c r="H318" s="1240"/>
      <c r="I318" s="1240"/>
      <c r="J318" s="1240"/>
      <c r="K318" s="1240"/>
      <c r="L318" s="1240"/>
      <c r="M318" s="1240"/>
      <c r="N318" s="1242"/>
    </row>
    <row r="319" spans="1:14" x14ac:dyDescent="0.2">
      <c r="A319" s="1243"/>
      <c r="B319" s="250"/>
      <c r="C319" s="254"/>
      <c r="D319" s="250"/>
      <c r="E319" s="250"/>
      <c r="F319" s="250"/>
      <c r="G319" s="250"/>
      <c r="H319" s="250"/>
      <c r="I319" s="250"/>
      <c r="J319" s="250"/>
      <c r="K319" s="250"/>
      <c r="L319" s="250"/>
      <c r="M319" s="250"/>
      <c r="N319" s="1244"/>
    </row>
    <row r="320" spans="1:14" x14ac:dyDescent="0.2">
      <c r="A320" s="1243"/>
      <c r="B320" s="250"/>
      <c r="C320" s="254"/>
      <c r="D320" s="250"/>
      <c r="E320" s="250"/>
      <c r="F320" s="250"/>
      <c r="G320" s="250"/>
      <c r="H320" s="250"/>
      <c r="I320" s="250"/>
      <c r="J320" s="250"/>
      <c r="K320" s="250"/>
      <c r="L320" s="250"/>
      <c r="M320" s="250"/>
      <c r="N320" s="1244"/>
    </row>
    <row r="321" spans="1:14" x14ac:dyDescent="0.2">
      <c r="A321" s="1243"/>
      <c r="B321" s="250"/>
      <c r="C321" s="254"/>
      <c r="D321" s="250"/>
      <c r="E321" s="250"/>
      <c r="F321" s="250"/>
      <c r="G321" s="250"/>
      <c r="H321" s="250"/>
      <c r="I321" s="250"/>
      <c r="J321" s="250"/>
      <c r="K321" s="250"/>
      <c r="L321" s="250"/>
      <c r="M321" s="250"/>
      <c r="N321" s="1244"/>
    </row>
    <row r="322" spans="1:14" x14ac:dyDescent="0.2">
      <c r="A322" s="1243"/>
      <c r="B322" s="250"/>
      <c r="C322" s="254"/>
      <c r="D322" s="250"/>
      <c r="E322" s="250"/>
      <c r="F322" s="250"/>
      <c r="G322" s="250"/>
      <c r="H322" s="250"/>
      <c r="I322" s="250"/>
      <c r="J322" s="250"/>
      <c r="K322" s="250"/>
      <c r="L322" s="250"/>
      <c r="M322" s="250"/>
      <c r="N322" s="1244"/>
    </row>
    <row r="323" spans="1:14" x14ac:dyDescent="0.2">
      <c r="A323" s="1243"/>
      <c r="B323" s="250"/>
      <c r="C323" s="254"/>
      <c r="D323" s="250"/>
      <c r="E323" s="250"/>
      <c r="F323" s="250"/>
      <c r="G323" s="250"/>
      <c r="H323" s="250"/>
      <c r="I323" s="250"/>
      <c r="J323" s="250"/>
      <c r="K323" s="250"/>
      <c r="L323" s="250"/>
      <c r="M323" s="250"/>
      <c r="N323" s="1244"/>
    </row>
    <row r="324" spans="1:14" x14ac:dyDescent="0.2">
      <c r="A324" s="1243"/>
      <c r="B324" s="250"/>
      <c r="C324" s="254"/>
      <c r="D324" s="250"/>
      <c r="E324" s="250"/>
      <c r="F324" s="250"/>
      <c r="G324" s="250"/>
      <c r="H324" s="250"/>
      <c r="I324" s="250"/>
      <c r="J324" s="250"/>
      <c r="K324" s="250"/>
      <c r="L324" s="250"/>
      <c r="M324" s="250"/>
      <c r="N324" s="1244"/>
    </row>
    <row r="325" spans="1:14" x14ac:dyDescent="0.2">
      <c r="A325" s="1243"/>
      <c r="B325" s="250"/>
      <c r="C325" s="254"/>
      <c r="D325" s="250"/>
      <c r="E325" s="250"/>
      <c r="F325" s="250"/>
      <c r="G325" s="250"/>
      <c r="H325" s="250"/>
      <c r="I325" s="250"/>
      <c r="J325" s="250"/>
      <c r="K325" s="250"/>
      <c r="L325" s="250"/>
      <c r="M325" s="250"/>
      <c r="N325" s="1244"/>
    </row>
    <row r="326" spans="1:14" ht="13.5" thickBot="1" x14ac:dyDescent="0.25">
      <c r="A326" s="1245"/>
      <c r="B326" s="1246"/>
      <c r="C326" s="1247"/>
      <c r="D326" s="1246"/>
      <c r="E326" s="1246"/>
      <c r="F326" s="1246"/>
      <c r="G326" s="1246"/>
      <c r="H326" s="1246"/>
      <c r="I326" s="1246"/>
      <c r="J326" s="1246"/>
      <c r="K326" s="1246"/>
      <c r="L326" s="1246"/>
      <c r="M326" s="1246"/>
      <c r="N326" s="1248"/>
    </row>
    <row r="327" spans="1:14" x14ac:dyDescent="0.2">
      <c r="A327" s="1239"/>
      <c r="B327" s="1240"/>
      <c r="C327" s="1241"/>
      <c r="D327" s="1240"/>
      <c r="E327" s="1240"/>
      <c r="F327" s="1240"/>
      <c r="G327" s="1240"/>
      <c r="H327" s="1240"/>
      <c r="I327" s="1240"/>
      <c r="J327" s="1240"/>
      <c r="K327" s="1240"/>
      <c r="L327" s="1240"/>
      <c r="M327" s="1240"/>
      <c r="N327" s="1242"/>
    </row>
    <row r="328" spans="1:14" x14ac:dyDescent="0.2">
      <c r="A328" s="1243"/>
      <c r="B328" s="250"/>
      <c r="C328" s="254"/>
      <c r="D328" s="250"/>
      <c r="E328" s="250"/>
      <c r="F328" s="250"/>
      <c r="G328" s="250"/>
      <c r="H328" s="250"/>
      <c r="I328" s="250"/>
      <c r="J328" s="250"/>
      <c r="K328" s="250"/>
      <c r="L328" s="250"/>
      <c r="M328" s="250"/>
      <c r="N328" s="1244"/>
    </row>
    <row r="329" spans="1:14" x14ac:dyDescent="0.2">
      <c r="A329" s="1243"/>
      <c r="B329" s="250"/>
      <c r="C329" s="254"/>
      <c r="D329" s="250"/>
      <c r="E329" s="250"/>
      <c r="F329" s="250"/>
      <c r="G329" s="250"/>
      <c r="H329" s="250"/>
      <c r="I329" s="250"/>
      <c r="J329" s="250"/>
      <c r="K329" s="250"/>
      <c r="L329" s="250"/>
      <c r="M329" s="250"/>
      <c r="N329" s="1244"/>
    </row>
    <row r="330" spans="1:14" x14ac:dyDescent="0.2">
      <c r="A330" s="1243"/>
      <c r="B330" s="250"/>
      <c r="C330" s="254"/>
      <c r="D330" s="250"/>
      <c r="E330" s="250"/>
      <c r="F330" s="250"/>
      <c r="G330" s="250"/>
      <c r="H330" s="250"/>
      <c r="I330" s="250"/>
      <c r="J330" s="250"/>
      <c r="K330" s="250"/>
      <c r="L330" s="250"/>
      <c r="M330" s="250"/>
      <c r="N330" s="1244"/>
    </row>
    <row r="331" spans="1:14" x14ac:dyDescent="0.2">
      <c r="A331" s="1243"/>
      <c r="B331" s="250"/>
      <c r="C331" s="254"/>
      <c r="D331" s="250"/>
      <c r="E331" s="250"/>
      <c r="F331" s="250"/>
      <c r="G331" s="250"/>
      <c r="H331" s="250"/>
      <c r="I331" s="250"/>
      <c r="J331" s="250"/>
      <c r="K331" s="250"/>
      <c r="L331" s="250"/>
      <c r="M331" s="250"/>
      <c r="N331" s="1244"/>
    </row>
    <row r="332" spans="1:14" x14ac:dyDescent="0.2">
      <c r="A332" s="1243"/>
      <c r="B332" s="250"/>
      <c r="C332" s="254"/>
      <c r="D332" s="250"/>
      <c r="E332" s="250"/>
      <c r="F332" s="250"/>
      <c r="G332" s="250"/>
      <c r="H332" s="250"/>
      <c r="I332" s="250"/>
      <c r="J332" s="250"/>
      <c r="K332" s="250"/>
      <c r="L332" s="250"/>
      <c r="M332" s="250"/>
      <c r="N332" s="1244"/>
    </row>
    <row r="333" spans="1:14" x14ac:dyDescent="0.2">
      <c r="A333" s="1243"/>
      <c r="B333" s="250"/>
      <c r="C333" s="254"/>
      <c r="D333" s="250"/>
      <c r="E333" s="250"/>
      <c r="F333" s="250"/>
      <c r="G333" s="250"/>
      <c r="H333" s="250"/>
      <c r="I333" s="250"/>
      <c r="J333" s="250"/>
      <c r="K333" s="250"/>
      <c r="L333" s="250"/>
      <c r="M333" s="250"/>
      <c r="N333" s="1244"/>
    </row>
    <row r="334" spans="1:14" x14ac:dyDescent="0.2">
      <c r="A334" s="1243"/>
      <c r="B334" s="250"/>
      <c r="C334" s="254"/>
      <c r="D334" s="250"/>
      <c r="E334" s="250"/>
      <c r="F334" s="250"/>
      <c r="G334" s="250"/>
      <c r="H334" s="250"/>
      <c r="I334" s="250"/>
      <c r="J334" s="250"/>
      <c r="K334" s="250"/>
      <c r="L334" s="250"/>
      <c r="M334" s="250"/>
      <c r="N334" s="1244"/>
    </row>
    <row r="335" spans="1:14" ht="13.5" thickBot="1" x14ac:dyDescent="0.25">
      <c r="A335" s="1245"/>
      <c r="B335" s="1246"/>
      <c r="C335" s="1247"/>
      <c r="D335" s="1246"/>
      <c r="E335" s="1246"/>
      <c r="F335" s="1246"/>
      <c r="G335" s="1246"/>
      <c r="H335" s="1246"/>
      <c r="I335" s="1246"/>
      <c r="J335" s="1246"/>
      <c r="K335" s="1246"/>
      <c r="L335" s="1246"/>
      <c r="M335" s="1246"/>
      <c r="N335" s="1248"/>
    </row>
    <row r="354" spans="1:14" ht="13.5" thickBot="1" x14ac:dyDescent="0.25"/>
    <row r="355" spans="1:14" x14ac:dyDescent="0.2">
      <c r="A355" s="1239"/>
      <c r="B355" s="1240"/>
      <c r="C355" s="1241"/>
      <c r="D355" s="1240"/>
      <c r="E355" s="1240"/>
      <c r="F355" s="1240"/>
      <c r="G355" s="1240"/>
      <c r="H355" s="1240"/>
      <c r="I355" s="1240"/>
      <c r="J355" s="1240"/>
      <c r="K355" s="1240"/>
      <c r="L355" s="1240"/>
      <c r="M355" s="1240"/>
      <c r="N355" s="1242"/>
    </row>
    <row r="356" spans="1:14" x14ac:dyDescent="0.2">
      <c r="A356" s="1243"/>
      <c r="B356" s="250"/>
      <c r="C356" s="254"/>
      <c r="D356" s="250"/>
      <c r="E356" s="250"/>
      <c r="F356" s="250"/>
      <c r="G356" s="250"/>
      <c r="H356" s="250"/>
      <c r="I356" s="250"/>
      <c r="J356" s="250"/>
      <c r="K356" s="250"/>
      <c r="L356" s="250"/>
      <c r="M356" s="250"/>
      <c r="N356" s="1244"/>
    </row>
    <row r="357" spans="1:14" x14ac:dyDescent="0.2">
      <c r="A357" s="1243"/>
      <c r="B357" s="250"/>
      <c r="C357" s="254"/>
      <c r="D357" s="250"/>
      <c r="E357" s="250"/>
      <c r="F357" s="250"/>
      <c r="G357" s="250"/>
      <c r="H357" s="250"/>
      <c r="I357" s="250"/>
      <c r="J357" s="250"/>
      <c r="K357" s="250"/>
      <c r="L357" s="250"/>
      <c r="M357" s="250"/>
      <c r="N357" s="1244"/>
    </row>
    <row r="358" spans="1:14" x14ac:dyDescent="0.2">
      <c r="A358" s="1243"/>
      <c r="B358" s="250"/>
      <c r="C358" s="254"/>
      <c r="D358" s="250"/>
      <c r="E358" s="250"/>
      <c r="F358" s="250"/>
      <c r="G358" s="250"/>
      <c r="H358" s="250"/>
      <c r="I358" s="250"/>
      <c r="J358" s="250"/>
      <c r="K358" s="250"/>
      <c r="L358" s="250"/>
      <c r="M358" s="250"/>
      <c r="N358" s="1244"/>
    </row>
    <row r="359" spans="1:14" x14ac:dyDescent="0.2">
      <c r="A359" s="1243"/>
      <c r="B359" s="250"/>
      <c r="C359" s="254"/>
      <c r="D359" s="250"/>
      <c r="E359" s="250"/>
      <c r="F359" s="250"/>
      <c r="G359" s="250"/>
      <c r="H359" s="250"/>
      <c r="I359" s="250"/>
      <c r="J359" s="250"/>
      <c r="K359" s="250"/>
      <c r="L359" s="250"/>
      <c r="M359" s="250"/>
      <c r="N359" s="1244"/>
    </row>
    <row r="360" spans="1:14" x14ac:dyDescent="0.2">
      <c r="A360" s="1243"/>
      <c r="B360" s="250"/>
      <c r="C360" s="254"/>
      <c r="D360" s="250"/>
      <c r="E360" s="250"/>
      <c r="F360" s="250"/>
      <c r="G360" s="250"/>
      <c r="H360" s="250"/>
      <c r="I360" s="250"/>
      <c r="J360" s="250"/>
      <c r="K360" s="250"/>
      <c r="L360" s="250"/>
      <c r="M360" s="250"/>
      <c r="N360" s="1244"/>
    </row>
    <row r="361" spans="1:14" x14ac:dyDescent="0.2">
      <c r="A361" s="1243"/>
      <c r="B361" s="250"/>
      <c r="C361" s="254"/>
      <c r="D361" s="250"/>
      <c r="E361" s="250"/>
      <c r="F361" s="250"/>
      <c r="G361" s="250"/>
      <c r="H361" s="250"/>
      <c r="I361" s="250"/>
      <c r="J361" s="250"/>
      <c r="K361" s="250"/>
      <c r="L361" s="250"/>
      <c r="M361" s="250"/>
      <c r="N361" s="1244"/>
    </row>
    <row r="362" spans="1:14" x14ac:dyDescent="0.2">
      <c r="A362" s="1243"/>
      <c r="B362" s="250"/>
      <c r="C362" s="254"/>
      <c r="D362" s="250"/>
      <c r="E362" s="250"/>
      <c r="F362" s="250"/>
      <c r="G362" s="250"/>
      <c r="H362" s="250"/>
      <c r="I362" s="250"/>
      <c r="J362" s="250"/>
      <c r="K362" s="250"/>
      <c r="L362" s="250"/>
      <c r="M362" s="250"/>
      <c r="N362" s="1244"/>
    </row>
    <row r="363" spans="1:14" ht="13.5" thickBot="1" x14ac:dyDescent="0.25">
      <c r="A363" s="1245"/>
      <c r="B363" s="1246"/>
      <c r="C363" s="1247"/>
      <c r="D363" s="1246"/>
      <c r="E363" s="1246"/>
      <c r="F363" s="1246"/>
      <c r="G363" s="1246"/>
      <c r="H363" s="1246"/>
      <c r="I363" s="1246"/>
      <c r="J363" s="1246"/>
      <c r="K363" s="1246"/>
      <c r="L363" s="1246"/>
      <c r="M363" s="1246"/>
      <c r="N363" s="1248"/>
    </row>
    <row r="372" spans="1:14" ht="13.5" thickBot="1" x14ac:dyDescent="0.25"/>
    <row r="373" spans="1:14" x14ac:dyDescent="0.2">
      <c r="A373" s="1239"/>
      <c r="B373" s="1240"/>
      <c r="C373" s="1241"/>
      <c r="D373" s="1240"/>
      <c r="E373" s="1240"/>
      <c r="F373" s="1240"/>
      <c r="G373" s="1240"/>
      <c r="H373" s="1240"/>
      <c r="I373" s="1240"/>
      <c r="J373" s="1240"/>
      <c r="K373" s="1240"/>
      <c r="L373" s="1240"/>
      <c r="M373" s="1240"/>
      <c r="N373" s="1242"/>
    </row>
    <row r="374" spans="1:14" x14ac:dyDescent="0.2">
      <c r="A374" s="1243"/>
      <c r="B374" s="250"/>
      <c r="C374" s="254"/>
      <c r="D374" s="250"/>
      <c r="E374" s="250"/>
      <c r="F374" s="250"/>
      <c r="G374" s="250"/>
      <c r="H374" s="250"/>
      <c r="I374" s="250"/>
      <c r="J374" s="250"/>
      <c r="K374" s="250"/>
      <c r="L374" s="250"/>
      <c r="M374" s="250"/>
      <c r="N374" s="1244"/>
    </row>
    <row r="375" spans="1:14" x14ac:dyDescent="0.2">
      <c r="A375" s="1243"/>
      <c r="B375" s="250"/>
      <c r="C375" s="254"/>
      <c r="D375" s="250"/>
      <c r="E375" s="250"/>
      <c r="F375" s="250"/>
      <c r="G375" s="250"/>
      <c r="H375" s="250"/>
      <c r="I375" s="250"/>
      <c r="J375" s="250"/>
      <c r="K375" s="250"/>
      <c r="L375" s="250"/>
      <c r="M375" s="250"/>
      <c r="N375" s="1244"/>
    </row>
    <row r="376" spans="1:14" x14ac:dyDescent="0.2">
      <c r="A376" s="1243"/>
      <c r="B376" s="250"/>
      <c r="C376" s="254"/>
      <c r="D376" s="250"/>
      <c r="E376" s="250"/>
      <c r="F376" s="250"/>
      <c r="G376" s="250"/>
      <c r="H376" s="250"/>
      <c r="I376" s="250"/>
      <c r="J376" s="250"/>
      <c r="K376" s="250"/>
      <c r="L376" s="250"/>
      <c r="M376" s="250"/>
      <c r="N376" s="1244"/>
    </row>
    <row r="377" spans="1:14" x14ac:dyDescent="0.2">
      <c r="A377" s="1243"/>
      <c r="B377" s="250"/>
      <c r="C377" s="254"/>
      <c r="D377" s="250"/>
      <c r="E377" s="250"/>
      <c r="F377" s="250"/>
      <c r="G377" s="250"/>
      <c r="H377" s="250"/>
      <c r="I377" s="250"/>
      <c r="J377" s="250"/>
      <c r="K377" s="250"/>
      <c r="L377" s="250"/>
      <c r="M377" s="250"/>
      <c r="N377" s="1244"/>
    </row>
    <row r="378" spans="1:14" x14ac:dyDescent="0.2">
      <c r="A378" s="1243"/>
      <c r="B378" s="250"/>
      <c r="C378" s="254"/>
      <c r="D378" s="250"/>
      <c r="E378" s="250"/>
      <c r="F378" s="250"/>
      <c r="G378" s="250"/>
      <c r="H378" s="250"/>
      <c r="I378" s="250"/>
      <c r="J378" s="250"/>
      <c r="K378" s="250"/>
      <c r="L378" s="250"/>
      <c r="M378" s="250"/>
      <c r="N378" s="1244"/>
    </row>
    <row r="379" spans="1:14" x14ac:dyDescent="0.2">
      <c r="A379" s="1243"/>
      <c r="B379" s="250"/>
      <c r="C379" s="254"/>
      <c r="D379" s="250"/>
      <c r="E379" s="250"/>
      <c r="F379" s="250"/>
      <c r="G379" s="250"/>
      <c r="H379" s="250"/>
      <c r="I379" s="250"/>
      <c r="J379" s="250"/>
      <c r="K379" s="250"/>
      <c r="L379" s="250"/>
      <c r="M379" s="250"/>
      <c r="N379" s="1244"/>
    </row>
    <row r="380" spans="1:14" x14ac:dyDescent="0.2">
      <c r="A380" s="1243"/>
      <c r="B380" s="250"/>
      <c r="C380" s="254"/>
      <c r="D380" s="250"/>
      <c r="E380" s="250"/>
      <c r="F380" s="250"/>
      <c r="G380" s="250"/>
      <c r="H380" s="250"/>
      <c r="I380" s="250"/>
      <c r="J380" s="250"/>
      <c r="K380" s="250"/>
      <c r="L380" s="250"/>
      <c r="M380" s="250"/>
      <c r="N380" s="1244"/>
    </row>
    <row r="381" spans="1:14" ht="13.5" thickBot="1" x14ac:dyDescent="0.25">
      <c r="A381" s="1245"/>
      <c r="B381" s="1246"/>
      <c r="C381" s="1247"/>
      <c r="D381" s="1246"/>
      <c r="E381" s="1246"/>
      <c r="F381" s="1246"/>
      <c r="G381" s="1246"/>
      <c r="H381" s="1246"/>
      <c r="I381" s="1246"/>
      <c r="J381" s="1246"/>
      <c r="K381" s="1246"/>
      <c r="L381" s="1246"/>
      <c r="M381" s="1246"/>
      <c r="N381" s="1248"/>
    </row>
    <row r="408" spans="1:14" ht="13.5" thickBot="1" x14ac:dyDescent="0.25"/>
    <row r="409" spans="1:14" x14ac:dyDescent="0.2">
      <c r="A409" s="1239"/>
      <c r="B409" s="1240"/>
      <c r="C409" s="1241"/>
      <c r="D409" s="1240"/>
      <c r="E409" s="1240"/>
      <c r="F409" s="1240"/>
      <c r="G409" s="1240"/>
      <c r="H409" s="1240"/>
      <c r="I409" s="1240"/>
      <c r="J409" s="1240"/>
      <c r="K409" s="1240"/>
      <c r="L409" s="1240"/>
      <c r="M409" s="1240"/>
      <c r="N409" s="1242"/>
    </row>
    <row r="410" spans="1:14" x14ac:dyDescent="0.2">
      <c r="A410" s="1243"/>
      <c r="B410" s="250"/>
      <c r="C410" s="254"/>
      <c r="D410" s="250"/>
      <c r="E410" s="250"/>
      <c r="F410" s="250"/>
      <c r="G410" s="250"/>
      <c r="H410" s="250"/>
      <c r="I410" s="250"/>
      <c r="J410" s="250"/>
      <c r="K410" s="250"/>
      <c r="L410" s="250"/>
      <c r="M410" s="250"/>
      <c r="N410" s="1244"/>
    </row>
    <row r="411" spans="1:14" x14ac:dyDescent="0.2">
      <c r="A411" s="1243"/>
      <c r="B411" s="250"/>
      <c r="C411" s="254"/>
      <c r="D411" s="250"/>
      <c r="E411" s="250"/>
      <c r="F411" s="250"/>
      <c r="G411" s="250"/>
      <c r="H411" s="250"/>
      <c r="I411" s="250"/>
      <c r="J411" s="250"/>
      <c r="K411" s="250"/>
      <c r="L411" s="250"/>
      <c r="M411" s="250"/>
      <c r="N411" s="1244"/>
    </row>
    <row r="412" spans="1:14" x14ac:dyDescent="0.2">
      <c r="A412" s="1243"/>
      <c r="B412" s="250"/>
      <c r="C412" s="254"/>
      <c r="D412" s="250"/>
      <c r="E412" s="250"/>
      <c r="F412" s="250"/>
      <c r="G412" s="250"/>
      <c r="H412" s="250"/>
      <c r="I412" s="250"/>
      <c r="J412" s="250"/>
      <c r="K412" s="250"/>
      <c r="L412" s="250"/>
      <c r="M412" s="250"/>
      <c r="N412" s="1244"/>
    </row>
    <row r="413" spans="1:14" x14ac:dyDescent="0.2">
      <c r="A413" s="1243"/>
      <c r="B413" s="250"/>
      <c r="C413" s="254"/>
      <c r="D413" s="250"/>
      <c r="E413" s="250"/>
      <c r="F413" s="250"/>
      <c r="G413" s="250"/>
      <c r="H413" s="250"/>
      <c r="I413" s="250"/>
      <c r="J413" s="250"/>
      <c r="K413" s="250"/>
      <c r="L413" s="250"/>
      <c r="M413" s="250"/>
      <c r="N413" s="1244"/>
    </row>
    <row r="414" spans="1:14" x14ac:dyDescent="0.2">
      <c r="A414" s="1243"/>
      <c r="B414" s="250"/>
      <c r="C414" s="254"/>
      <c r="D414" s="250"/>
      <c r="E414" s="250"/>
      <c r="F414" s="250"/>
      <c r="G414" s="250"/>
      <c r="H414" s="250"/>
      <c r="I414" s="250"/>
      <c r="J414" s="250"/>
      <c r="K414" s="250"/>
      <c r="L414" s="250"/>
      <c r="M414" s="250"/>
      <c r="N414" s="1244"/>
    </row>
    <row r="415" spans="1:14" x14ac:dyDescent="0.2">
      <c r="A415" s="1243"/>
      <c r="B415" s="250"/>
      <c r="C415" s="254"/>
      <c r="D415" s="250"/>
      <c r="E415" s="250"/>
      <c r="F415" s="250"/>
      <c r="G415" s="250"/>
      <c r="H415" s="250"/>
      <c r="I415" s="250"/>
      <c r="J415" s="250"/>
      <c r="K415" s="250"/>
      <c r="L415" s="250"/>
      <c r="M415" s="250"/>
      <c r="N415" s="1244"/>
    </row>
    <row r="416" spans="1:14" x14ac:dyDescent="0.2">
      <c r="A416" s="1243"/>
      <c r="B416" s="250"/>
      <c r="C416" s="254"/>
      <c r="D416" s="250"/>
      <c r="E416" s="250"/>
      <c r="F416" s="250"/>
      <c r="G416" s="250"/>
      <c r="H416" s="250"/>
      <c r="I416" s="250"/>
      <c r="J416" s="250"/>
      <c r="K416" s="250"/>
      <c r="L416" s="250"/>
      <c r="M416" s="250"/>
      <c r="N416" s="1244"/>
    </row>
    <row r="417" spans="1:14" x14ac:dyDescent="0.2">
      <c r="A417" s="1243"/>
      <c r="B417" s="250"/>
      <c r="C417" s="254"/>
      <c r="D417" s="250"/>
      <c r="E417" s="250"/>
      <c r="F417" s="250"/>
      <c r="G417" s="250"/>
      <c r="H417" s="250"/>
      <c r="I417" s="250"/>
      <c r="J417" s="250"/>
      <c r="K417" s="250"/>
      <c r="L417" s="250"/>
      <c r="M417" s="250"/>
      <c r="N417" s="1244"/>
    </row>
    <row r="418" spans="1:14" x14ac:dyDescent="0.2">
      <c r="A418" s="1243"/>
      <c r="B418" s="250"/>
      <c r="C418" s="254"/>
      <c r="D418" s="250"/>
      <c r="E418" s="250"/>
      <c r="F418" s="250"/>
      <c r="G418" s="250"/>
      <c r="H418" s="250"/>
      <c r="I418" s="250"/>
      <c r="J418" s="250"/>
      <c r="K418" s="250"/>
      <c r="L418" s="250"/>
      <c r="M418" s="250"/>
      <c r="N418" s="1244"/>
    </row>
    <row r="419" spans="1:14" x14ac:dyDescent="0.2">
      <c r="A419" s="1243"/>
      <c r="B419" s="250"/>
      <c r="C419" s="254"/>
      <c r="D419" s="250"/>
      <c r="E419" s="250"/>
      <c r="F419" s="250"/>
      <c r="G419" s="250"/>
      <c r="H419" s="250"/>
      <c r="I419" s="250"/>
      <c r="J419" s="250"/>
      <c r="K419" s="250"/>
      <c r="L419" s="250"/>
      <c r="M419" s="250"/>
      <c r="N419" s="1244"/>
    </row>
    <row r="420" spans="1:14" x14ac:dyDescent="0.2">
      <c r="A420" s="1243"/>
      <c r="B420" s="250"/>
      <c r="C420" s="254"/>
      <c r="D420" s="250"/>
      <c r="E420" s="250"/>
      <c r="F420" s="250"/>
      <c r="G420" s="250"/>
      <c r="H420" s="250"/>
      <c r="I420" s="250"/>
      <c r="J420" s="250"/>
      <c r="K420" s="250"/>
      <c r="L420" s="250"/>
      <c r="M420" s="250"/>
      <c r="N420" s="1244"/>
    </row>
    <row r="421" spans="1:14" x14ac:dyDescent="0.2">
      <c r="A421" s="1243"/>
      <c r="B421" s="250"/>
      <c r="C421" s="254"/>
      <c r="D421" s="250"/>
      <c r="E421" s="250"/>
      <c r="F421" s="250"/>
      <c r="G421" s="250"/>
      <c r="H421" s="250"/>
      <c r="I421" s="250"/>
      <c r="J421" s="250"/>
      <c r="K421" s="250"/>
      <c r="L421" s="250"/>
      <c r="M421" s="250"/>
      <c r="N421" s="1244"/>
    </row>
    <row r="422" spans="1:14" ht="13.5" thickBot="1" x14ac:dyDescent="0.25">
      <c r="A422" s="1245"/>
      <c r="B422" s="1246"/>
      <c r="C422" s="1247"/>
      <c r="D422" s="1246"/>
      <c r="E422" s="1246"/>
      <c r="F422" s="1246"/>
      <c r="G422" s="1246"/>
      <c r="H422" s="1246"/>
      <c r="I422" s="1246"/>
      <c r="J422" s="1246"/>
      <c r="K422" s="1246"/>
      <c r="L422" s="1246"/>
      <c r="M422" s="1246"/>
      <c r="N422" s="1248"/>
    </row>
    <row r="423" spans="1:14" x14ac:dyDescent="0.2">
      <c r="A423" s="1239"/>
      <c r="B423" s="1240"/>
      <c r="C423" s="1241"/>
      <c r="D423" s="1240"/>
      <c r="E423" s="1240"/>
      <c r="F423" s="1240"/>
      <c r="G423" s="1240"/>
      <c r="H423" s="1240"/>
      <c r="I423" s="1240"/>
      <c r="J423" s="1240"/>
      <c r="K423" s="1240"/>
      <c r="L423" s="1240"/>
      <c r="M423" s="1240"/>
      <c r="N423" s="1242"/>
    </row>
    <row r="424" spans="1:14" x14ac:dyDescent="0.2">
      <c r="A424" s="1243"/>
      <c r="B424" s="250"/>
      <c r="C424" s="254"/>
      <c r="D424" s="250"/>
      <c r="E424" s="250"/>
      <c r="F424" s="250"/>
      <c r="G424" s="250"/>
      <c r="H424" s="250"/>
      <c r="I424" s="250"/>
      <c r="J424" s="250"/>
      <c r="K424" s="250"/>
      <c r="L424" s="250"/>
      <c r="M424" s="250"/>
      <c r="N424" s="1244"/>
    </row>
    <row r="425" spans="1:14" x14ac:dyDescent="0.2">
      <c r="A425" s="1243"/>
      <c r="B425" s="250"/>
      <c r="C425" s="254"/>
      <c r="D425" s="250"/>
      <c r="E425" s="250"/>
      <c r="F425" s="250"/>
      <c r="G425" s="250"/>
      <c r="H425" s="250"/>
      <c r="I425" s="250"/>
      <c r="J425" s="250"/>
      <c r="K425" s="250"/>
      <c r="L425" s="250"/>
      <c r="M425" s="250"/>
      <c r="N425" s="1244"/>
    </row>
    <row r="426" spans="1:14" x14ac:dyDescent="0.2">
      <c r="A426" s="1243"/>
      <c r="B426" s="250"/>
      <c r="C426" s="254"/>
      <c r="D426" s="250"/>
      <c r="E426" s="250"/>
      <c r="F426" s="250"/>
      <c r="G426" s="250"/>
      <c r="H426" s="250"/>
      <c r="I426" s="250"/>
      <c r="J426" s="250"/>
      <c r="K426" s="250"/>
      <c r="L426" s="250"/>
      <c r="M426" s="250"/>
      <c r="N426" s="1244"/>
    </row>
    <row r="427" spans="1:14" x14ac:dyDescent="0.2">
      <c r="A427" s="1243"/>
      <c r="B427" s="250"/>
      <c r="C427" s="254"/>
      <c r="D427" s="250"/>
      <c r="E427" s="250"/>
      <c r="F427" s="250"/>
      <c r="G427" s="250"/>
      <c r="H427" s="250"/>
      <c r="I427" s="250"/>
      <c r="J427" s="250"/>
      <c r="K427" s="250"/>
      <c r="L427" s="250"/>
      <c r="M427" s="250"/>
      <c r="N427" s="1244"/>
    </row>
    <row r="428" spans="1:14" x14ac:dyDescent="0.2">
      <c r="A428" s="1243"/>
      <c r="B428" s="250"/>
      <c r="C428" s="254"/>
      <c r="D428" s="250"/>
      <c r="E428" s="250"/>
      <c r="F428" s="250"/>
      <c r="G428" s="250"/>
      <c r="H428" s="250"/>
      <c r="I428" s="250"/>
      <c r="J428" s="250"/>
      <c r="K428" s="250"/>
      <c r="L428" s="250"/>
      <c r="M428" s="250"/>
      <c r="N428" s="1244"/>
    </row>
    <row r="429" spans="1:14" x14ac:dyDescent="0.2">
      <c r="A429" s="1243"/>
      <c r="B429" s="250"/>
      <c r="C429" s="254"/>
      <c r="D429" s="250"/>
      <c r="E429" s="250"/>
      <c r="F429" s="250"/>
      <c r="G429" s="250"/>
      <c r="H429" s="250"/>
      <c r="I429" s="250"/>
      <c r="J429" s="250"/>
      <c r="K429" s="250"/>
      <c r="L429" s="250"/>
      <c r="M429" s="250"/>
      <c r="N429" s="1244"/>
    </row>
    <row r="430" spans="1:14" x14ac:dyDescent="0.2">
      <c r="A430" s="1243"/>
      <c r="B430" s="250"/>
      <c r="C430" s="254"/>
      <c r="D430" s="250"/>
      <c r="E430" s="250"/>
      <c r="F430" s="250"/>
      <c r="G430" s="250"/>
      <c r="H430" s="250"/>
      <c r="I430" s="250"/>
      <c r="J430" s="250"/>
      <c r="K430" s="250"/>
      <c r="L430" s="250"/>
      <c r="M430" s="250"/>
      <c r="N430" s="1244"/>
    </row>
    <row r="431" spans="1:14" x14ac:dyDescent="0.2">
      <c r="A431" s="1243"/>
      <c r="B431" s="250"/>
      <c r="C431" s="254"/>
      <c r="D431" s="250"/>
      <c r="E431" s="250"/>
      <c r="F431" s="250"/>
      <c r="G431" s="250"/>
      <c r="H431" s="250"/>
      <c r="I431" s="250"/>
      <c r="J431" s="250"/>
      <c r="K431" s="250"/>
      <c r="L431" s="250"/>
      <c r="M431" s="250"/>
      <c r="N431" s="1244"/>
    </row>
    <row r="432" spans="1:14" x14ac:dyDescent="0.2">
      <c r="A432" s="1243"/>
      <c r="B432" s="250"/>
      <c r="C432" s="254"/>
      <c r="D432" s="250"/>
      <c r="E432" s="250"/>
      <c r="F432" s="250"/>
      <c r="G432" s="250"/>
      <c r="H432" s="250"/>
      <c r="I432" s="250"/>
      <c r="J432" s="250"/>
      <c r="K432" s="250"/>
      <c r="L432" s="250"/>
      <c r="M432" s="250"/>
      <c r="N432" s="1244"/>
    </row>
    <row r="433" spans="1:14" x14ac:dyDescent="0.2">
      <c r="A433" s="1243"/>
      <c r="B433" s="250"/>
      <c r="C433" s="254"/>
      <c r="D433" s="250"/>
      <c r="E433" s="250"/>
      <c r="F433" s="250"/>
      <c r="G433" s="250"/>
      <c r="H433" s="250"/>
      <c r="I433" s="250"/>
      <c r="J433" s="250"/>
      <c r="K433" s="250"/>
      <c r="L433" s="250"/>
      <c r="M433" s="250"/>
      <c r="N433" s="1244"/>
    </row>
    <row r="434" spans="1:14" x14ac:dyDescent="0.2">
      <c r="A434" s="1243"/>
      <c r="B434" s="250"/>
      <c r="C434" s="254"/>
      <c r="D434" s="250"/>
      <c r="E434" s="250"/>
      <c r="F434" s="250"/>
      <c r="G434" s="250"/>
      <c r="H434" s="250"/>
      <c r="I434" s="250"/>
      <c r="J434" s="250"/>
      <c r="K434" s="250"/>
      <c r="L434" s="250"/>
      <c r="M434" s="250"/>
      <c r="N434" s="1244"/>
    </row>
    <row r="435" spans="1:14" x14ac:dyDescent="0.2">
      <c r="A435" s="1243"/>
      <c r="B435" s="250"/>
      <c r="C435" s="254"/>
      <c r="D435" s="250"/>
      <c r="E435" s="250"/>
      <c r="F435" s="250"/>
      <c r="G435" s="250"/>
      <c r="H435" s="250"/>
      <c r="I435" s="250"/>
      <c r="J435" s="250"/>
      <c r="K435" s="250"/>
      <c r="L435" s="250"/>
      <c r="M435" s="250"/>
      <c r="N435" s="1244"/>
    </row>
    <row r="436" spans="1:14" ht="13.5" thickBot="1" x14ac:dyDescent="0.25">
      <c r="A436" s="1245"/>
      <c r="B436" s="1246"/>
      <c r="C436" s="1247"/>
      <c r="D436" s="1246"/>
      <c r="E436" s="1246"/>
      <c r="F436" s="1246"/>
      <c r="G436" s="1246"/>
      <c r="H436" s="1246"/>
      <c r="I436" s="1246"/>
      <c r="J436" s="1246"/>
      <c r="K436" s="1246"/>
      <c r="L436" s="1246"/>
      <c r="M436" s="1246"/>
      <c r="N436" s="1248"/>
    </row>
    <row r="445" spans="1:14" ht="13.5" thickBot="1" x14ac:dyDescent="0.25"/>
    <row r="446" spans="1:14" x14ac:dyDescent="0.2">
      <c r="A446" s="1239"/>
      <c r="B446" s="1240"/>
      <c r="C446" s="1241"/>
      <c r="D446" s="1240"/>
      <c r="E446" s="1240"/>
      <c r="F446" s="1240"/>
      <c r="G446" s="1240"/>
      <c r="H446" s="1240"/>
      <c r="I446" s="1240"/>
      <c r="J446" s="1240"/>
      <c r="K446" s="1240"/>
      <c r="L446" s="1240"/>
      <c r="M446" s="1240"/>
      <c r="N446" s="1242"/>
    </row>
    <row r="447" spans="1:14" x14ac:dyDescent="0.2">
      <c r="A447" s="1243"/>
      <c r="B447" s="250"/>
      <c r="C447" s="254"/>
      <c r="D447" s="250"/>
      <c r="E447" s="250"/>
      <c r="F447" s="250"/>
      <c r="G447" s="250"/>
      <c r="H447" s="250"/>
      <c r="I447" s="250"/>
      <c r="J447" s="250"/>
      <c r="K447" s="250"/>
      <c r="L447" s="250"/>
      <c r="M447" s="250"/>
      <c r="N447" s="1244"/>
    </row>
    <row r="448" spans="1:14" x14ac:dyDescent="0.2">
      <c r="A448" s="1243"/>
      <c r="B448" s="250"/>
      <c r="C448" s="254"/>
      <c r="D448" s="250"/>
      <c r="E448" s="250"/>
      <c r="F448" s="250"/>
      <c r="G448" s="250"/>
      <c r="H448" s="250"/>
      <c r="I448" s="250"/>
      <c r="J448" s="250"/>
      <c r="K448" s="250"/>
      <c r="L448" s="250"/>
      <c r="M448" s="250"/>
      <c r="N448" s="1244"/>
    </row>
    <row r="449" spans="1:14" x14ac:dyDescent="0.2">
      <c r="A449" s="1243"/>
      <c r="B449" s="250"/>
      <c r="C449" s="254"/>
      <c r="D449" s="250"/>
      <c r="E449" s="250"/>
      <c r="F449" s="250"/>
      <c r="G449" s="250"/>
      <c r="H449" s="250"/>
      <c r="I449" s="250"/>
      <c r="J449" s="250"/>
      <c r="K449" s="250"/>
      <c r="L449" s="250"/>
      <c r="M449" s="250"/>
      <c r="N449" s="1244"/>
    </row>
    <row r="450" spans="1:14" x14ac:dyDescent="0.2">
      <c r="A450" s="1243"/>
      <c r="B450" s="250"/>
      <c r="C450" s="254"/>
      <c r="D450" s="250"/>
      <c r="E450" s="250"/>
      <c r="F450" s="250"/>
      <c r="G450" s="250"/>
      <c r="H450" s="250"/>
      <c r="I450" s="250"/>
      <c r="J450" s="250"/>
      <c r="K450" s="250"/>
      <c r="L450" s="250"/>
      <c r="M450" s="250"/>
      <c r="N450" s="1244"/>
    </row>
    <row r="451" spans="1:14" x14ac:dyDescent="0.2">
      <c r="A451" s="1243"/>
      <c r="B451" s="250"/>
      <c r="C451" s="254"/>
      <c r="D451" s="250"/>
      <c r="E451" s="250"/>
      <c r="F451" s="250"/>
      <c r="G451" s="250"/>
      <c r="H451" s="250"/>
      <c r="I451" s="250"/>
      <c r="J451" s="250"/>
      <c r="K451" s="250"/>
      <c r="L451" s="250"/>
      <c r="M451" s="250"/>
      <c r="N451" s="1244"/>
    </row>
    <row r="452" spans="1:14" x14ac:dyDescent="0.2">
      <c r="A452" s="1243"/>
      <c r="B452" s="250"/>
      <c r="C452" s="254"/>
      <c r="D452" s="250"/>
      <c r="E452" s="250"/>
      <c r="F452" s="250"/>
      <c r="G452" s="250"/>
      <c r="H452" s="250"/>
      <c r="I452" s="250"/>
      <c r="J452" s="250"/>
      <c r="K452" s="250"/>
      <c r="L452" s="250"/>
      <c r="M452" s="250"/>
      <c r="N452" s="1244"/>
    </row>
    <row r="453" spans="1:14" x14ac:dyDescent="0.2">
      <c r="A453" s="1243"/>
      <c r="B453" s="250"/>
      <c r="C453" s="254"/>
      <c r="D453" s="250"/>
      <c r="E453" s="250"/>
      <c r="F453" s="250"/>
      <c r="G453" s="250"/>
      <c r="H453" s="250"/>
      <c r="I453" s="250"/>
      <c r="J453" s="250"/>
      <c r="K453" s="250"/>
      <c r="L453" s="250"/>
      <c r="M453" s="250"/>
      <c r="N453" s="1244"/>
    </row>
    <row r="454" spans="1:14" ht="13.5" thickBot="1" x14ac:dyDescent="0.25">
      <c r="A454" s="1245"/>
      <c r="B454" s="1246"/>
      <c r="C454" s="1247"/>
      <c r="D454" s="1246"/>
      <c r="E454" s="1246"/>
      <c r="F454" s="1246"/>
      <c r="G454" s="1246"/>
      <c r="H454" s="1246"/>
      <c r="I454" s="1246"/>
      <c r="J454" s="1246"/>
      <c r="K454" s="1246"/>
      <c r="L454" s="1246"/>
      <c r="M454" s="1246"/>
      <c r="N454" s="1248"/>
    </row>
    <row r="495" spans="6:6" x14ac:dyDescent="0.2">
      <c r="F495" s="20">
        <v>415162</v>
      </c>
    </row>
    <row r="527" spans="1:14" ht="13.5" thickBot="1" x14ac:dyDescent="0.25"/>
    <row r="528" spans="1:14" x14ac:dyDescent="0.2">
      <c r="A528" s="1239"/>
      <c r="B528" s="1240"/>
      <c r="C528" s="1241"/>
      <c r="D528" s="1240"/>
      <c r="E528" s="1240"/>
      <c r="F528" s="1240"/>
      <c r="G528" s="1240"/>
      <c r="H528" s="1240"/>
      <c r="I528" s="1240"/>
      <c r="J528" s="1240"/>
      <c r="K528" s="1240"/>
      <c r="L528" s="1240"/>
      <c r="M528" s="1240"/>
      <c r="N528" s="1242"/>
    </row>
    <row r="529" spans="1:14" x14ac:dyDescent="0.2">
      <c r="A529" s="1243"/>
      <c r="B529" s="250"/>
      <c r="C529" s="254"/>
      <c r="D529" s="250"/>
      <c r="E529" s="250"/>
      <c r="F529" s="250"/>
      <c r="G529" s="250"/>
      <c r="H529" s="250"/>
      <c r="I529" s="250"/>
      <c r="J529" s="250"/>
      <c r="K529" s="250"/>
      <c r="L529" s="250"/>
      <c r="M529" s="250"/>
      <c r="N529" s="1244"/>
    </row>
    <row r="530" spans="1:14" x14ac:dyDescent="0.2">
      <c r="A530" s="1243"/>
      <c r="B530" s="250"/>
      <c r="C530" s="254"/>
      <c r="D530" s="250"/>
      <c r="E530" s="250"/>
      <c r="F530" s="250"/>
      <c r="G530" s="250"/>
      <c r="H530" s="250"/>
      <c r="I530" s="250"/>
      <c r="J530" s="250"/>
      <c r="K530" s="250"/>
      <c r="L530" s="250"/>
      <c r="M530" s="250"/>
      <c r="N530" s="1244"/>
    </row>
    <row r="531" spans="1:14" x14ac:dyDescent="0.2">
      <c r="A531" s="1243"/>
      <c r="B531" s="250"/>
      <c r="C531" s="254"/>
      <c r="D531" s="250"/>
      <c r="E531" s="250"/>
      <c r="F531" s="250"/>
      <c r="G531" s="250"/>
      <c r="H531" s="250"/>
      <c r="I531" s="250"/>
      <c r="J531" s="250"/>
      <c r="K531" s="250"/>
      <c r="L531" s="250"/>
      <c r="M531" s="250"/>
      <c r="N531" s="1244"/>
    </row>
    <row r="532" spans="1:14" x14ac:dyDescent="0.2">
      <c r="A532" s="1243"/>
      <c r="B532" s="250"/>
      <c r="C532" s="254"/>
      <c r="D532" s="250"/>
      <c r="E532" s="250"/>
      <c r="F532" s="250"/>
      <c r="G532" s="250"/>
      <c r="H532" s="250"/>
      <c r="I532" s="250"/>
      <c r="J532" s="250"/>
      <c r="K532" s="250"/>
      <c r="L532" s="250"/>
      <c r="M532" s="250"/>
      <c r="N532" s="1244"/>
    </row>
    <row r="533" spans="1:14" x14ac:dyDescent="0.2">
      <c r="A533" s="1243"/>
      <c r="B533" s="250"/>
      <c r="C533" s="254"/>
      <c r="D533" s="250"/>
      <c r="E533" s="250"/>
      <c r="F533" s="250"/>
      <c r="G533" s="250"/>
      <c r="H533" s="250"/>
      <c r="I533" s="250"/>
      <c r="J533" s="250"/>
      <c r="K533" s="250"/>
      <c r="L533" s="250"/>
      <c r="M533" s="250"/>
      <c r="N533" s="1244"/>
    </row>
    <row r="534" spans="1:14" x14ac:dyDescent="0.2">
      <c r="A534" s="1243"/>
      <c r="B534" s="250"/>
      <c r="C534" s="254"/>
      <c r="D534" s="250"/>
      <c r="E534" s="250"/>
      <c r="F534" s="250"/>
      <c r="G534" s="250"/>
      <c r="H534" s="250"/>
      <c r="I534" s="250"/>
      <c r="J534" s="250"/>
      <c r="K534" s="250"/>
      <c r="L534" s="250"/>
      <c r="M534" s="250"/>
      <c r="N534" s="1244"/>
    </row>
    <row r="535" spans="1:14" ht="13.5" thickBot="1" x14ac:dyDescent="0.25">
      <c r="A535" s="1245"/>
      <c r="B535" s="1246"/>
      <c r="C535" s="1247"/>
      <c r="D535" s="1246"/>
      <c r="E535" s="1246"/>
      <c r="F535" s="1246"/>
      <c r="G535" s="1246"/>
      <c r="H535" s="1246"/>
      <c r="I535" s="1246"/>
      <c r="J535" s="1246"/>
      <c r="K535" s="1246"/>
      <c r="L535" s="1246"/>
      <c r="M535" s="1246"/>
      <c r="N535" s="1248"/>
    </row>
    <row r="536" spans="1:14" x14ac:dyDescent="0.2">
      <c r="A536" s="1239"/>
      <c r="B536" s="1240"/>
      <c r="C536" s="1241"/>
      <c r="D536" s="1240"/>
      <c r="E536" s="1240"/>
      <c r="F536" s="1240"/>
      <c r="G536" s="1240"/>
      <c r="H536" s="1240"/>
      <c r="I536" s="1240"/>
      <c r="J536" s="1240"/>
      <c r="K536" s="1240"/>
      <c r="L536" s="1240"/>
      <c r="M536" s="1240"/>
      <c r="N536" s="1242"/>
    </row>
    <row r="537" spans="1:14" x14ac:dyDescent="0.2">
      <c r="A537" s="1243"/>
      <c r="B537" s="250"/>
      <c r="C537" s="254"/>
      <c r="D537" s="250"/>
      <c r="E537" s="250"/>
      <c r="F537" s="250"/>
      <c r="G537" s="250"/>
      <c r="H537" s="250"/>
      <c r="I537" s="250"/>
      <c r="J537" s="250"/>
      <c r="K537" s="250"/>
      <c r="L537" s="250"/>
      <c r="M537" s="250"/>
      <c r="N537" s="1244"/>
    </row>
    <row r="538" spans="1:14" x14ac:dyDescent="0.2">
      <c r="A538" s="1243"/>
      <c r="B538" s="250"/>
      <c r="C538" s="254"/>
      <c r="D538" s="250"/>
      <c r="E538" s="250"/>
      <c r="F538" s="250"/>
      <c r="G538" s="250"/>
      <c r="H538" s="250"/>
      <c r="I538" s="250"/>
      <c r="J538" s="250"/>
      <c r="K538" s="250"/>
      <c r="L538" s="250"/>
      <c r="M538" s="250"/>
      <c r="N538" s="1244"/>
    </row>
    <row r="539" spans="1:14" ht="13.5" thickBot="1" x14ac:dyDescent="0.25">
      <c r="A539" s="1245"/>
      <c r="B539" s="1246"/>
      <c r="C539" s="1247"/>
      <c r="D539" s="1246"/>
      <c r="E539" s="1246"/>
      <c r="F539" s="1246"/>
      <c r="G539" s="1246"/>
      <c r="H539" s="1246"/>
      <c r="I539" s="1246"/>
      <c r="J539" s="1246"/>
      <c r="K539" s="1246"/>
      <c r="L539" s="1246"/>
      <c r="M539" s="1246"/>
      <c r="N539" s="1248"/>
    </row>
  </sheetData>
  <mergeCells count="91">
    <mergeCell ref="A192:A203"/>
    <mergeCell ref="C194:C198"/>
    <mergeCell ref="C200:C203"/>
    <mergeCell ref="N192:N203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I4:M4"/>
    <mergeCell ref="N4:N7"/>
    <mergeCell ref="G5:H5"/>
    <mergeCell ref="G6:G7"/>
    <mergeCell ref="H6:H7"/>
    <mergeCell ref="C35:C36"/>
    <mergeCell ref="C39:C42"/>
    <mergeCell ref="C44:C47"/>
    <mergeCell ref="A37:A47"/>
    <mergeCell ref="N37:N47"/>
    <mergeCell ref="L44:L45"/>
    <mergeCell ref="A30:A36"/>
    <mergeCell ref="N30:N36"/>
    <mergeCell ref="C32:C33"/>
    <mergeCell ref="C19:C22"/>
    <mergeCell ref="A23:A29"/>
    <mergeCell ref="D23:H23"/>
    <mergeCell ref="N23:N29"/>
    <mergeCell ref="C25:C26"/>
    <mergeCell ref="C28:C29"/>
    <mergeCell ref="A144:A155"/>
    <mergeCell ref="N144:N155"/>
    <mergeCell ref="C146:C150"/>
    <mergeCell ref="C152:C155"/>
    <mergeCell ref="A96:A107"/>
    <mergeCell ref="N96:N107"/>
    <mergeCell ref="C98:C102"/>
    <mergeCell ref="C104:C107"/>
    <mergeCell ref="A120:A131"/>
    <mergeCell ref="N120:N131"/>
    <mergeCell ref="C122:C126"/>
    <mergeCell ref="C128:C131"/>
    <mergeCell ref="A180:A191"/>
    <mergeCell ref="N180:N191"/>
    <mergeCell ref="C182:C186"/>
    <mergeCell ref="C188:C191"/>
    <mergeCell ref="A132:A143"/>
    <mergeCell ref="N132:N143"/>
    <mergeCell ref="C134:C138"/>
    <mergeCell ref="C140:C143"/>
    <mergeCell ref="A156:A167"/>
    <mergeCell ref="N156:N167"/>
    <mergeCell ref="C158:C162"/>
    <mergeCell ref="C164:C167"/>
    <mergeCell ref="A168:A179"/>
    <mergeCell ref="N168:N179"/>
    <mergeCell ref="C170:C174"/>
    <mergeCell ref="C176:C179"/>
    <mergeCell ref="C80:C83"/>
    <mergeCell ref="A108:A119"/>
    <mergeCell ref="N108:N119"/>
    <mergeCell ref="C110:C114"/>
    <mergeCell ref="C116:C119"/>
    <mergeCell ref="A72:A83"/>
    <mergeCell ref="N72:N83"/>
    <mergeCell ref="C74:C78"/>
    <mergeCell ref="A84:A95"/>
    <mergeCell ref="N84:N95"/>
    <mergeCell ref="C86:C90"/>
    <mergeCell ref="C92:C95"/>
    <mergeCell ref="K1:L1"/>
    <mergeCell ref="A60:A71"/>
    <mergeCell ref="N60:N71"/>
    <mergeCell ref="C62:C66"/>
    <mergeCell ref="C68:C71"/>
    <mergeCell ref="A48:A59"/>
    <mergeCell ref="N48:N59"/>
    <mergeCell ref="C50:C54"/>
    <mergeCell ref="C56:C59"/>
    <mergeCell ref="M6:M7"/>
    <mergeCell ref="K5:M5"/>
    <mergeCell ref="J5:J7"/>
    <mergeCell ref="A8:B8"/>
    <mergeCell ref="A12:A22"/>
    <mergeCell ref="N12:N22"/>
    <mergeCell ref="C13:C17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299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95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G1810"/>
  <sheetViews>
    <sheetView showGridLines="0" view="pageBreakPreview" zoomScaleNormal="100" zoomScaleSheetLayoutView="85" workbookViewId="0">
      <pane xSplit="2" ySplit="7" topLeftCell="C8" activePane="bottomRight" state="frozen"/>
      <selection activeCell="A5" sqref="A5:N5"/>
      <selection pane="topRight" activeCell="A5" sqref="A5:N5"/>
      <selection pane="bottomLeft" activeCell="A5" sqref="A5:N5"/>
      <selection pane="bottomRight" activeCell="O1" sqref="O1"/>
    </sheetView>
  </sheetViews>
  <sheetFormatPr defaultRowHeight="12.75" x14ac:dyDescent="0.2"/>
  <cols>
    <col min="1" max="1" width="3.7109375" style="1579" customWidth="1"/>
    <col min="2" max="2" width="50.85546875" style="1250" customWidth="1"/>
    <col min="3" max="3" width="11" style="1251" customWidth="1"/>
    <col min="4" max="4" width="11.7109375" style="1250" customWidth="1"/>
    <col min="5" max="5" width="12.5703125" style="1250" hidden="1" customWidth="1"/>
    <col min="6" max="6" width="13.140625" style="1250" hidden="1" customWidth="1"/>
    <col min="7" max="7" width="12.28515625" style="1250" customWidth="1"/>
    <col min="8" max="8" width="13" style="1250" customWidth="1"/>
    <col min="9" max="9" width="12.140625" style="1252" customWidth="1"/>
    <col min="10" max="10" width="10.42578125" style="1252" customWidth="1"/>
    <col min="11" max="11" width="12" style="1252" customWidth="1"/>
    <col min="12" max="12" width="9.85546875" style="1252" customWidth="1"/>
    <col min="13" max="13" width="15.140625" style="1252" customWidth="1"/>
    <col min="14" max="14" width="13.85546875" style="1253" customWidth="1"/>
    <col min="15" max="24" width="9.140625" style="1254"/>
    <col min="25" max="25" width="8.5703125" style="1254" customWidth="1"/>
    <col min="26" max="37" width="9.140625" style="1254"/>
    <col min="38" max="38" width="8.7109375" style="1254" customWidth="1"/>
    <col min="39" max="48" width="9.140625" style="1254"/>
    <col min="49" max="49" width="4.28515625" style="1254" customWidth="1"/>
    <col min="50" max="59" width="9.140625" style="1254"/>
    <col min="60" max="60" width="5" style="1254" customWidth="1"/>
    <col min="61" max="70" width="9.140625" style="1254"/>
    <col min="71" max="71" width="3.85546875" style="1254" customWidth="1"/>
    <col min="72" max="83" width="9.140625" style="1254"/>
    <col min="84" max="84" width="5.28515625" style="1254" customWidth="1"/>
    <col min="85" max="96" width="9.140625" style="1254"/>
    <col min="97" max="97" width="1.5703125" style="1254" customWidth="1"/>
    <col min="98" max="110" width="9.140625" style="1254"/>
    <col min="111" max="111" width="0.7109375" style="1254" customWidth="1"/>
    <col min="112" max="123" width="9.140625" style="1254"/>
    <col min="124" max="124" width="8.28515625" style="1254" customWidth="1"/>
    <col min="125" max="133" width="9.140625" style="1254"/>
    <col min="134" max="134" width="0.28515625" style="1254" customWidth="1"/>
    <col min="135" max="160" width="9.140625" style="1254"/>
    <col min="161" max="161" width="0.7109375" style="1254" customWidth="1"/>
    <col min="162" max="16384" width="9.140625" style="1254"/>
  </cols>
  <sheetData>
    <row r="1" spans="1:59" ht="20.25" customHeight="1" x14ac:dyDescent="0.3">
      <c r="A1" s="1249"/>
      <c r="I1" s="43"/>
      <c r="J1" s="3337" t="s">
        <v>373</v>
      </c>
      <c r="K1" s="3337"/>
      <c r="L1" s="3337"/>
    </row>
    <row r="2" spans="1:59" ht="5.25" customHeight="1" thickBot="1" x14ac:dyDescent="0.25">
      <c r="A2" s="1249"/>
      <c r="B2" s="1252"/>
      <c r="C2" s="1255"/>
      <c r="D2" s="1252"/>
      <c r="E2" s="1252"/>
      <c r="F2" s="1252"/>
      <c r="G2" s="1252"/>
      <c r="H2" s="1252"/>
      <c r="I2" s="1256"/>
      <c r="N2" s="1078"/>
    </row>
    <row r="3" spans="1:59" s="1257" customFormat="1" ht="23.25" thickBot="1" x14ac:dyDescent="0.25">
      <c r="A3" s="3396" t="s">
        <v>219</v>
      </c>
      <c r="B3" s="3397"/>
      <c r="C3" s="3397"/>
      <c r="D3" s="3397"/>
      <c r="E3" s="3397"/>
      <c r="F3" s="3397"/>
      <c r="G3" s="3397"/>
      <c r="H3" s="3397"/>
      <c r="I3" s="3398"/>
      <c r="J3" s="3398"/>
      <c r="K3" s="3398"/>
      <c r="L3" s="3398"/>
      <c r="M3" s="3398"/>
      <c r="N3" s="3399"/>
    </row>
    <row r="4" spans="1:59" s="472" customFormat="1" ht="45.75" customHeight="1" x14ac:dyDescent="0.2">
      <c r="A4" s="3400" t="s">
        <v>24</v>
      </c>
      <c r="B4" s="3403" t="s">
        <v>25</v>
      </c>
      <c r="C4" s="3406" t="s">
        <v>26</v>
      </c>
      <c r="D4" s="3010" t="s">
        <v>381</v>
      </c>
      <c r="E4" s="3011"/>
      <c r="F4" s="3011"/>
      <c r="G4" s="3011"/>
      <c r="H4" s="3012"/>
      <c r="I4" s="3010" t="s">
        <v>314</v>
      </c>
      <c r="J4" s="3011"/>
      <c r="K4" s="3011"/>
      <c r="L4" s="3011"/>
      <c r="M4" s="3011"/>
      <c r="N4" s="3317" t="s">
        <v>27</v>
      </c>
    </row>
    <row r="5" spans="1:59" ht="26.25" customHeight="1" x14ac:dyDescent="0.2">
      <c r="A5" s="3401"/>
      <c r="B5" s="3404"/>
      <c r="C5" s="3407"/>
      <c r="D5" s="3013" t="s">
        <v>0</v>
      </c>
      <c r="E5" s="3042" t="s">
        <v>163</v>
      </c>
      <c r="F5" s="3045" t="s">
        <v>286</v>
      </c>
      <c r="G5" s="3032" t="s">
        <v>260</v>
      </c>
      <c r="H5" s="3033"/>
      <c r="I5" s="3005" t="s">
        <v>311</v>
      </c>
      <c r="J5" s="3282" t="s">
        <v>309</v>
      </c>
      <c r="K5" s="3040" t="s">
        <v>313</v>
      </c>
      <c r="L5" s="3041"/>
      <c r="M5" s="3041"/>
      <c r="N5" s="3318"/>
    </row>
    <row r="6" spans="1:59" ht="39" customHeight="1" x14ac:dyDescent="0.2">
      <c r="A6" s="3401"/>
      <c r="B6" s="3404"/>
      <c r="C6" s="3407"/>
      <c r="D6" s="3014"/>
      <c r="E6" s="3043"/>
      <c r="F6" s="3046"/>
      <c r="G6" s="3034" t="s">
        <v>380</v>
      </c>
      <c r="H6" s="3036" t="s">
        <v>344</v>
      </c>
      <c r="I6" s="3006"/>
      <c r="J6" s="3283"/>
      <c r="K6" s="2998" t="s">
        <v>312</v>
      </c>
      <c r="L6" s="3230" t="s">
        <v>310</v>
      </c>
      <c r="M6" s="3232" t="s">
        <v>315</v>
      </c>
      <c r="N6" s="3318"/>
    </row>
    <row r="7" spans="1:59" ht="72" customHeight="1" thickBot="1" x14ac:dyDescent="0.25">
      <c r="A7" s="3402"/>
      <c r="B7" s="3405"/>
      <c r="C7" s="3408"/>
      <c r="D7" s="3234"/>
      <c r="E7" s="3235"/>
      <c r="F7" s="3236"/>
      <c r="G7" s="3237"/>
      <c r="H7" s="3238"/>
      <c r="I7" s="3336"/>
      <c r="J7" s="3284"/>
      <c r="K7" s="3229"/>
      <c r="L7" s="3231"/>
      <c r="M7" s="3233"/>
      <c r="N7" s="3319"/>
    </row>
    <row r="8" spans="1:59" s="1258" customFormat="1" ht="12" customHeight="1" thickBot="1" x14ac:dyDescent="0.25">
      <c r="A8" s="3241">
        <v>1</v>
      </c>
      <c r="B8" s="3242"/>
      <c r="C8" s="260">
        <v>2</v>
      </c>
      <c r="D8" s="261">
        <v>3</v>
      </c>
      <c r="E8" s="262">
        <v>4</v>
      </c>
      <c r="F8" s="262">
        <v>5</v>
      </c>
      <c r="G8" s="262">
        <v>4</v>
      </c>
      <c r="H8" s="260">
        <v>5</v>
      </c>
      <c r="I8" s="261">
        <v>6</v>
      </c>
      <c r="J8" s="262">
        <v>7</v>
      </c>
      <c r="K8" s="262">
        <v>8</v>
      </c>
      <c r="L8" s="263">
        <v>9</v>
      </c>
      <c r="M8" s="263">
        <v>10</v>
      </c>
      <c r="N8" s="264">
        <v>11</v>
      </c>
    </row>
    <row r="9" spans="1:59" s="274" customFormat="1" ht="18" customHeight="1" thickBot="1" x14ac:dyDescent="0.25">
      <c r="A9" s="266"/>
      <c r="B9" s="267" t="s">
        <v>164</v>
      </c>
      <c r="C9" s="268"/>
      <c r="D9" s="50">
        <f t="shared" ref="D9" si="0">D10+D11</f>
        <v>110619119.0325</v>
      </c>
      <c r="E9" s="54">
        <f t="shared" ref="E9:H9" si="1">E10+E11</f>
        <v>33417665.032499999</v>
      </c>
      <c r="F9" s="1259">
        <f t="shared" si="1"/>
        <v>16713221</v>
      </c>
      <c r="G9" s="54">
        <f t="shared" si="1"/>
        <v>4654678</v>
      </c>
      <c r="H9" s="55">
        <f t="shared" si="1"/>
        <v>55833555</v>
      </c>
      <c r="I9" s="50">
        <f>I10+I11</f>
        <v>53446280.032499999</v>
      </c>
      <c r="J9" s="270">
        <f>+I9/D9*100</f>
        <v>48.315590017307436</v>
      </c>
      <c r="K9" s="51">
        <f>K10+K11</f>
        <v>7197588</v>
      </c>
      <c r="L9" s="270">
        <f>+K9/G9*100</f>
        <v>154.6312763202954</v>
      </c>
      <c r="M9" s="54">
        <f t="shared" ref="M9:M14" si="2">+K9-G9</f>
        <v>2542910</v>
      </c>
      <c r="N9" s="1260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</row>
    <row r="10" spans="1:59" s="285" customFormat="1" ht="14.25" customHeight="1" thickTop="1" x14ac:dyDescent="0.2">
      <c r="A10" s="275"/>
      <c r="B10" s="276" t="s">
        <v>165</v>
      </c>
      <c r="C10" s="277"/>
      <c r="D10" s="59">
        <f>+D67+D72+D76</f>
        <v>16060500</v>
      </c>
      <c r="E10" s="1261">
        <f>E67+E72+E76</f>
        <v>0</v>
      </c>
      <c r="F10" s="1261">
        <f>F67+F72+F76</f>
        <v>0</v>
      </c>
      <c r="G10" s="1261">
        <f>G67+G72+G76</f>
        <v>1339284</v>
      </c>
      <c r="H10" s="1261">
        <f>H67+H72+H76</f>
        <v>14721216</v>
      </c>
      <c r="I10" s="62">
        <f>I67+I72+I76</f>
        <v>0</v>
      </c>
      <c r="J10" s="936">
        <f>+I10/D10*100</f>
        <v>0</v>
      </c>
      <c r="K10" s="1262">
        <f>K67+K72+K76</f>
        <v>0</v>
      </c>
      <c r="L10" s="936">
        <f>+K10/G10*100</f>
        <v>0</v>
      </c>
      <c r="M10" s="279">
        <f t="shared" si="2"/>
        <v>-1339284</v>
      </c>
      <c r="N10" s="1263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</row>
    <row r="11" spans="1:59" s="274" customFormat="1" ht="14.25" customHeight="1" thickBot="1" x14ac:dyDescent="0.25">
      <c r="A11" s="286"/>
      <c r="B11" s="287" t="s">
        <v>166</v>
      </c>
      <c r="C11" s="288"/>
      <c r="D11" s="942">
        <f t="shared" ref="D11:I11" si="3">D31+D41+D54+D55+D56</f>
        <v>94558619.032499999</v>
      </c>
      <c r="E11" s="1264">
        <f t="shared" si="3"/>
        <v>33417665.032499999</v>
      </c>
      <c r="F11" s="1265">
        <f t="shared" si="3"/>
        <v>16713221</v>
      </c>
      <c r="G11" s="1264">
        <f t="shared" si="3"/>
        <v>3315394</v>
      </c>
      <c r="H11" s="1266">
        <f t="shared" si="3"/>
        <v>41112339</v>
      </c>
      <c r="I11" s="942">
        <f t="shared" si="3"/>
        <v>53446280.032499999</v>
      </c>
      <c r="J11" s="294">
        <f>+I11/D11*100</f>
        <v>56.521849176044334</v>
      </c>
      <c r="K11" s="1267">
        <f>K31+K41+K54+K55+K56+K42</f>
        <v>7197588</v>
      </c>
      <c r="L11" s="294">
        <f t="shared" ref="L11:L26" si="4">+K11/G11*100</f>
        <v>217.09600729204433</v>
      </c>
      <c r="M11" s="296">
        <f t="shared" si="2"/>
        <v>3882194</v>
      </c>
      <c r="N11" s="1260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</row>
    <row r="12" spans="1:59" s="1277" customFormat="1" ht="14.25" customHeight="1" x14ac:dyDescent="0.2">
      <c r="A12" s="3363"/>
      <c r="B12" s="1268" t="s">
        <v>2</v>
      </c>
      <c r="C12" s="1269"/>
      <c r="D12" s="1270">
        <f t="shared" ref="D12:I12" si="5">SUM(D13,D19)</f>
        <v>238595595.0325</v>
      </c>
      <c r="E12" s="1271">
        <f t="shared" si="5"/>
        <v>119085887.0325</v>
      </c>
      <c r="F12" s="1272">
        <f t="shared" si="5"/>
        <v>30364343</v>
      </c>
      <c r="G12" s="1273">
        <f t="shared" si="5"/>
        <v>8778374</v>
      </c>
      <c r="H12" s="1274">
        <f t="shared" si="5"/>
        <v>75445490</v>
      </c>
      <c r="I12" s="1275">
        <f t="shared" si="5"/>
        <v>137985080.0325</v>
      </c>
      <c r="J12" s="303">
        <f t="shared" ref="J12:J26" si="6">+I12/D12*100</f>
        <v>57.83219929676595</v>
      </c>
      <c r="K12" s="1276">
        <f>SUM(K13,K19)</f>
        <v>39884728</v>
      </c>
      <c r="L12" s="303">
        <f t="shared" si="4"/>
        <v>454.35211577907256</v>
      </c>
      <c r="M12" s="1271">
        <f t="shared" si="2"/>
        <v>31106354</v>
      </c>
      <c r="N12" s="3366"/>
    </row>
    <row r="13" spans="1:59" s="1284" customFormat="1" ht="14.25" customHeight="1" x14ac:dyDescent="0.2">
      <c r="A13" s="3364"/>
      <c r="B13" s="1278" t="s">
        <v>3</v>
      </c>
      <c r="C13" s="3369"/>
      <c r="D13" s="1279">
        <f>SUM(D14:D18)</f>
        <v>179215641.0325</v>
      </c>
      <c r="E13" s="1280">
        <f t="shared" ref="E13:I13" si="7">SUM(E14:E18)</f>
        <v>72494094.032499999</v>
      </c>
      <c r="F13" s="1280">
        <f t="shared" si="7"/>
        <v>19629478</v>
      </c>
      <c r="G13" s="1280">
        <f t="shared" si="7"/>
        <v>6725078</v>
      </c>
      <c r="H13" s="1281">
        <f t="shared" si="7"/>
        <v>75445490</v>
      </c>
      <c r="I13" s="1282">
        <f t="shared" si="7"/>
        <v>91063260.032499999</v>
      </c>
      <c r="J13" s="311">
        <f t="shared" si="6"/>
        <v>50.812116346466695</v>
      </c>
      <c r="K13" s="1283">
        <f>SUM(K14:K18)</f>
        <v>32204244</v>
      </c>
      <c r="L13" s="311">
        <f t="shared" si="4"/>
        <v>478.86796257232999</v>
      </c>
      <c r="M13" s="1280">
        <f t="shared" si="2"/>
        <v>25479166</v>
      </c>
      <c r="N13" s="3367"/>
    </row>
    <row r="14" spans="1:59" s="1284" customFormat="1" ht="14.25" customHeight="1" x14ac:dyDescent="0.2">
      <c r="A14" s="3364"/>
      <c r="B14" s="1285" t="s">
        <v>4</v>
      </c>
      <c r="C14" s="3370"/>
      <c r="D14" s="1286">
        <f>+D67+D72+D76</f>
        <v>16060500</v>
      </c>
      <c r="E14" s="1287">
        <f t="shared" ref="E14:I14" si="8">+E67+E72+E76</f>
        <v>0</v>
      </c>
      <c r="F14" s="1287">
        <f t="shared" si="8"/>
        <v>0</v>
      </c>
      <c r="G14" s="1287">
        <f t="shared" si="8"/>
        <v>1339284</v>
      </c>
      <c r="H14" s="1288">
        <f>+H67+H72+H76</f>
        <v>14721216</v>
      </c>
      <c r="I14" s="1289">
        <f t="shared" si="8"/>
        <v>0</v>
      </c>
      <c r="J14" s="320">
        <f t="shared" si="6"/>
        <v>0</v>
      </c>
      <c r="K14" s="1290">
        <f>+K67+K72+K76</f>
        <v>0</v>
      </c>
      <c r="L14" s="320">
        <f t="shared" si="4"/>
        <v>0</v>
      </c>
      <c r="M14" s="1290">
        <f t="shared" si="2"/>
        <v>-1339284</v>
      </c>
      <c r="N14" s="3367"/>
    </row>
    <row r="15" spans="1:59" s="1277" customFormat="1" ht="14.25" customHeight="1" x14ac:dyDescent="0.2">
      <c r="A15" s="3364"/>
      <c r="B15" s="1291" t="s">
        <v>6</v>
      </c>
      <c r="C15" s="3371"/>
      <c r="D15" s="1292">
        <f>SUM(D30,D40,D53,D66,D71)</f>
        <v>68596522</v>
      </c>
      <c r="E15" s="1293">
        <f>SUM(E30,E40,E53)</f>
        <v>39076429</v>
      </c>
      <c r="F15" s="1293">
        <f>SUM(F30,F40,F53,F66,F70)</f>
        <v>2916257</v>
      </c>
      <c r="G15" s="1293">
        <f t="shared" ref="G15:I16" si="9">SUM(G30,G40,G53)</f>
        <v>2070400</v>
      </c>
      <c r="H15" s="1294">
        <f t="shared" si="9"/>
        <v>19611935</v>
      </c>
      <c r="I15" s="1295">
        <f t="shared" si="9"/>
        <v>37616980</v>
      </c>
      <c r="J15" s="320">
        <f t="shared" si="6"/>
        <v>54.838028085447242</v>
      </c>
      <c r="K15" s="1296">
        <f>SUM(K30,K40,K53)</f>
        <v>25006656</v>
      </c>
      <c r="L15" s="320">
        <f t="shared" si="4"/>
        <v>1207.8176197836167</v>
      </c>
      <c r="M15" s="1297">
        <f t="shared" ref="M15:M18" si="10">+K15-G15</f>
        <v>22936256</v>
      </c>
      <c r="N15" s="3367"/>
    </row>
    <row r="16" spans="1:59" s="1277" customFormat="1" ht="12" customHeight="1" x14ac:dyDescent="0.2">
      <c r="A16" s="3364"/>
      <c r="B16" s="1298" t="s">
        <v>5</v>
      </c>
      <c r="C16" s="3371"/>
      <c r="D16" s="1299">
        <f>SUM(D31,D41,D54)</f>
        <v>53906619.032499999</v>
      </c>
      <c r="E16" s="1300">
        <f>SUM(E31,E41,E54)</f>
        <v>23207665.032499999</v>
      </c>
      <c r="F16" s="1300">
        <f>SUM(F31,F41,F54)</f>
        <v>12803266</v>
      </c>
      <c r="G16" s="1300">
        <f t="shared" si="9"/>
        <v>2792250</v>
      </c>
      <c r="H16" s="1301">
        <f t="shared" si="9"/>
        <v>15103438</v>
      </c>
      <c r="I16" s="1302">
        <f t="shared" si="9"/>
        <v>38803181.032499999</v>
      </c>
      <c r="J16" s="1303">
        <f t="shared" si="6"/>
        <v>71.982219862658752</v>
      </c>
      <c r="K16" s="1304">
        <f>SUM(K31,K41,K54)</f>
        <v>2792250</v>
      </c>
      <c r="L16" s="1303">
        <f t="shared" si="4"/>
        <v>100</v>
      </c>
      <c r="M16" s="1297">
        <f t="shared" si="10"/>
        <v>0</v>
      </c>
      <c r="N16" s="3367"/>
    </row>
    <row r="17" spans="1:14" s="1277" customFormat="1" ht="14.25" customHeight="1" x14ac:dyDescent="0.2">
      <c r="A17" s="3364"/>
      <c r="B17" s="1305" t="s">
        <v>7</v>
      </c>
      <c r="C17" s="3371"/>
      <c r="D17" s="1299">
        <f t="shared" ref="D17:H18" si="11">D55</f>
        <v>32452000</v>
      </c>
      <c r="E17" s="1306">
        <f t="shared" si="11"/>
        <v>8065000</v>
      </c>
      <c r="F17" s="1306">
        <f t="shared" si="11"/>
        <v>1854955</v>
      </c>
      <c r="G17" s="1306">
        <f t="shared" si="11"/>
        <v>0</v>
      </c>
      <c r="H17" s="1301">
        <f t="shared" si="11"/>
        <v>22532045</v>
      </c>
      <c r="I17" s="1307">
        <f>I55</f>
        <v>9919955</v>
      </c>
      <c r="J17" s="1308">
        <f t="shared" si="6"/>
        <v>30.568085171946258</v>
      </c>
      <c r="K17" s="1309">
        <f>+K42</f>
        <v>3882194</v>
      </c>
      <c r="L17" s="1308">
        <v>0</v>
      </c>
      <c r="M17" s="1297">
        <f t="shared" si="10"/>
        <v>3882194</v>
      </c>
      <c r="N17" s="3367"/>
    </row>
    <row r="18" spans="1:14" s="1277" customFormat="1" ht="11.25" customHeight="1" x14ac:dyDescent="0.2">
      <c r="A18" s="3364"/>
      <c r="B18" s="1305" t="s">
        <v>123</v>
      </c>
      <c r="C18" s="3371"/>
      <c r="D18" s="1299">
        <f t="shared" si="11"/>
        <v>8200000</v>
      </c>
      <c r="E18" s="1306">
        <f t="shared" si="11"/>
        <v>2145000</v>
      </c>
      <c r="F18" s="1306">
        <f t="shared" si="11"/>
        <v>2055000</v>
      </c>
      <c r="G18" s="1293">
        <f t="shared" si="11"/>
        <v>523144</v>
      </c>
      <c r="H18" s="1301">
        <f t="shared" si="11"/>
        <v>3476856</v>
      </c>
      <c r="I18" s="1307">
        <f>I56</f>
        <v>4723144</v>
      </c>
      <c r="J18" s="1308">
        <f t="shared" si="6"/>
        <v>57.599317073170731</v>
      </c>
      <c r="K18" s="1296">
        <f>K56</f>
        <v>523144</v>
      </c>
      <c r="L18" s="1308">
        <f t="shared" si="4"/>
        <v>100</v>
      </c>
      <c r="M18" s="1297">
        <f t="shared" si="10"/>
        <v>0</v>
      </c>
      <c r="N18" s="3367"/>
    </row>
    <row r="19" spans="1:14" s="1284" customFormat="1" ht="12.75" customHeight="1" x14ac:dyDescent="0.2">
      <c r="A19" s="3364"/>
      <c r="B19" s="1278" t="s">
        <v>12</v>
      </c>
      <c r="C19" s="3371"/>
      <c r="D19" s="1310">
        <f t="shared" ref="D19:K19" si="12">SUM(D20:D20)</f>
        <v>59379954</v>
      </c>
      <c r="E19" s="1280">
        <f t="shared" si="12"/>
        <v>46591793</v>
      </c>
      <c r="F19" s="1280">
        <f t="shared" si="12"/>
        <v>10734865</v>
      </c>
      <c r="G19" s="1280">
        <f t="shared" si="12"/>
        <v>2053296</v>
      </c>
      <c r="H19" s="1311">
        <f t="shared" si="12"/>
        <v>0</v>
      </c>
      <c r="I19" s="1282">
        <f t="shared" si="12"/>
        <v>46921820</v>
      </c>
      <c r="J19" s="1312">
        <f t="shared" si="6"/>
        <v>79.019630092674035</v>
      </c>
      <c r="K19" s="1283">
        <f t="shared" si="12"/>
        <v>7680484</v>
      </c>
      <c r="L19" s="1312">
        <f t="shared" si="4"/>
        <v>374.0563464790269</v>
      </c>
      <c r="M19" s="1280">
        <f t="shared" ref="M19:M26" si="13">+K19-G19</f>
        <v>5627188</v>
      </c>
      <c r="N19" s="3367"/>
    </row>
    <row r="20" spans="1:14" s="1277" customFormat="1" ht="12" customHeight="1" x14ac:dyDescent="0.2">
      <c r="A20" s="3364"/>
      <c r="B20" s="1313" t="s">
        <v>15</v>
      </c>
      <c r="C20" s="3372"/>
      <c r="D20" s="1299">
        <f t="shared" ref="D20:I20" si="14">SUM(D33,D44,D58)</f>
        <v>59379954</v>
      </c>
      <c r="E20" s="1300">
        <f t="shared" si="14"/>
        <v>46591793</v>
      </c>
      <c r="F20" s="1300">
        <f t="shared" si="14"/>
        <v>10734865</v>
      </c>
      <c r="G20" s="1300">
        <f t="shared" si="14"/>
        <v>2053296</v>
      </c>
      <c r="H20" s="1301">
        <f t="shared" si="14"/>
        <v>0</v>
      </c>
      <c r="I20" s="1302">
        <f t="shared" si="14"/>
        <v>46921820</v>
      </c>
      <c r="J20" s="1308">
        <f t="shared" si="6"/>
        <v>79.019630092674035</v>
      </c>
      <c r="K20" s="1304">
        <f>SUM(K33,K44,K58)</f>
        <v>7680484</v>
      </c>
      <c r="L20" s="1308">
        <f t="shared" si="4"/>
        <v>374.0563464790269</v>
      </c>
      <c r="M20" s="1309">
        <f t="shared" si="13"/>
        <v>5627188</v>
      </c>
      <c r="N20" s="3367"/>
    </row>
    <row r="21" spans="1:14" s="1277" customFormat="1" ht="12.75" customHeight="1" x14ac:dyDescent="0.2">
      <c r="A21" s="3364"/>
      <c r="B21" s="334" t="s">
        <v>16</v>
      </c>
      <c r="C21" s="655"/>
      <c r="D21" s="1314">
        <f t="shared" ref="D21:I21" si="15">+D22+D25</f>
        <v>100031954</v>
      </c>
      <c r="E21" s="1315">
        <f>+E22+E25</f>
        <v>56801793</v>
      </c>
      <c r="F21" s="1315">
        <f>+F22+F25</f>
        <v>14644820</v>
      </c>
      <c r="G21" s="1316">
        <f>+G22+G25</f>
        <v>2576440</v>
      </c>
      <c r="H21" s="1317">
        <f>+H22+H25</f>
        <v>26008901</v>
      </c>
      <c r="I21" s="1318">
        <f t="shared" si="15"/>
        <v>61564919</v>
      </c>
      <c r="J21" s="1319">
        <f t="shared" si="6"/>
        <v>61.545252829910737</v>
      </c>
      <c r="K21" s="1320">
        <f>+K22+K25</f>
        <v>12085822</v>
      </c>
      <c r="L21" s="1319">
        <f t="shared" si="4"/>
        <v>469.08998462995453</v>
      </c>
      <c r="M21" s="1321">
        <f t="shared" si="13"/>
        <v>9509382</v>
      </c>
      <c r="N21" s="3367"/>
    </row>
    <row r="22" spans="1:14" s="1284" customFormat="1" ht="12.75" customHeight="1" x14ac:dyDescent="0.2">
      <c r="A22" s="3364"/>
      <c r="B22" s="1322" t="s">
        <v>3</v>
      </c>
      <c r="C22" s="3373"/>
      <c r="D22" s="1323">
        <f t="shared" ref="D22:I22" si="16">+D23+D24</f>
        <v>40652000</v>
      </c>
      <c r="E22" s="1324">
        <f>+E23+E24</f>
        <v>10210000</v>
      </c>
      <c r="F22" s="1324">
        <f>+F23+F24</f>
        <v>3909955</v>
      </c>
      <c r="G22" s="1324">
        <f>+G23+G24</f>
        <v>523144</v>
      </c>
      <c r="H22" s="1325">
        <f>+H23+H24</f>
        <v>26008901</v>
      </c>
      <c r="I22" s="1326">
        <f t="shared" si="16"/>
        <v>14643099</v>
      </c>
      <c r="J22" s="1327">
        <f t="shared" si="6"/>
        <v>36.020611532027949</v>
      </c>
      <c r="K22" s="1328">
        <f>+K23+K24</f>
        <v>4405338</v>
      </c>
      <c r="L22" s="1327">
        <f t="shared" si="4"/>
        <v>842.08898505956302</v>
      </c>
      <c r="M22" s="1280">
        <f t="shared" si="13"/>
        <v>3882194</v>
      </c>
      <c r="N22" s="3367"/>
    </row>
    <row r="23" spans="1:14" s="1277" customFormat="1" ht="12" customHeight="1" x14ac:dyDescent="0.2">
      <c r="A23" s="3364"/>
      <c r="B23" s="1329" t="s">
        <v>7</v>
      </c>
      <c r="C23" s="3374"/>
      <c r="D23" s="1330">
        <f>D61</f>
        <v>32452000</v>
      </c>
      <c r="E23" s="1331">
        <f t="shared" ref="E23:H24" si="17">E61</f>
        <v>8065000</v>
      </c>
      <c r="F23" s="1331">
        <f t="shared" si="17"/>
        <v>1854955</v>
      </c>
      <c r="G23" s="1332">
        <f t="shared" si="17"/>
        <v>0</v>
      </c>
      <c r="H23" s="1333">
        <f>H61</f>
        <v>22532045</v>
      </c>
      <c r="I23" s="1334">
        <f>I61</f>
        <v>9919955</v>
      </c>
      <c r="J23" s="1335">
        <f t="shared" si="6"/>
        <v>30.568085171946258</v>
      </c>
      <c r="K23" s="1336">
        <f>+K47</f>
        <v>3882194</v>
      </c>
      <c r="L23" s="1335">
        <v>0</v>
      </c>
      <c r="M23" s="1331">
        <f t="shared" si="13"/>
        <v>3882194</v>
      </c>
      <c r="N23" s="3367"/>
    </row>
    <row r="24" spans="1:14" s="1277" customFormat="1" x14ac:dyDescent="0.2">
      <c r="A24" s="3364"/>
      <c r="B24" s="1337" t="s">
        <v>123</v>
      </c>
      <c r="C24" s="3374"/>
      <c r="D24" s="1338">
        <f>D62</f>
        <v>8200000</v>
      </c>
      <c r="E24" s="1331">
        <f t="shared" si="17"/>
        <v>2145000</v>
      </c>
      <c r="F24" s="1331">
        <f t="shared" si="17"/>
        <v>2055000</v>
      </c>
      <c r="G24" s="1339">
        <f t="shared" si="17"/>
        <v>523144</v>
      </c>
      <c r="H24" s="1340">
        <f t="shared" si="17"/>
        <v>3476856</v>
      </c>
      <c r="I24" s="1341">
        <f>I62</f>
        <v>4723144</v>
      </c>
      <c r="J24" s="1335">
        <f t="shared" si="6"/>
        <v>57.599317073170731</v>
      </c>
      <c r="K24" s="1342">
        <f>K62</f>
        <v>523144</v>
      </c>
      <c r="L24" s="1335">
        <f t="shared" si="4"/>
        <v>100</v>
      </c>
      <c r="M24" s="1331">
        <f t="shared" si="13"/>
        <v>0</v>
      </c>
      <c r="N24" s="3367"/>
    </row>
    <row r="25" spans="1:14" s="1277" customFormat="1" x14ac:dyDescent="0.2">
      <c r="A25" s="3364"/>
      <c r="B25" s="1322" t="s">
        <v>12</v>
      </c>
      <c r="C25" s="3374"/>
      <c r="D25" s="1343">
        <f t="shared" ref="D25:K25" si="18">+D26</f>
        <v>59379954</v>
      </c>
      <c r="E25" s="1344">
        <f t="shared" si="18"/>
        <v>46591793</v>
      </c>
      <c r="F25" s="1344">
        <f t="shared" si="18"/>
        <v>10734865</v>
      </c>
      <c r="G25" s="1344">
        <f t="shared" si="18"/>
        <v>2053296</v>
      </c>
      <c r="H25" s="1345">
        <f t="shared" si="18"/>
        <v>0</v>
      </c>
      <c r="I25" s="1346">
        <f t="shared" si="18"/>
        <v>46921820</v>
      </c>
      <c r="J25" s="1347">
        <f t="shared" si="6"/>
        <v>79.019630092674035</v>
      </c>
      <c r="K25" s="1348">
        <f t="shared" si="18"/>
        <v>7680484</v>
      </c>
      <c r="L25" s="1347">
        <f t="shared" si="4"/>
        <v>374.0563464790269</v>
      </c>
      <c r="M25" s="1344">
        <f t="shared" si="13"/>
        <v>5627188</v>
      </c>
      <c r="N25" s="3367"/>
    </row>
    <row r="26" spans="1:14" s="1277" customFormat="1" ht="14.25" customHeight="1" thickBot="1" x14ac:dyDescent="0.25">
      <c r="A26" s="3365"/>
      <c r="B26" s="1349" t="s">
        <v>15</v>
      </c>
      <c r="C26" s="3375"/>
      <c r="D26" s="1350">
        <f t="shared" ref="D26:I26" si="19">D36+D49</f>
        <v>59379954</v>
      </c>
      <c r="E26" s="1351">
        <f t="shared" si="19"/>
        <v>46591793</v>
      </c>
      <c r="F26" s="1351">
        <f t="shared" si="19"/>
        <v>10734865</v>
      </c>
      <c r="G26" s="1351">
        <f t="shared" si="19"/>
        <v>2053296</v>
      </c>
      <c r="H26" s="1352">
        <f t="shared" si="19"/>
        <v>0</v>
      </c>
      <c r="I26" s="1353">
        <f t="shared" si="19"/>
        <v>46921820</v>
      </c>
      <c r="J26" s="1354">
        <f t="shared" si="6"/>
        <v>79.019630092674035</v>
      </c>
      <c r="K26" s="1355">
        <f>K36+K49</f>
        <v>7680484</v>
      </c>
      <c r="L26" s="1354">
        <f t="shared" si="4"/>
        <v>374.0563464790269</v>
      </c>
      <c r="M26" s="1356">
        <f t="shared" si="13"/>
        <v>5627188</v>
      </c>
      <c r="N26" s="3368"/>
    </row>
    <row r="27" spans="1:14" s="1364" customFormat="1" ht="39" customHeight="1" thickBot="1" x14ac:dyDescent="0.25">
      <c r="A27" s="3376" t="s">
        <v>32</v>
      </c>
      <c r="B27" s="1357" t="s">
        <v>124</v>
      </c>
      <c r="C27" s="1358" t="s">
        <v>168</v>
      </c>
      <c r="D27" s="1359"/>
      <c r="E27" s="1360"/>
      <c r="F27" s="1360"/>
      <c r="G27" s="1360"/>
      <c r="H27" s="1361"/>
      <c r="I27" s="1359"/>
      <c r="J27" s="1362"/>
      <c r="K27" s="1360"/>
      <c r="L27" s="1362"/>
      <c r="M27" s="1363"/>
      <c r="N27" s="3377" t="s">
        <v>125</v>
      </c>
    </row>
    <row r="28" spans="1:14" s="1371" customFormat="1" ht="12.75" customHeight="1" thickBot="1" x14ac:dyDescent="0.25">
      <c r="A28" s="3376"/>
      <c r="B28" s="566" t="s">
        <v>2</v>
      </c>
      <c r="C28" s="1365"/>
      <c r="D28" s="1366">
        <f t="shared" ref="D28" si="20">+D29+D32</f>
        <v>47780648.032499999</v>
      </c>
      <c r="E28" s="1367">
        <f>+E29+E32</f>
        <v>24578359.032499999</v>
      </c>
      <c r="F28" s="1367">
        <f>+F29+F32</f>
        <v>17967040</v>
      </c>
      <c r="G28" s="1367">
        <f>+G29+G32</f>
        <v>5235249</v>
      </c>
      <c r="H28" s="1368">
        <f>+H29+H32</f>
        <v>0</v>
      </c>
      <c r="I28" s="1366">
        <f>+I29+I32</f>
        <v>40022861.032499999</v>
      </c>
      <c r="J28" s="1369">
        <f t="shared" ref="J28:J36" si="21">+I28/D28*100</f>
        <v>83.763746789865181</v>
      </c>
      <c r="K28" s="1367">
        <f>+K29+K32</f>
        <v>9530041</v>
      </c>
      <c r="L28" s="1369">
        <f t="shared" ref="L28:L36" si="22">+K28/G28*100</f>
        <v>182.03605979390855</v>
      </c>
      <c r="M28" s="1370">
        <f t="shared" ref="M28:M36" si="23">+K28-G28</f>
        <v>4294792</v>
      </c>
      <c r="N28" s="3377"/>
    </row>
    <row r="29" spans="1:14" s="1371" customFormat="1" ht="12.75" customHeight="1" thickBot="1" x14ac:dyDescent="0.25">
      <c r="A29" s="3376"/>
      <c r="B29" s="569" t="s">
        <v>17</v>
      </c>
      <c r="C29" s="3395" t="s">
        <v>126</v>
      </c>
      <c r="D29" s="1372">
        <f t="shared" ref="D29:H29" si="24">+D30+D31</f>
        <v>21515262.032499999</v>
      </c>
      <c r="E29" s="1373">
        <f t="shared" si="24"/>
        <v>11067449.032499999</v>
      </c>
      <c r="F29" s="1373">
        <f t="shared" si="24"/>
        <v>7265860</v>
      </c>
      <c r="G29" s="1373">
        <f t="shared" si="24"/>
        <v>3181953</v>
      </c>
      <c r="H29" s="576">
        <f t="shared" si="24"/>
        <v>0</v>
      </c>
      <c r="I29" s="1374">
        <f>SUM(I30:I31)</f>
        <v>16878621.032499999</v>
      </c>
      <c r="J29" s="1375">
        <f t="shared" si="21"/>
        <v>78.449525769213977</v>
      </c>
      <c r="K29" s="1373">
        <f>+K30+K31</f>
        <v>1849557</v>
      </c>
      <c r="L29" s="1375">
        <f t="shared" si="22"/>
        <v>58.126471384083921</v>
      </c>
      <c r="M29" s="1376">
        <f t="shared" si="23"/>
        <v>-1332396</v>
      </c>
      <c r="N29" s="3378"/>
    </row>
    <row r="30" spans="1:14" s="1371" customFormat="1" ht="12.75" customHeight="1" thickBot="1" x14ac:dyDescent="0.25">
      <c r="A30" s="3376"/>
      <c r="B30" s="1377" t="s">
        <v>127</v>
      </c>
      <c r="C30" s="3171"/>
      <c r="D30" s="1378">
        <f>+E30+F30+G30+H30</f>
        <v>8054143</v>
      </c>
      <c r="E30" s="1379">
        <f>1028059+100000+3639753</f>
        <v>4767812</v>
      </c>
      <c r="F30" s="1379">
        <v>1953935</v>
      </c>
      <c r="G30" s="1380">
        <v>1332396</v>
      </c>
      <c r="H30" s="1381">
        <v>0</v>
      </c>
      <c r="I30" s="1378">
        <v>3417502</v>
      </c>
      <c r="J30" s="1382">
        <f t="shared" si="21"/>
        <v>42.431603213402099</v>
      </c>
      <c r="K30" s="1379">
        <v>0</v>
      </c>
      <c r="L30" s="1382">
        <f t="shared" si="22"/>
        <v>0</v>
      </c>
      <c r="M30" s="1380">
        <f t="shared" si="23"/>
        <v>-1332396</v>
      </c>
      <c r="N30" s="3378"/>
    </row>
    <row r="31" spans="1:14" s="1371" customFormat="1" ht="12.75" customHeight="1" thickBot="1" x14ac:dyDescent="0.25">
      <c r="A31" s="3376"/>
      <c r="B31" s="1383" t="s">
        <v>5</v>
      </c>
      <c r="C31" s="3171"/>
      <c r="D31" s="1378">
        <f>+E31+F31+G31+H31</f>
        <v>13461119.032499999</v>
      </c>
      <c r="E31" s="1379">
        <f>675000.03+1795097.0025+3829540</f>
        <v>6299637.0324999997</v>
      </c>
      <c r="F31" s="1379">
        <v>5311925</v>
      </c>
      <c r="G31" s="1379">
        <v>1849557</v>
      </c>
      <c r="H31" s="1384">
        <v>0</v>
      </c>
      <c r="I31" s="1378">
        <f>+K31+F31+E31</f>
        <v>13461119.032499999</v>
      </c>
      <c r="J31" s="1382">
        <f t="shared" si="21"/>
        <v>100</v>
      </c>
      <c r="K31" s="1379">
        <v>1849557</v>
      </c>
      <c r="L31" s="1382">
        <f t="shared" si="22"/>
        <v>100</v>
      </c>
      <c r="M31" s="1380">
        <f t="shared" si="23"/>
        <v>0</v>
      </c>
      <c r="N31" s="3378"/>
    </row>
    <row r="32" spans="1:14" s="1371" customFormat="1" ht="12.75" customHeight="1" thickBot="1" x14ac:dyDescent="0.25">
      <c r="A32" s="3376"/>
      <c r="B32" s="572" t="s">
        <v>12</v>
      </c>
      <c r="C32" s="3171"/>
      <c r="D32" s="1385">
        <f t="shared" ref="D32:I32" si="25">+D33</f>
        <v>26265386</v>
      </c>
      <c r="E32" s="1386">
        <f t="shared" si="25"/>
        <v>13510910</v>
      </c>
      <c r="F32" s="1386">
        <f t="shared" si="25"/>
        <v>10701180</v>
      </c>
      <c r="G32" s="1386">
        <f t="shared" si="25"/>
        <v>2053296</v>
      </c>
      <c r="H32" s="1387">
        <f t="shared" si="25"/>
        <v>0</v>
      </c>
      <c r="I32" s="1385">
        <f t="shared" si="25"/>
        <v>23144240</v>
      </c>
      <c r="J32" s="1388">
        <f t="shared" si="21"/>
        <v>88.116885089752728</v>
      </c>
      <c r="K32" s="1386">
        <f>+K33</f>
        <v>7680484</v>
      </c>
      <c r="L32" s="1388">
        <f t="shared" si="22"/>
        <v>374.0563464790269</v>
      </c>
      <c r="M32" s="1389">
        <f t="shared" si="23"/>
        <v>5627188</v>
      </c>
      <c r="N32" s="3378"/>
    </row>
    <row r="33" spans="1:14" s="1371" customFormat="1" ht="14.25" customHeight="1" thickBot="1" x14ac:dyDescent="0.25">
      <c r="A33" s="3360"/>
      <c r="B33" s="1390" t="s">
        <v>15</v>
      </c>
      <c r="C33" s="3171"/>
      <c r="D33" s="1378">
        <f>+E33+F33+G33+H33</f>
        <v>26265386</v>
      </c>
      <c r="E33" s="1379">
        <f>3928803+9582107</f>
        <v>13510910</v>
      </c>
      <c r="F33" s="1379">
        <v>10701180</v>
      </c>
      <c r="G33" s="1379">
        <v>2053296</v>
      </c>
      <c r="H33" s="1384">
        <v>0</v>
      </c>
      <c r="I33" s="1378">
        <v>23144240</v>
      </c>
      <c r="J33" s="1382">
        <f t="shared" si="21"/>
        <v>88.116885089752728</v>
      </c>
      <c r="K33" s="1379">
        <v>7680484</v>
      </c>
      <c r="L33" s="1382">
        <f t="shared" si="22"/>
        <v>374.0563464790269</v>
      </c>
      <c r="M33" s="1380">
        <f t="shared" si="23"/>
        <v>5627188</v>
      </c>
      <c r="N33" s="3379"/>
    </row>
    <row r="34" spans="1:14" s="1371" customFormat="1" ht="16.5" customHeight="1" thickBot="1" x14ac:dyDescent="0.25">
      <c r="A34" s="3376"/>
      <c r="B34" s="1391" t="s">
        <v>16</v>
      </c>
      <c r="C34" s="1392"/>
      <c r="D34" s="1393">
        <f>+D35</f>
        <v>26265386</v>
      </c>
      <c r="E34" s="1394">
        <f>+E35</f>
        <v>13510910</v>
      </c>
      <c r="F34" s="1394">
        <f>F35</f>
        <v>10701180</v>
      </c>
      <c r="G34" s="1394">
        <f>G35</f>
        <v>2053296</v>
      </c>
      <c r="H34" s="1395">
        <f>H35</f>
        <v>0</v>
      </c>
      <c r="I34" s="1393">
        <f>I35</f>
        <v>23144240</v>
      </c>
      <c r="J34" s="1396">
        <f t="shared" si="21"/>
        <v>88.116885089752728</v>
      </c>
      <c r="K34" s="1394">
        <f>K36</f>
        <v>7680484</v>
      </c>
      <c r="L34" s="1396">
        <f t="shared" si="22"/>
        <v>374.0563464790269</v>
      </c>
      <c r="M34" s="1397">
        <f t="shared" si="23"/>
        <v>5627188</v>
      </c>
      <c r="N34" s="3378"/>
    </row>
    <row r="35" spans="1:14" s="1371" customFormat="1" ht="14.25" customHeight="1" thickBot="1" x14ac:dyDescent="0.25">
      <c r="A35" s="3376"/>
      <c r="B35" s="572" t="s">
        <v>12</v>
      </c>
      <c r="C35" s="3171" t="s">
        <v>128</v>
      </c>
      <c r="D35" s="1385">
        <f>+D36</f>
        <v>26265386</v>
      </c>
      <c r="E35" s="1386">
        <f>+E36</f>
        <v>13510910</v>
      </c>
      <c r="F35" s="1386">
        <f>+F36</f>
        <v>10701180</v>
      </c>
      <c r="G35" s="1386">
        <f>+G36</f>
        <v>2053296</v>
      </c>
      <c r="H35" s="1387">
        <f>+H36</f>
        <v>0</v>
      </c>
      <c r="I35" s="1385">
        <f>+I36</f>
        <v>23144240</v>
      </c>
      <c r="J35" s="1388">
        <f t="shared" si="21"/>
        <v>88.116885089752728</v>
      </c>
      <c r="K35" s="1386">
        <f>+K36</f>
        <v>7680484</v>
      </c>
      <c r="L35" s="1388">
        <f t="shared" si="22"/>
        <v>374.0563464790269</v>
      </c>
      <c r="M35" s="1389">
        <f t="shared" si="23"/>
        <v>5627188</v>
      </c>
      <c r="N35" s="3378"/>
    </row>
    <row r="36" spans="1:14" s="1371" customFormat="1" ht="13.5" customHeight="1" thickBot="1" x14ac:dyDescent="0.25">
      <c r="A36" s="3376"/>
      <c r="B36" s="537" t="s">
        <v>15</v>
      </c>
      <c r="C36" s="3172"/>
      <c r="D36" s="1398">
        <f>+E36+F36+G36+H36</f>
        <v>26265386</v>
      </c>
      <c r="E36" s="1399">
        <f>3928803+9582107</f>
        <v>13510910</v>
      </c>
      <c r="F36" s="1399">
        <v>10701180</v>
      </c>
      <c r="G36" s="1399">
        <v>2053296</v>
      </c>
      <c r="H36" s="1400">
        <v>0</v>
      </c>
      <c r="I36" s="1398">
        <v>23144240</v>
      </c>
      <c r="J36" s="1401">
        <f t="shared" si="21"/>
        <v>88.116885089752728</v>
      </c>
      <c r="K36" s="1399">
        <v>7680484</v>
      </c>
      <c r="L36" s="1401">
        <f t="shared" si="22"/>
        <v>374.0563464790269</v>
      </c>
      <c r="M36" s="1402">
        <f t="shared" si="23"/>
        <v>5627188</v>
      </c>
      <c r="N36" s="3378"/>
    </row>
    <row r="37" spans="1:14" s="1371" customFormat="1" ht="66" customHeight="1" x14ac:dyDescent="0.2">
      <c r="A37" s="3360" t="s">
        <v>35</v>
      </c>
      <c r="B37" s="1403" t="s">
        <v>294</v>
      </c>
      <c r="C37" s="1404" t="s">
        <v>168</v>
      </c>
      <c r="D37" s="1405"/>
      <c r="E37" s="1406"/>
      <c r="F37" s="1406"/>
      <c r="G37" s="1406"/>
      <c r="H37" s="1407"/>
      <c r="I37" s="1408"/>
      <c r="J37" s="1409"/>
      <c r="K37" s="1410"/>
      <c r="L37" s="1409"/>
      <c r="M37" s="1411"/>
      <c r="N37" s="3350" t="s">
        <v>129</v>
      </c>
    </row>
    <row r="38" spans="1:14" s="1371" customFormat="1" x14ac:dyDescent="0.2">
      <c r="A38" s="3361"/>
      <c r="B38" s="566" t="s">
        <v>2</v>
      </c>
      <c r="C38" s="1412"/>
      <c r="D38" s="1366">
        <f>+D39+D43</f>
        <v>81560000</v>
      </c>
      <c r="E38" s="1367">
        <f>+E39+E43</f>
        <v>78377528</v>
      </c>
      <c r="F38" s="1367">
        <f>+F39+F43</f>
        <v>2266841</v>
      </c>
      <c r="G38" s="1367">
        <f>+G39+G43</f>
        <v>915631</v>
      </c>
      <c r="H38" s="1368">
        <f>+H39+H43</f>
        <v>0</v>
      </c>
      <c r="I38" s="1413">
        <f>I39+I43</f>
        <v>75213741</v>
      </c>
      <c r="J38" s="1414">
        <f t="shared" ref="J38:J49" si="26">+I38/D38*100</f>
        <v>92.218907552721916</v>
      </c>
      <c r="K38" s="1415">
        <f>+K39+K43</f>
        <v>29066477</v>
      </c>
      <c r="L38" s="1414">
        <f t="shared" ref="L38:L41" si="27">+K38/G38*100</f>
        <v>3174.4749795496223</v>
      </c>
      <c r="M38" s="1370">
        <f t="shared" ref="M38:M49" si="28">+K38-G38</f>
        <v>28150846</v>
      </c>
      <c r="N38" s="3380"/>
    </row>
    <row r="39" spans="1:14" s="1371" customFormat="1" ht="11.25" customHeight="1" x14ac:dyDescent="0.2">
      <c r="A39" s="3361"/>
      <c r="B39" s="569" t="s">
        <v>17</v>
      </c>
      <c r="C39" s="3383" t="s">
        <v>126</v>
      </c>
      <c r="D39" s="1374">
        <f t="shared" ref="D39:H39" si="29">+D40+D41</f>
        <v>48445432</v>
      </c>
      <c r="E39" s="1416">
        <f t="shared" si="29"/>
        <v>45296645</v>
      </c>
      <c r="F39" s="1416">
        <f t="shared" si="29"/>
        <v>2233156</v>
      </c>
      <c r="G39" s="1416">
        <f t="shared" si="29"/>
        <v>915631</v>
      </c>
      <c r="H39" s="533">
        <f t="shared" si="29"/>
        <v>0</v>
      </c>
      <c r="I39" s="1417">
        <f>+I40+I41+I42</f>
        <v>51436161</v>
      </c>
      <c r="J39" s="1418">
        <f t="shared" si="26"/>
        <v>106.17339731845099</v>
      </c>
      <c r="K39" s="1419">
        <f>+K40+K41+K42</f>
        <v>29066477</v>
      </c>
      <c r="L39" s="1418">
        <f t="shared" si="27"/>
        <v>3174.4749795496223</v>
      </c>
      <c r="M39" s="1420">
        <f>+K39-G39</f>
        <v>28150846</v>
      </c>
      <c r="N39" s="3381"/>
    </row>
    <row r="40" spans="1:14" s="1371" customFormat="1" x14ac:dyDescent="0.2">
      <c r="A40" s="3361"/>
      <c r="B40" s="1377" t="s">
        <v>127</v>
      </c>
      <c r="C40" s="3384"/>
      <c r="D40" s="1378">
        <f>+E40+F40+G40+H40</f>
        <v>31465432</v>
      </c>
      <c r="E40" s="1379">
        <f>730215+13244005+17446897</f>
        <v>31421117</v>
      </c>
      <c r="F40" s="1379">
        <v>44315</v>
      </c>
      <c r="G40" s="1421">
        <v>0</v>
      </c>
      <c r="H40" s="1381">
        <v>0</v>
      </c>
      <c r="I40" s="1422">
        <v>30573967</v>
      </c>
      <c r="J40" s="1423">
        <f t="shared" si="26"/>
        <v>97.166843283766141</v>
      </c>
      <c r="K40" s="1424">
        <v>24268652</v>
      </c>
      <c r="L40" s="1425">
        <v>0</v>
      </c>
      <c r="M40" s="1380">
        <f t="shared" si="28"/>
        <v>24268652</v>
      </c>
      <c r="N40" s="3381"/>
    </row>
    <row r="41" spans="1:14" s="1371" customFormat="1" ht="12" customHeight="1" x14ac:dyDescent="0.2">
      <c r="A41" s="3361"/>
      <c r="B41" s="1383" t="s">
        <v>5</v>
      </c>
      <c r="C41" s="3384"/>
      <c r="D41" s="1378">
        <f>+E41+F41+G41+H41</f>
        <v>16980000</v>
      </c>
      <c r="E41" s="1379">
        <f>2805880+4941171+6128477</f>
        <v>13875528</v>
      </c>
      <c r="F41" s="1379">
        <v>2188841</v>
      </c>
      <c r="G41" s="1379">
        <v>915631</v>
      </c>
      <c r="H41" s="1381">
        <v>0</v>
      </c>
      <c r="I41" s="1422">
        <f>+K41+F41+E41</f>
        <v>16980000</v>
      </c>
      <c r="J41" s="1423">
        <f t="shared" si="26"/>
        <v>100</v>
      </c>
      <c r="K41" s="1424">
        <v>915631</v>
      </c>
      <c r="L41" s="1423">
        <f t="shared" si="27"/>
        <v>100</v>
      </c>
      <c r="M41" s="1380">
        <f t="shared" si="28"/>
        <v>0</v>
      </c>
      <c r="N41" s="3381"/>
    </row>
    <row r="42" spans="1:14" s="1371" customFormat="1" ht="12" customHeight="1" x14ac:dyDescent="0.2">
      <c r="A42" s="3361"/>
      <c r="B42" s="493" t="s">
        <v>357</v>
      </c>
      <c r="C42" s="3384"/>
      <c r="D42" s="2429">
        <v>0</v>
      </c>
      <c r="E42" s="1379"/>
      <c r="F42" s="1379"/>
      <c r="G42" s="1426">
        <f t="shared" ref="G42" si="30">+G43</f>
        <v>0</v>
      </c>
      <c r="H42" s="1387">
        <f t="shared" ref="H42" si="31">+H43</f>
        <v>0</v>
      </c>
      <c r="I42" s="1422">
        <f>+K42</f>
        <v>3882194</v>
      </c>
      <c r="J42" s="1423"/>
      <c r="K42" s="1424">
        <v>3882194</v>
      </c>
      <c r="L42" s="1427">
        <v>0</v>
      </c>
      <c r="M42" s="1380">
        <f t="shared" si="28"/>
        <v>3882194</v>
      </c>
      <c r="N42" s="3381"/>
    </row>
    <row r="43" spans="1:14" s="1371" customFormat="1" ht="12.75" customHeight="1" x14ac:dyDescent="0.2">
      <c r="A43" s="3361"/>
      <c r="B43" s="572" t="s">
        <v>12</v>
      </c>
      <c r="C43" s="3384"/>
      <c r="D43" s="1385">
        <f t="shared" ref="D43:I43" si="32">+D44</f>
        <v>33114568</v>
      </c>
      <c r="E43" s="1386">
        <f t="shared" si="32"/>
        <v>33080883</v>
      </c>
      <c r="F43" s="1386">
        <f t="shared" si="32"/>
        <v>33685</v>
      </c>
      <c r="G43" s="1442">
        <f t="shared" si="32"/>
        <v>0</v>
      </c>
      <c r="H43" s="1387">
        <f t="shared" si="32"/>
        <v>0</v>
      </c>
      <c r="I43" s="1429">
        <f t="shared" si="32"/>
        <v>23777580</v>
      </c>
      <c r="J43" s="1430">
        <f t="shared" si="26"/>
        <v>71.803986692503429</v>
      </c>
      <c r="K43" s="1421">
        <v>0</v>
      </c>
      <c r="L43" s="1427">
        <v>0</v>
      </c>
      <c r="M43" s="1431">
        <f t="shared" si="28"/>
        <v>0</v>
      </c>
      <c r="N43" s="3381"/>
    </row>
    <row r="44" spans="1:14" s="1371" customFormat="1" ht="12" customHeight="1" x14ac:dyDescent="0.2">
      <c r="A44" s="3361"/>
      <c r="B44" s="1390" t="s">
        <v>15</v>
      </c>
      <c r="C44" s="3384"/>
      <c r="D44" s="1378">
        <f>+E44+F44+G44+H44</f>
        <v>33114568</v>
      </c>
      <c r="E44" s="1379">
        <f>14397470+18683413</f>
        <v>33080883</v>
      </c>
      <c r="F44" s="1379">
        <v>33685</v>
      </c>
      <c r="G44" s="1421">
        <v>0</v>
      </c>
      <c r="H44" s="1384">
        <v>0</v>
      </c>
      <c r="I44" s="1422">
        <v>23777580</v>
      </c>
      <c r="J44" s="1423">
        <f t="shared" si="26"/>
        <v>71.803986692503429</v>
      </c>
      <c r="K44" s="1421">
        <v>0</v>
      </c>
      <c r="L44" s="1432">
        <v>0</v>
      </c>
      <c r="M44" s="1433">
        <f t="shared" si="28"/>
        <v>0</v>
      </c>
      <c r="N44" s="3381"/>
    </row>
    <row r="45" spans="1:14" s="1371" customFormat="1" ht="12.75" customHeight="1" x14ac:dyDescent="0.2">
      <c r="A45" s="3361"/>
      <c r="B45" s="566" t="s">
        <v>16</v>
      </c>
      <c r="C45" s="1412"/>
      <c r="D45" s="1366">
        <f>+D46+D48</f>
        <v>33114568</v>
      </c>
      <c r="E45" s="1367">
        <f>E48</f>
        <v>33080883</v>
      </c>
      <c r="F45" s="1367">
        <f>F48</f>
        <v>33685</v>
      </c>
      <c r="G45" s="704">
        <f t="shared" ref="G45:G47" si="33">+G46</f>
        <v>0</v>
      </c>
      <c r="H45" s="1368">
        <f t="shared" ref="H45:H47" si="34">+H46</f>
        <v>0</v>
      </c>
      <c r="I45" s="1413">
        <f>+I46+I48</f>
        <v>27659774</v>
      </c>
      <c r="J45" s="1414">
        <f t="shared" si="26"/>
        <v>83.527509705094147</v>
      </c>
      <c r="K45" s="1415">
        <f>+K46</f>
        <v>3882194</v>
      </c>
      <c r="L45" s="1434">
        <f>L49</f>
        <v>0</v>
      </c>
      <c r="M45" s="1370">
        <f t="shared" si="28"/>
        <v>3882194</v>
      </c>
      <c r="N45" s="3381"/>
    </row>
    <row r="46" spans="1:14" s="1371" customFormat="1" ht="12.75" customHeight="1" x14ac:dyDescent="0.2">
      <c r="A46" s="3361"/>
      <c r="B46" s="486" t="s">
        <v>17</v>
      </c>
      <c r="C46" s="1435"/>
      <c r="D46" s="2925">
        <f>+D47</f>
        <v>0</v>
      </c>
      <c r="E46" s="1436">
        <f t="shared" ref="E46:F46" si="35">+E47</f>
        <v>0</v>
      </c>
      <c r="F46" s="1436">
        <f t="shared" si="35"/>
        <v>0</v>
      </c>
      <c r="G46" s="1426">
        <f t="shared" si="33"/>
        <v>0</v>
      </c>
      <c r="H46" s="1387">
        <f t="shared" si="34"/>
        <v>0</v>
      </c>
      <c r="I46" s="1437">
        <f>+I47</f>
        <v>3882194</v>
      </c>
      <c r="J46" s="1438"/>
      <c r="K46" s="1419">
        <f>+K47</f>
        <v>3882194</v>
      </c>
      <c r="L46" s="1439"/>
      <c r="M46" s="1419">
        <f>+M47</f>
        <v>3882194</v>
      </c>
      <c r="N46" s="3381"/>
    </row>
    <row r="47" spans="1:14" s="1371" customFormat="1" ht="12.75" customHeight="1" x14ac:dyDescent="0.2">
      <c r="A47" s="3361"/>
      <c r="B47" s="493" t="s">
        <v>357</v>
      </c>
      <c r="C47" s="1435"/>
      <c r="D47" s="2925">
        <v>0</v>
      </c>
      <c r="E47" s="1440"/>
      <c r="F47" s="1440"/>
      <c r="G47" s="1426">
        <f t="shared" si="33"/>
        <v>0</v>
      </c>
      <c r="H47" s="1387">
        <f t="shared" si="34"/>
        <v>0</v>
      </c>
      <c r="I47" s="1441">
        <f>+K47</f>
        <v>3882194</v>
      </c>
      <c r="J47" s="1438"/>
      <c r="K47" s="1424">
        <v>3882194</v>
      </c>
      <c r="L47" s="1439"/>
      <c r="M47" s="1380">
        <f t="shared" si="28"/>
        <v>3882194</v>
      </c>
      <c r="N47" s="3381"/>
    </row>
    <row r="48" spans="1:14" s="1371" customFormat="1" ht="13.5" customHeight="1" x14ac:dyDescent="0.2">
      <c r="A48" s="3361"/>
      <c r="B48" s="572" t="s">
        <v>12</v>
      </c>
      <c r="C48" s="3384" t="s">
        <v>128</v>
      </c>
      <c r="D48" s="1385">
        <v>33114568</v>
      </c>
      <c r="E48" s="1386">
        <f>+E49</f>
        <v>33080883</v>
      </c>
      <c r="F48" s="1386">
        <f>+F49</f>
        <v>33685</v>
      </c>
      <c r="G48" s="1442">
        <f>+G49</f>
        <v>0</v>
      </c>
      <c r="H48" s="1443">
        <f>+H49</f>
        <v>0</v>
      </c>
      <c r="I48" s="1444">
        <f>+I49</f>
        <v>23777580</v>
      </c>
      <c r="J48" s="1445">
        <f t="shared" si="26"/>
        <v>71.803986692503429</v>
      </c>
      <c r="K48" s="1446">
        <f>+K49</f>
        <v>0</v>
      </c>
      <c r="L48" s="1447">
        <f>+L49</f>
        <v>0</v>
      </c>
      <c r="M48" s="1431">
        <f t="shared" si="28"/>
        <v>0</v>
      </c>
      <c r="N48" s="3381"/>
    </row>
    <row r="49" spans="1:14" s="1371" customFormat="1" ht="13.5" thickBot="1" x14ac:dyDescent="0.25">
      <c r="A49" s="3362"/>
      <c r="B49" s="537" t="s">
        <v>15</v>
      </c>
      <c r="C49" s="3385"/>
      <c r="D49" s="1398">
        <f>+E49+F49+G49+H49</f>
        <v>33114568</v>
      </c>
      <c r="E49" s="1399">
        <f>14397470+18683413</f>
        <v>33080883</v>
      </c>
      <c r="F49" s="1399">
        <v>33685</v>
      </c>
      <c r="G49" s="1448">
        <v>0</v>
      </c>
      <c r="H49" s="1400">
        <v>0</v>
      </c>
      <c r="I49" s="1449">
        <v>23777580</v>
      </c>
      <c r="J49" s="1450">
        <f t="shared" si="26"/>
        <v>71.803986692503429</v>
      </c>
      <c r="K49" s="1451">
        <v>0</v>
      </c>
      <c r="L49" s="1452">
        <v>0</v>
      </c>
      <c r="M49" s="1453">
        <f t="shared" si="28"/>
        <v>0</v>
      </c>
      <c r="N49" s="3382"/>
    </row>
    <row r="50" spans="1:14" s="1371" customFormat="1" ht="41.25" customHeight="1" thickBot="1" x14ac:dyDescent="0.25">
      <c r="A50" s="3342" t="s">
        <v>40</v>
      </c>
      <c r="B50" s="1357" t="s">
        <v>345</v>
      </c>
      <c r="C50" s="1404" t="s">
        <v>168</v>
      </c>
      <c r="D50" s="1405"/>
      <c r="E50" s="1406"/>
      <c r="F50" s="1406"/>
      <c r="G50" s="1406"/>
      <c r="H50" s="1407"/>
      <c r="I50" s="1454"/>
      <c r="J50" s="1409"/>
      <c r="K50" s="1410"/>
      <c r="L50" s="1410"/>
      <c r="M50" s="1455"/>
      <c r="N50" s="3350" t="s">
        <v>131</v>
      </c>
    </row>
    <row r="51" spans="1:14" s="1371" customFormat="1" ht="13.5" customHeight="1" x14ac:dyDescent="0.2">
      <c r="A51" s="3343"/>
      <c r="B51" s="566" t="s">
        <v>2</v>
      </c>
      <c r="C51" s="1412"/>
      <c r="D51" s="1366">
        <f>+D52+D57</f>
        <v>87354947</v>
      </c>
      <c r="E51" s="1367">
        <f>+E52+E57</f>
        <v>16130000</v>
      </c>
      <c r="F51" s="1367">
        <f>+F52+F57</f>
        <v>9212462</v>
      </c>
      <c r="G51" s="1367">
        <f>+G52</f>
        <v>1288210</v>
      </c>
      <c r="H51" s="1456">
        <f>+H52</f>
        <v>60724274</v>
      </c>
      <c r="I51" s="1457">
        <f>+I52+I57</f>
        <v>26630672</v>
      </c>
      <c r="J51" s="1414">
        <f t="shared" ref="J51:J62" si="36">+I51/D51*100</f>
        <v>30.485591159479497</v>
      </c>
      <c r="K51" s="1415">
        <f>+K52+K57</f>
        <v>1288210</v>
      </c>
      <c r="L51" s="1414">
        <f t="shared" ref="L51:L62" si="37">+K51/G51*100</f>
        <v>100</v>
      </c>
      <c r="M51" s="1370">
        <f t="shared" ref="M51:M55" si="38">+K51-G51</f>
        <v>0</v>
      </c>
      <c r="N51" s="3351"/>
    </row>
    <row r="52" spans="1:14" s="1371" customFormat="1" ht="13.5" customHeight="1" thickBot="1" x14ac:dyDescent="0.25">
      <c r="A52" s="3344"/>
      <c r="B52" s="569" t="s">
        <v>17</v>
      </c>
      <c r="C52" s="3355" t="s">
        <v>126</v>
      </c>
      <c r="D52" s="1372">
        <f>SUM(D53:D56)</f>
        <v>87354947</v>
      </c>
      <c r="E52" s="1373">
        <f>+E53+E54+E55+E56</f>
        <v>16130000</v>
      </c>
      <c r="F52" s="1373">
        <f>+F53+F54+F55+F56</f>
        <v>9212462</v>
      </c>
      <c r="G52" s="1373">
        <f>SUM(G53:G56)</f>
        <v>1288210</v>
      </c>
      <c r="H52" s="1458">
        <f>SUM(H53:H56)</f>
        <v>60724274</v>
      </c>
      <c r="I52" s="1459">
        <f>+I53+I54+I55+I56</f>
        <v>26630672</v>
      </c>
      <c r="J52" s="1460">
        <f t="shared" si="36"/>
        <v>30.485591159479497</v>
      </c>
      <c r="K52" s="1461">
        <f>+K53+K54+K55+K56</f>
        <v>1288210</v>
      </c>
      <c r="L52" s="1460">
        <f t="shared" si="37"/>
        <v>100</v>
      </c>
      <c r="M52" s="1376">
        <f t="shared" si="38"/>
        <v>0</v>
      </c>
      <c r="N52" s="3352"/>
    </row>
    <row r="53" spans="1:14" s="1371" customFormat="1" ht="13.5" customHeight="1" x14ac:dyDescent="0.2">
      <c r="A53" s="3345"/>
      <c r="B53" s="1462" t="s">
        <v>127</v>
      </c>
      <c r="C53" s="3356"/>
      <c r="D53" s="1378">
        <v>23237447</v>
      </c>
      <c r="E53" s="1463">
        <f>572500+2315000</f>
        <v>2887500</v>
      </c>
      <c r="F53" s="1464">
        <f>2242500-2242493</f>
        <v>7</v>
      </c>
      <c r="G53" s="1379">
        <v>738004</v>
      </c>
      <c r="H53" s="1465">
        <f>3390509+8856012+7365414</f>
        <v>19611935</v>
      </c>
      <c r="I53" s="1466">
        <f>+K53+F53+E53</f>
        <v>3625511</v>
      </c>
      <c r="J53" s="1467">
        <f t="shared" si="36"/>
        <v>15.602019447317083</v>
      </c>
      <c r="K53" s="1468">
        <v>738004</v>
      </c>
      <c r="L53" s="1467">
        <f t="shared" si="37"/>
        <v>100</v>
      </c>
      <c r="M53" s="1469">
        <f t="shared" si="38"/>
        <v>0</v>
      </c>
      <c r="N53" s="3351"/>
    </row>
    <row r="54" spans="1:14" s="1371" customFormat="1" ht="13.5" customHeight="1" x14ac:dyDescent="0.2">
      <c r="A54" s="3346"/>
      <c r="B54" s="1471" t="s">
        <v>130</v>
      </c>
      <c r="C54" s="3356"/>
      <c r="D54" s="1378">
        <v>23465500</v>
      </c>
      <c r="E54" s="1379">
        <f>572500+2460000</f>
        <v>3032500</v>
      </c>
      <c r="F54" s="1379">
        <v>5302500</v>
      </c>
      <c r="G54" s="1379">
        <v>27062</v>
      </c>
      <c r="H54" s="1465">
        <f>7224195+7686142+193101</f>
        <v>15103438</v>
      </c>
      <c r="I54" s="1466">
        <f>+K54+F54+E54</f>
        <v>8362062</v>
      </c>
      <c r="J54" s="1467">
        <f t="shared" si="36"/>
        <v>35.635558586009246</v>
      </c>
      <c r="K54" s="1472">
        <v>27062</v>
      </c>
      <c r="L54" s="1467">
        <f t="shared" si="37"/>
        <v>100</v>
      </c>
      <c r="M54" s="1380">
        <f t="shared" si="38"/>
        <v>0</v>
      </c>
      <c r="N54" s="3353"/>
    </row>
    <row r="55" spans="1:14" s="1371" customFormat="1" ht="13.5" customHeight="1" x14ac:dyDescent="0.2">
      <c r="A55" s="3347"/>
      <c r="B55" s="1471" t="s">
        <v>7</v>
      </c>
      <c r="C55" s="3356"/>
      <c r="D55" s="1378">
        <v>32452000</v>
      </c>
      <c r="E55" s="1379">
        <v>8065000</v>
      </c>
      <c r="F55" s="1379">
        <f>6545000-4690045</f>
        <v>1854955</v>
      </c>
      <c r="G55" s="1379">
        <v>0</v>
      </c>
      <c r="H55" s="1465">
        <f>9342730+7885599+5303716</f>
        <v>22532045</v>
      </c>
      <c r="I55" s="1466">
        <f>+K55+F55+E55</f>
        <v>9919955</v>
      </c>
      <c r="J55" s="1467">
        <f t="shared" si="36"/>
        <v>30.568085171946258</v>
      </c>
      <c r="K55" s="1472">
        <v>0</v>
      </c>
      <c r="L55" s="1473">
        <v>0</v>
      </c>
      <c r="M55" s="1380">
        <f t="shared" si="38"/>
        <v>0</v>
      </c>
      <c r="N55" s="3353"/>
    </row>
    <row r="56" spans="1:14" s="1371" customFormat="1" ht="24.75" customHeight="1" x14ac:dyDescent="0.2">
      <c r="A56" s="3348"/>
      <c r="B56" s="1471" t="s">
        <v>123</v>
      </c>
      <c r="C56" s="3356"/>
      <c r="D56" s="1474">
        <v>8200000</v>
      </c>
      <c r="E56" s="1475">
        <v>2145000</v>
      </c>
      <c r="F56" s="1475">
        <v>2055000</v>
      </c>
      <c r="G56" s="1475">
        <v>523144</v>
      </c>
      <c r="H56" s="1476">
        <v>3476856</v>
      </c>
      <c r="I56" s="1477">
        <f>+K56+F56+E56</f>
        <v>4723144</v>
      </c>
      <c r="J56" s="1478">
        <f t="shared" si="36"/>
        <v>57.599317073170731</v>
      </c>
      <c r="K56" s="1479">
        <v>523144</v>
      </c>
      <c r="L56" s="1478">
        <f t="shared" si="37"/>
        <v>100</v>
      </c>
      <c r="M56" s="1480">
        <f>+K56-G56</f>
        <v>0</v>
      </c>
      <c r="N56" s="3353"/>
    </row>
    <row r="57" spans="1:14" s="1371" customFormat="1" ht="13.5" hidden="1" customHeight="1" x14ac:dyDescent="0.2">
      <c r="A57" s="3348"/>
      <c r="B57" s="572" t="s">
        <v>12</v>
      </c>
      <c r="C57" s="3356"/>
      <c r="D57" s="1474">
        <f t="shared" ref="D57:D58" si="39">+E57+F57+G57+H57</f>
        <v>0</v>
      </c>
      <c r="E57" s="1481">
        <f>+E58</f>
        <v>0</v>
      </c>
      <c r="F57" s="1481">
        <f>+F58</f>
        <v>0</v>
      </c>
      <c r="G57" s="1481"/>
      <c r="H57" s="1482"/>
      <c r="I57" s="1483"/>
      <c r="J57" s="1484">
        <v>0</v>
      </c>
      <c r="K57" s="1485"/>
      <c r="L57" s="1484">
        <v>0</v>
      </c>
      <c r="M57" s="1486">
        <f t="shared" ref="M57:M58" si="40">+K57-G57*0.25</f>
        <v>0</v>
      </c>
      <c r="N57" s="3353"/>
    </row>
    <row r="58" spans="1:14" s="1371" customFormat="1" ht="0.75" customHeight="1" x14ac:dyDescent="0.2">
      <c r="A58" s="3348"/>
      <c r="B58" s="1487" t="s">
        <v>15</v>
      </c>
      <c r="C58" s="3356"/>
      <c r="D58" s="1474">
        <f t="shared" si="39"/>
        <v>0</v>
      </c>
      <c r="E58" s="1463">
        <v>0</v>
      </c>
      <c r="F58" s="1463">
        <v>0</v>
      </c>
      <c r="G58" s="1463"/>
      <c r="H58" s="1488"/>
      <c r="I58" s="1466"/>
      <c r="J58" s="1467" t="e">
        <f t="shared" si="36"/>
        <v>#DIV/0!</v>
      </c>
      <c r="K58" s="1468"/>
      <c r="L58" s="1467" t="e">
        <f t="shared" si="37"/>
        <v>#DIV/0!</v>
      </c>
      <c r="M58" s="1469">
        <f t="shared" si="40"/>
        <v>0</v>
      </c>
      <c r="N58" s="3353"/>
    </row>
    <row r="59" spans="1:14" s="1371" customFormat="1" ht="13.5" customHeight="1" x14ac:dyDescent="0.2">
      <c r="A59" s="3348"/>
      <c r="B59" s="566" t="s">
        <v>16</v>
      </c>
      <c r="C59" s="1412"/>
      <c r="D59" s="1366">
        <f>+D60</f>
        <v>40652000</v>
      </c>
      <c r="E59" s="1367">
        <f>E60</f>
        <v>10210000</v>
      </c>
      <c r="F59" s="1367">
        <f>F60</f>
        <v>3909955</v>
      </c>
      <c r="G59" s="1367">
        <f>G60</f>
        <v>523144</v>
      </c>
      <c r="H59" s="1456">
        <f>H60</f>
        <v>26008901</v>
      </c>
      <c r="I59" s="1457">
        <f>+I60</f>
        <v>14643099</v>
      </c>
      <c r="J59" s="1414">
        <f t="shared" si="36"/>
        <v>36.020611532027949</v>
      </c>
      <c r="K59" s="1415">
        <f>K61+K62</f>
        <v>523144</v>
      </c>
      <c r="L59" s="1414">
        <f t="shared" si="37"/>
        <v>100</v>
      </c>
      <c r="M59" s="1370">
        <f>+K59-G59</f>
        <v>0</v>
      </c>
      <c r="N59" s="3353"/>
    </row>
    <row r="60" spans="1:14" s="1371" customFormat="1" ht="13.5" customHeight="1" x14ac:dyDescent="0.2">
      <c r="A60" s="3348"/>
      <c r="B60" s="569" t="s">
        <v>17</v>
      </c>
      <c r="C60" s="3357" t="s">
        <v>126</v>
      </c>
      <c r="D60" s="1385">
        <f>+D61+D62</f>
        <v>40652000</v>
      </c>
      <c r="E60" s="1386">
        <f t="shared" ref="E60:H60" si="41">+E61+E62</f>
        <v>10210000</v>
      </c>
      <c r="F60" s="1386">
        <f t="shared" si="41"/>
        <v>3909955</v>
      </c>
      <c r="G60" s="1386">
        <f t="shared" si="41"/>
        <v>523144</v>
      </c>
      <c r="H60" s="1489">
        <f t="shared" si="41"/>
        <v>26008901</v>
      </c>
      <c r="I60" s="1490">
        <f>SUM(I61:I62)</f>
        <v>14643099</v>
      </c>
      <c r="J60" s="1491">
        <f t="shared" si="36"/>
        <v>36.020611532027949</v>
      </c>
      <c r="K60" s="1419">
        <f>+K61+K62</f>
        <v>523144</v>
      </c>
      <c r="L60" s="1491">
        <f t="shared" si="37"/>
        <v>100</v>
      </c>
      <c r="M60" s="1389">
        <f>+K60-G60</f>
        <v>0</v>
      </c>
      <c r="N60" s="3353"/>
    </row>
    <row r="61" spans="1:14" s="1371" customFormat="1" ht="13.5" customHeight="1" x14ac:dyDescent="0.2">
      <c r="A61" s="3348"/>
      <c r="B61" s="1471" t="s">
        <v>7</v>
      </c>
      <c r="C61" s="3358"/>
      <c r="D61" s="1378">
        <v>32452000</v>
      </c>
      <c r="E61" s="1379">
        <v>8065000</v>
      </c>
      <c r="F61" s="1379">
        <v>1854955</v>
      </c>
      <c r="G61" s="1379">
        <v>0</v>
      </c>
      <c r="H61" s="1465">
        <f>9342730+7885599+5303716</f>
        <v>22532045</v>
      </c>
      <c r="I61" s="1492">
        <f>+K61+F61+E61</f>
        <v>9919955</v>
      </c>
      <c r="J61" s="1491">
        <f t="shared" si="36"/>
        <v>30.568085171946258</v>
      </c>
      <c r="K61" s="1472">
        <v>0</v>
      </c>
      <c r="L61" s="1473">
        <v>0</v>
      </c>
      <c r="M61" s="1380">
        <f>+K61-G61</f>
        <v>0</v>
      </c>
      <c r="N61" s="3353"/>
    </row>
    <row r="62" spans="1:14" s="1371" customFormat="1" ht="12.75" customHeight="1" thickBot="1" x14ac:dyDescent="0.25">
      <c r="A62" s="3349"/>
      <c r="B62" s="1493" t="s">
        <v>123</v>
      </c>
      <c r="C62" s="3359"/>
      <c r="D62" s="1494">
        <f>+E62+F62+G62+H62</f>
        <v>8200000</v>
      </c>
      <c r="E62" s="1495">
        <v>2145000</v>
      </c>
      <c r="F62" s="1495">
        <v>2055000</v>
      </c>
      <c r="G62" s="1495">
        <v>523144</v>
      </c>
      <c r="H62" s="1496">
        <v>3476856</v>
      </c>
      <c r="I62" s="1497">
        <f>+K62+F62+E62</f>
        <v>4723144</v>
      </c>
      <c r="J62" s="1498">
        <f t="shared" si="36"/>
        <v>57.599317073170731</v>
      </c>
      <c r="K62" s="1499">
        <v>523144</v>
      </c>
      <c r="L62" s="1498">
        <f t="shared" si="37"/>
        <v>100</v>
      </c>
      <c r="M62" s="1402">
        <f>+K62-G62</f>
        <v>0</v>
      </c>
      <c r="N62" s="3354"/>
    </row>
    <row r="63" spans="1:14" s="20" customFormat="1" ht="52.5" customHeight="1" x14ac:dyDescent="0.2">
      <c r="A63" s="3388" t="s">
        <v>41</v>
      </c>
      <c r="B63" s="1500" t="s">
        <v>291</v>
      </c>
      <c r="C63" s="1501" t="s">
        <v>173</v>
      </c>
      <c r="D63" s="1502"/>
      <c r="E63" s="1503"/>
      <c r="F63" s="1504"/>
      <c r="G63" s="1504"/>
      <c r="H63" s="1505"/>
      <c r="I63" s="1506"/>
      <c r="J63" s="1507"/>
      <c r="K63" s="1504"/>
      <c r="L63" s="1508"/>
      <c r="M63" s="1509"/>
      <c r="N63" s="1510"/>
    </row>
    <row r="64" spans="1:14" s="20" customFormat="1" ht="18" customHeight="1" x14ac:dyDescent="0.2">
      <c r="A64" s="3338"/>
      <c r="B64" s="1157" t="s">
        <v>2</v>
      </c>
      <c r="C64" s="1511"/>
      <c r="D64" s="1512">
        <f t="shared" ref="D64:I64" si="42">D65</f>
        <v>11000000</v>
      </c>
      <c r="E64" s="35">
        <f t="shared" si="42"/>
        <v>3672000</v>
      </c>
      <c r="F64" s="35">
        <f t="shared" si="42"/>
        <v>612000</v>
      </c>
      <c r="G64" s="35">
        <f>G65</f>
        <v>1033284</v>
      </c>
      <c r="H64" s="1513">
        <f t="shared" si="42"/>
        <v>5682716</v>
      </c>
      <c r="I64" s="1514">
        <f t="shared" si="42"/>
        <v>5317284</v>
      </c>
      <c r="J64" s="1414">
        <f t="shared" ref="J64:J67" si="43">+I64/D64*100</f>
        <v>48.33894545454546</v>
      </c>
      <c r="K64" s="35">
        <f>+K65</f>
        <v>1033284</v>
      </c>
      <c r="L64" s="1515">
        <f t="shared" ref="L64:L67" si="44">+K64/G64*100</f>
        <v>100</v>
      </c>
      <c r="M64" s="1315">
        <f>+K64-G64</f>
        <v>0</v>
      </c>
      <c r="N64" s="3144" t="s">
        <v>220</v>
      </c>
    </row>
    <row r="65" spans="1:14" s="20" customFormat="1" ht="12.75" customHeight="1" x14ac:dyDescent="0.2">
      <c r="A65" s="3338"/>
      <c r="B65" s="1516" t="s">
        <v>17</v>
      </c>
      <c r="C65" s="3390" t="s">
        <v>136</v>
      </c>
      <c r="D65" s="1517">
        <f>+D66+D67</f>
        <v>11000000</v>
      </c>
      <c r="E65" s="1518">
        <f>+E66+E67</f>
        <v>3672000</v>
      </c>
      <c r="F65" s="1518">
        <f t="shared" ref="F65:H65" si="45">+F66+F67</f>
        <v>612000</v>
      </c>
      <c r="G65" s="1518">
        <f>+G66+G67</f>
        <v>1033284</v>
      </c>
      <c r="H65" s="1519">
        <f t="shared" si="45"/>
        <v>5682716</v>
      </c>
      <c r="I65" s="1520">
        <f>+I66</f>
        <v>5317284</v>
      </c>
      <c r="J65" s="1491">
        <f t="shared" si="43"/>
        <v>48.33894545454546</v>
      </c>
      <c r="K65" s="1518">
        <f>+K66+K67</f>
        <v>1033284</v>
      </c>
      <c r="L65" s="1521">
        <f>+K65/G65*100</f>
        <v>100</v>
      </c>
      <c r="M65" s="1389">
        <f>+K65-G65</f>
        <v>0</v>
      </c>
      <c r="N65" s="3144"/>
    </row>
    <row r="66" spans="1:14" s="20" customFormat="1" ht="12.75" customHeight="1" thickBot="1" x14ac:dyDescent="0.25">
      <c r="A66" s="3338"/>
      <c r="B66" s="1522" t="s">
        <v>127</v>
      </c>
      <c r="C66" s="3391"/>
      <c r="D66" s="1523">
        <f>+E66+F66</f>
        <v>4284000</v>
      </c>
      <c r="E66" s="1468">
        <f>2448000+612000+612000</f>
        <v>3672000</v>
      </c>
      <c r="F66" s="1468">
        <v>612000</v>
      </c>
      <c r="G66" s="1468"/>
      <c r="H66" s="1524"/>
      <c r="I66" s="1525">
        <v>5317284</v>
      </c>
      <c r="J66" s="1491"/>
      <c r="K66" s="1468">
        <v>1033284</v>
      </c>
      <c r="L66" s="1521">
        <v>0</v>
      </c>
      <c r="M66" s="1380">
        <f>+K66-G66</f>
        <v>1033284</v>
      </c>
      <c r="N66" s="3145"/>
    </row>
    <row r="67" spans="1:14" s="20" customFormat="1" ht="12.75" customHeight="1" thickBot="1" x14ac:dyDescent="0.25">
      <c r="A67" s="3389"/>
      <c r="B67" s="1526" t="s">
        <v>4</v>
      </c>
      <c r="C67" s="3392"/>
      <c r="D67" s="1527">
        <f>+E67+F67+G67+H67</f>
        <v>6716000</v>
      </c>
      <c r="E67" s="1528">
        <v>0</v>
      </c>
      <c r="F67" s="1528">
        <v>0</v>
      </c>
      <c r="G67" s="1528">
        <v>1033284</v>
      </c>
      <c r="H67" s="1529">
        <f>2788944+1684944+1208828</f>
        <v>5682716</v>
      </c>
      <c r="I67" s="1527">
        <f>+E67+F67+K67</f>
        <v>0</v>
      </c>
      <c r="J67" s="1498">
        <f t="shared" si="43"/>
        <v>0</v>
      </c>
      <c r="K67" s="1528">
        <v>0</v>
      </c>
      <c r="L67" s="1530">
        <f t="shared" si="44"/>
        <v>0</v>
      </c>
      <c r="M67" s="1402">
        <f>+K67-G67</f>
        <v>-1033284</v>
      </c>
      <c r="N67" s="3145"/>
    </row>
    <row r="68" spans="1:14" s="20" customFormat="1" ht="29.25" customHeight="1" x14ac:dyDescent="0.2">
      <c r="A68" s="3388">
        <v>5</v>
      </c>
      <c r="B68" s="1500" t="s">
        <v>290</v>
      </c>
      <c r="C68" s="1501" t="s">
        <v>173</v>
      </c>
      <c r="D68" s="1502"/>
      <c r="E68" s="1503"/>
      <c r="F68" s="1504"/>
      <c r="G68" s="1504"/>
      <c r="H68" s="1505"/>
      <c r="I68" s="1506"/>
      <c r="J68" s="1507"/>
      <c r="K68" s="1504"/>
      <c r="L68" s="1508"/>
      <c r="M68" s="1509"/>
      <c r="N68" s="1510"/>
    </row>
    <row r="69" spans="1:14" s="20" customFormat="1" ht="15.75" customHeight="1" x14ac:dyDescent="0.2">
      <c r="A69" s="3338"/>
      <c r="B69" s="1157" t="s">
        <v>2</v>
      </c>
      <c r="C69" s="1511"/>
      <c r="D69" s="1512">
        <f t="shared" ref="D69:K69" si="46">D70</f>
        <v>2900000</v>
      </c>
      <c r="E69" s="35">
        <f t="shared" si="46"/>
        <v>1249500</v>
      </c>
      <c r="F69" s="35">
        <f t="shared" si="46"/>
        <v>306000</v>
      </c>
      <c r="G69" s="1531">
        <f t="shared" si="46"/>
        <v>306000</v>
      </c>
      <c r="H69" s="1513">
        <f t="shared" si="46"/>
        <v>1038500</v>
      </c>
      <c r="I69" s="1532">
        <f t="shared" si="46"/>
        <v>1861500</v>
      </c>
      <c r="J69" s="1414">
        <f t="shared" ref="J69:J72" si="47">+I69/D69*100</f>
        <v>64.189655172413794</v>
      </c>
      <c r="K69" s="1531">
        <f t="shared" si="46"/>
        <v>306000</v>
      </c>
      <c r="L69" s="1414">
        <f t="shared" ref="L69:L72" si="48">+K69/G69*100</f>
        <v>100</v>
      </c>
      <c r="M69" s="1315">
        <f>+M70</f>
        <v>0</v>
      </c>
      <c r="N69" s="3144" t="s">
        <v>220</v>
      </c>
    </row>
    <row r="70" spans="1:14" s="20" customFormat="1" ht="12.75" customHeight="1" x14ac:dyDescent="0.2">
      <c r="A70" s="3338"/>
      <c r="B70" s="1516" t="s">
        <v>17</v>
      </c>
      <c r="C70" s="3390" t="s">
        <v>136</v>
      </c>
      <c r="D70" s="1517">
        <f>+D71+D72</f>
        <v>2900000</v>
      </c>
      <c r="E70" s="1518">
        <f>+E71+E72</f>
        <v>1249500</v>
      </c>
      <c r="F70" s="1518">
        <f t="shared" ref="F70:H70" si="49">+F71+F72</f>
        <v>306000</v>
      </c>
      <c r="G70" s="1518">
        <f t="shared" si="49"/>
        <v>306000</v>
      </c>
      <c r="H70" s="1519">
        <f t="shared" si="49"/>
        <v>1038500</v>
      </c>
      <c r="I70" s="1520">
        <f>+I71+I72</f>
        <v>1861500</v>
      </c>
      <c r="J70" s="1491">
        <f t="shared" si="47"/>
        <v>64.189655172413794</v>
      </c>
      <c r="K70" s="1518">
        <f>+K71+K72</f>
        <v>306000</v>
      </c>
      <c r="L70" s="1491">
        <f t="shared" si="48"/>
        <v>100</v>
      </c>
      <c r="M70" s="1389">
        <f>+M71+M72</f>
        <v>0</v>
      </c>
      <c r="N70" s="3144"/>
    </row>
    <row r="71" spans="1:14" s="20" customFormat="1" ht="14.25" customHeight="1" x14ac:dyDescent="0.2">
      <c r="A71" s="3338"/>
      <c r="B71" s="1522" t="s">
        <v>127</v>
      </c>
      <c r="C71" s="3393"/>
      <c r="D71" s="1533">
        <f>+E71+F71</f>
        <v>1555500</v>
      </c>
      <c r="E71" s="1468">
        <f>637500+306000+306000</f>
        <v>1249500</v>
      </c>
      <c r="F71" s="1468">
        <v>306000</v>
      </c>
      <c r="G71" s="1468"/>
      <c r="H71" s="1524"/>
      <c r="I71" s="1523">
        <v>1861500</v>
      </c>
      <c r="J71" s="1491"/>
      <c r="K71" s="1468">
        <v>306000</v>
      </c>
      <c r="L71" s="1491"/>
      <c r="M71" s="1389">
        <f>+K71-G71</f>
        <v>306000</v>
      </c>
      <c r="N71" s="3144"/>
    </row>
    <row r="72" spans="1:14" s="20" customFormat="1" ht="14.25" customHeight="1" thickBot="1" x14ac:dyDescent="0.25">
      <c r="A72" s="3389"/>
      <c r="B72" s="1526" t="s">
        <v>4</v>
      </c>
      <c r="C72" s="3394"/>
      <c r="D72" s="1534">
        <f>+E72+F72+G72+H72</f>
        <v>1344500</v>
      </c>
      <c r="E72" s="1528">
        <v>0</v>
      </c>
      <c r="F72" s="1528">
        <v>0</v>
      </c>
      <c r="G72" s="1528">
        <v>306000</v>
      </c>
      <c r="H72" s="1529">
        <f>306000+306000+306000+120500</f>
        <v>1038500</v>
      </c>
      <c r="I72" s="1527">
        <f>+E72+F72+K72</f>
        <v>0</v>
      </c>
      <c r="J72" s="1498">
        <f t="shared" si="47"/>
        <v>0</v>
      </c>
      <c r="K72" s="1528">
        <v>0</v>
      </c>
      <c r="L72" s="1498">
        <f t="shared" si="48"/>
        <v>0</v>
      </c>
      <c r="M72" s="1402">
        <f>+K72-G72</f>
        <v>-306000</v>
      </c>
      <c r="N72" s="3145"/>
    </row>
    <row r="73" spans="1:14" s="20" customFormat="1" ht="27" customHeight="1" x14ac:dyDescent="0.2">
      <c r="A73" s="3338" t="s">
        <v>44</v>
      </c>
      <c r="B73" s="1535" t="s">
        <v>289</v>
      </c>
      <c r="C73" s="1536" t="s">
        <v>173</v>
      </c>
      <c r="D73" s="1537"/>
      <c r="E73" s="1538"/>
      <c r="F73" s="1539"/>
      <c r="G73" s="1539"/>
      <c r="H73" s="1540"/>
      <c r="I73" s="1537"/>
      <c r="J73" s="1541"/>
      <c r="K73" s="1539"/>
      <c r="L73" s="1542"/>
      <c r="M73" s="1543"/>
      <c r="N73" s="1544"/>
    </row>
    <row r="74" spans="1:14" s="20" customFormat="1" ht="15" customHeight="1" thickBot="1" x14ac:dyDescent="0.25">
      <c r="A74" s="3338"/>
      <c r="B74" s="1157" t="s">
        <v>2</v>
      </c>
      <c r="C74" s="21"/>
      <c r="D74" s="1514">
        <f t="shared" ref="D74:I74" si="50">D75</f>
        <v>8000000</v>
      </c>
      <c r="E74" s="1545">
        <f>+E75</f>
        <v>0</v>
      </c>
      <c r="F74" s="1545">
        <f t="shared" si="50"/>
        <v>0</v>
      </c>
      <c r="G74" s="1545">
        <f t="shared" si="50"/>
        <v>0</v>
      </c>
      <c r="H74" s="1513">
        <f t="shared" si="50"/>
        <v>8000000</v>
      </c>
      <c r="I74" s="1546">
        <f t="shared" si="50"/>
        <v>0</v>
      </c>
      <c r="J74" s="1414">
        <f t="shared" ref="J74:J76" si="51">+I74/D74*100</f>
        <v>0</v>
      </c>
      <c r="K74" s="1547">
        <f>+K75</f>
        <v>0</v>
      </c>
      <c r="L74" s="1414">
        <v>0</v>
      </c>
      <c r="M74" s="1548">
        <f>+K74-G74*0.5</f>
        <v>0</v>
      </c>
      <c r="N74" s="3145" t="s">
        <v>220</v>
      </c>
    </row>
    <row r="75" spans="1:14" s="20" customFormat="1" ht="14.25" customHeight="1" x14ac:dyDescent="0.2">
      <c r="A75" s="3338"/>
      <c r="B75" s="1059" t="s">
        <v>17</v>
      </c>
      <c r="C75" s="3340" t="s">
        <v>136</v>
      </c>
      <c r="D75" s="1549">
        <f t="shared" ref="D75:I75" si="52">+D76</f>
        <v>8000000</v>
      </c>
      <c r="E75" s="1550">
        <f t="shared" si="52"/>
        <v>0</v>
      </c>
      <c r="F75" s="1550">
        <f t="shared" si="52"/>
        <v>0</v>
      </c>
      <c r="G75" s="1550">
        <f t="shared" si="52"/>
        <v>0</v>
      </c>
      <c r="H75" s="1519">
        <f t="shared" si="52"/>
        <v>8000000</v>
      </c>
      <c r="I75" s="1551">
        <f t="shared" si="52"/>
        <v>0</v>
      </c>
      <c r="J75" s="1491">
        <f t="shared" si="51"/>
        <v>0</v>
      </c>
      <c r="K75" s="1552">
        <f>+K76</f>
        <v>0</v>
      </c>
      <c r="L75" s="1491">
        <v>0</v>
      </c>
      <c r="M75" s="1553">
        <f>+K75-G75*0.5</f>
        <v>0</v>
      </c>
      <c r="N75" s="3339"/>
    </row>
    <row r="76" spans="1:14" s="20" customFormat="1" ht="14.25" customHeight="1" thickBot="1" x14ac:dyDescent="0.25">
      <c r="A76" s="3338"/>
      <c r="B76" s="1554" t="s">
        <v>4</v>
      </c>
      <c r="C76" s="3341"/>
      <c r="D76" s="1534">
        <v>8000000</v>
      </c>
      <c r="E76" s="1528">
        <v>0</v>
      </c>
      <c r="F76" s="1528">
        <v>0</v>
      </c>
      <c r="G76" s="1528">
        <v>0</v>
      </c>
      <c r="H76" s="1529">
        <f>480000+960000+960000+960000+960000+3680000</f>
        <v>8000000</v>
      </c>
      <c r="I76" s="1555">
        <f>+E76+F76+K76</f>
        <v>0</v>
      </c>
      <c r="J76" s="1491">
        <f t="shared" si="51"/>
        <v>0</v>
      </c>
      <c r="K76" s="1556">
        <v>0</v>
      </c>
      <c r="L76" s="1491">
        <v>0</v>
      </c>
      <c r="M76" s="1557">
        <f>+K76-G76*0.5</f>
        <v>0</v>
      </c>
      <c r="N76" s="3145"/>
    </row>
    <row r="77" spans="1:14" s="1371" customFormat="1" ht="18.75" customHeight="1" x14ac:dyDescent="0.2">
      <c r="A77" s="3386" t="s">
        <v>364</v>
      </c>
      <c r="B77" s="3387"/>
      <c r="C77" s="3386"/>
      <c r="D77" s="3386"/>
      <c r="E77" s="3386"/>
      <c r="F77" s="3386"/>
      <c r="G77" s="3386"/>
      <c r="H77" s="3386"/>
      <c r="I77" s="3386"/>
      <c r="J77" s="3386"/>
      <c r="K77" s="3386"/>
      <c r="L77" s="3386"/>
      <c r="M77" s="3386"/>
      <c r="N77" s="1558"/>
    </row>
    <row r="78" spans="1:14" s="1563" customFormat="1" ht="13.5" customHeight="1" x14ac:dyDescent="0.2">
      <c r="A78" s="1559" t="s">
        <v>365</v>
      </c>
      <c r="B78" s="1560"/>
      <c r="C78" s="1561"/>
      <c r="D78" s="1252"/>
      <c r="E78" s="1252"/>
      <c r="F78" s="1252"/>
      <c r="G78" s="1252"/>
      <c r="H78" s="1252"/>
      <c r="I78" s="1252"/>
      <c r="J78" s="1252"/>
      <c r="K78" s="1252"/>
      <c r="L78" s="1252"/>
      <c r="M78" s="1252"/>
      <c r="N78" s="1562"/>
    </row>
    <row r="79" spans="1:14" s="1565" customFormat="1" ht="13.5" customHeight="1" x14ac:dyDescent="0.2">
      <c r="A79" s="1564"/>
      <c r="D79" s="1252"/>
      <c r="E79" s="1252"/>
      <c r="F79" s="1252"/>
      <c r="G79" s="1252"/>
      <c r="H79" s="1252"/>
      <c r="I79" s="1252"/>
      <c r="J79" s="1252"/>
      <c r="K79" s="1252"/>
      <c r="L79" s="1252"/>
      <c r="M79" s="1252"/>
      <c r="N79" s="1562"/>
    </row>
    <row r="80" spans="1:14" s="1566" customFormat="1" ht="12.75" customHeight="1" x14ac:dyDescent="0.2">
      <c r="C80" s="1565"/>
      <c r="D80" s="1252"/>
      <c r="E80" s="1252"/>
      <c r="F80" s="1252"/>
      <c r="G80" s="1252"/>
      <c r="H80" s="1252"/>
      <c r="I80" s="1252"/>
      <c r="J80" s="1252"/>
      <c r="K80" s="1252"/>
      <c r="L80" s="1252"/>
      <c r="M80" s="1252"/>
      <c r="N80" s="1562"/>
    </row>
    <row r="81" spans="1:14" s="1371" customFormat="1" ht="10.5" customHeight="1" x14ac:dyDescent="0.2">
      <c r="A81" s="1249"/>
      <c r="B81" s="1252"/>
      <c r="C81" s="1255"/>
      <c r="D81" s="1252"/>
      <c r="E81" s="1252"/>
      <c r="F81" s="1252"/>
      <c r="G81" s="1252"/>
      <c r="H81" s="1252"/>
      <c r="I81" s="1252"/>
      <c r="J81" s="1252"/>
      <c r="K81" s="1252"/>
      <c r="L81" s="1252"/>
      <c r="M81" s="1252"/>
      <c r="N81" s="1562"/>
    </row>
    <row r="82" spans="1:14" s="1565" customFormat="1" ht="15.75" customHeight="1" x14ac:dyDescent="0.2">
      <c r="B82" s="1252"/>
      <c r="C82" s="1255"/>
      <c r="D82" s="1252"/>
      <c r="E82" s="1252"/>
      <c r="F82" s="1252"/>
      <c r="G82" s="1252"/>
      <c r="H82" s="1252"/>
      <c r="I82" s="1252"/>
      <c r="J82" s="1252"/>
      <c r="K82" s="1252"/>
      <c r="L82" s="1252"/>
      <c r="M82" s="1252"/>
      <c r="N82" s="1562"/>
    </row>
    <row r="83" spans="1:14" s="1565" customFormat="1" ht="15.75" customHeight="1" x14ac:dyDescent="0.2">
      <c r="A83" s="1249"/>
      <c r="B83" s="1252"/>
      <c r="C83" s="1255"/>
      <c r="D83" s="1252"/>
      <c r="E83" s="1252"/>
      <c r="F83" s="1252"/>
      <c r="G83" s="1252"/>
      <c r="H83" s="1252"/>
      <c r="I83" s="1252"/>
      <c r="J83" s="1252"/>
      <c r="K83" s="1252"/>
      <c r="L83" s="1252"/>
      <c r="M83" s="1252"/>
      <c r="N83" s="1562"/>
    </row>
    <row r="84" spans="1:14" s="1565" customFormat="1" ht="15.75" customHeight="1" x14ac:dyDescent="0.2">
      <c r="A84" s="1249"/>
      <c r="B84" s="1252"/>
      <c r="C84" s="1255"/>
      <c r="D84" s="1252"/>
      <c r="E84" s="1252"/>
      <c r="F84" s="1252"/>
      <c r="G84" s="1252"/>
      <c r="H84" s="1252"/>
      <c r="I84" s="1252"/>
      <c r="J84" s="1252"/>
      <c r="K84" s="1252"/>
      <c r="L84" s="1252"/>
      <c r="M84" s="1252"/>
      <c r="N84" s="1562"/>
    </row>
    <row r="85" spans="1:14" s="1565" customFormat="1" ht="12" customHeight="1" x14ac:dyDescent="0.2">
      <c r="A85" s="1249"/>
      <c r="B85" s="1252"/>
      <c r="C85" s="1255"/>
      <c r="D85" s="1252"/>
      <c r="E85" s="1252"/>
      <c r="F85" s="1252"/>
      <c r="G85" s="1252"/>
      <c r="H85" s="1252"/>
      <c r="I85" s="1252"/>
      <c r="J85" s="1252"/>
      <c r="K85" s="1252"/>
      <c r="L85" s="1252"/>
      <c r="M85" s="1252"/>
      <c r="N85" s="1562"/>
    </row>
    <row r="86" spans="1:14" s="1561" customFormat="1" ht="22.5" customHeight="1" x14ac:dyDescent="0.2">
      <c r="A86" s="1249"/>
      <c r="B86" s="1252"/>
      <c r="C86" s="1255"/>
      <c r="D86" s="1252"/>
      <c r="E86" s="1252"/>
      <c r="F86" s="1252"/>
      <c r="G86" s="1252"/>
      <c r="H86" s="1252"/>
      <c r="I86" s="1252"/>
      <c r="J86" s="1252"/>
      <c r="K86" s="1252"/>
      <c r="L86" s="1252"/>
      <c r="M86" s="1252"/>
      <c r="N86" s="1562"/>
    </row>
    <row r="87" spans="1:14" s="1371" customFormat="1" ht="12.75" customHeight="1" x14ac:dyDescent="0.2">
      <c r="A87" s="1249"/>
      <c r="B87" s="1252"/>
      <c r="C87" s="1255"/>
      <c r="D87" s="1252"/>
      <c r="E87" s="1252"/>
      <c r="F87" s="1252"/>
      <c r="G87" s="1252"/>
      <c r="H87" s="1252"/>
      <c r="I87" s="1252"/>
      <c r="J87" s="1252"/>
      <c r="K87" s="1252"/>
      <c r="L87" s="1252"/>
      <c r="M87" s="1252"/>
      <c r="N87" s="1562"/>
    </row>
    <row r="88" spans="1:14" s="1371" customFormat="1" ht="12.75" customHeight="1" x14ac:dyDescent="0.2">
      <c r="A88" s="1249"/>
      <c r="B88" s="1252"/>
      <c r="C88" s="1255"/>
      <c r="D88" s="1252"/>
      <c r="E88" s="1252"/>
      <c r="F88" s="1252"/>
      <c r="G88" s="1252"/>
      <c r="H88" s="1252"/>
      <c r="I88" s="1252"/>
      <c r="J88" s="1252"/>
      <c r="K88" s="1252"/>
      <c r="L88" s="1252"/>
      <c r="M88" s="1252"/>
      <c r="N88" s="1562"/>
    </row>
    <row r="89" spans="1:14" s="1371" customFormat="1" x14ac:dyDescent="0.2">
      <c r="A89" s="1249"/>
      <c r="B89" s="1252"/>
      <c r="C89" s="1255"/>
      <c r="D89" s="1252"/>
      <c r="E89" s="1252"/>
      <c r="F89" s="1252"/>
      <c r="G89" s="1252"/>
      <c r="H89" s="1252"/>
      <c r="I89" s="1252"/>
      <c r="J89" s="1252"/>
      <c r="K89" s="1252"/>
      <c r="L89" s="1252"/>
      <c r="M89" s="1252"/>
      <c r="N89" s="1562"/>
    </row>
    <row r="90" spans="1:14" s="1561" customFormat="1" ht="14.25" customHeight="1" x14ac:dyDescent="0.2">
      <c r="A90" s="1249"/>
      <c r="B90" s="1252"/>
      <c r="C90" s="1255"/>
      <c r="D90" s="1252"/>
      <c r="E90" s="1252"/>
      <c r="F90" s="1252"/>
      <c r="G90" s="1252"/>
      <c r="H90" s="1252"/>
      <c r="I90" s="1252"/>
      <c r="J90" s="1252"/>
      <c r="K90" s="1252"/>
      <c r="L90" s="1252"/>
      <c r="M90" s="1252"/>
      <c r="N90" s="1562"/>
    </row>
    <row r="91" spans="1:14" s="1371" customFormat="1" ht="12.75" customHeight="1" x14ac:dyDescent="0.2">
      <c r="A91" s="1249"/>
      <c r="B91" s="1252"/>
      <c r="C91" s="1255"/>
      <c r="D91" s="1252"/>
      <c r="E91" s="1252"/>
      <c r="F91" s="1252"/>
      <c r="G91" s="1252"/>
      <c r="H91" s="1252"/>
      <c r="I91" s="1252"/>
      <c r="J91" s="1252"/>
      <c r="K91" s="1252"/>
      <c r="L91" s="1252"/>
      <c r="M91" s="1252"/>
      <c r="N91" s="1562"/>
    </row>
    <row r="92" spans="1:14" s="1371" customFormat="1" ht="12.75" customHeight="1" x14ac:dyDescent="0.2">
      <c r="A92" s="1249"/>
      <c r="B92" s="1252"/>
      <c r="C92" s="1255"/>
      <c r="D92" s="1252"/>
      <c r="E92" s="1252"/>
      <c r="F92" s="1252"/>
      <c r="G92" s="1252"/>
      <c r="H92" s="1252"/>
      <c r="I92" s="1252"/>
      <c r="J92" s="1252"/>
      <c r="K92" s="1252"/>
      <c r="L92" s="1252"/>
      <c r="M92" s="1252"/>
      <c r="N92" s="1562"/>
    </row>
    <row r="93" spans="1:14" s="1371" customFormat="1" x14ac:dyDescent="0.2">
      <c r="A93" s="1249"/>
      <c r="B93" s="1252"/>
      <c r="C93" s="1255"/>
      <c r="D93" s="1252"/>
      <c r="E93" s="1252"/>
      <c r="F93" s="1252"/>
      <c r="G93" s="1252"/>
      <c r="H93" s="1252"/>
      <c r="I93" s="1252"/>
      <c r="J93" s="1252"/>
      <c r="K93" s="1252"/>
      <c r="L93" s="1252"/>
      <c r="M93" s="1252"/>
      <c r="N93" s="1562"/>
    </row>
    <row r="94" spans="1:14" s="1371" customFormat="1" x14ac:dyDescent="0.2">
      <c r="A94" s="1249"/>
      <c r="B94" s="1252"/>
      <c r="C94" s="1255"/>
      <c r="D94" s="1252"/>
      <c r="E94" s="1252"/>
      <c r="F94" s="1252"/>
      <c r="G94" s="1252"/>
      <c r="H94" s="1252"/>
      <c r="I94" s="1252"/>
      <c r="J94" s="1252"/>
      <c r="K94" s="1252"/>
      <c r="L94" s="1252"/>
      <c r="M94" s="1252"/>
      <c r="N94" s="1562"/>
    </row>
    <row r="95" spans="1:14" s="1561" customFormat="1" ht="33.75" customHeight="1" x14ac:dyDescent="0.2">
      <c r="A95" s="1249"/>
      <c r="B95" s="1252"/>
      <c r="C95" s="1255"/>
      <c r="D95" s="1252"/>
      <c r="E95" s="1252"/>
      <c r="F95" s="1252"/>
      <c r="G95" s="1252"/>
      <c r="H95" s="1252"/>
      <c r="I95" s="1252"/>
      <c r="J95" s="1252"/>
      <c r="K95" s="1252"/>
      <c r="L95" s="1252"/>
      <c r="M95" s="1252"/>
      <c r="N95" s="1562"/>
    </row>
    <row r="96" spans="1:14" s="1371" customFormat="1" ht="12.75" customHeight="1" x14ac:dyDescent="0.2">
      <c r="A96" s="1249"/>
      <c r="B96" s="1252"/>
      <c r="C96" s="1255"/>
      <c r="D96" s="1252"/>
      <c r="E96" s="1252"/>
      <c r="F96" s="1252"/>
      <c r="G96" s="1252"/>
      <c r="H96" s="1252"/>
      <c r="I96" s="1252"/>
      <c r="J96" s="1252"/>
      <c r="K96" s="1252"/>
      <c r="L96" s="1252"/>
      <c r="M96" s="1252"/>
      <c r="N96" s="1562"/>
    </row>
    <row r="97" spans="1:14" s="1371" customFormat="1" ht="12.75" customHeight="1" x14ac:dyDescent="0.2">
      <c r="A97" s="1249"/>
      <c r="B97" s="1252"/>
      <c r="C97" s="1255"/>
      <c r="D97" s="1252"/>
      <c r="E97" s="1252"/>
      <c r="F97" s="1252"/>
      <c r="G97" s="1252"/>
      <c r="H97" s="1252"/>
      <c r="I97" s="1252"/>
      <c r="J97" s="1252"/>
      <c r="K97" s="1252"/>
      <c r="L97" s="1252"/>
      <c r="M97" s="1252"/>
      <c r="N97" s="1562"/>
    </row>
    <row r="98" spans="1:14" s="1371" customFormat="1" ht="12.75" customHeight="1" x14ac:dyDescent="0.2">
      <c r="A98" s="1249"/>
      <c r="B98" s="1252"/>
      <c r="C98" s="1255"/>
      <c r="D98" s="1252"/>
      <c r="E98" s="1252"/>
      <c r="F98" s="1252"/>
      <c r="G98" s="1252"/>
      <c r="H98" s="1252"/>
      <c r="I98" s="1252"/>
      <c r="J98" s="1252"/>
      <c r="K98" s="1252"/>
      <c r="L98" s="1252"/>
      <c r="M98" s="1252"/>
      <c r="N98" s="1562"/>
    </row>
    <row r="99" spans="1:14" s="1371" customFormat="1" ht="12.75" customHeight="1" x14ac:dyDescent="0.2">
      <c r="A99" s="1249"/>
      <c r="B99" s="1252"/>
      <c r="C99" s="1255"/>
      <c r="D99" s="1252"/>
      <c r="E99" s="1252"/>
      <c r="F99" s="1252"/>
      <c r="G99" s="1252"/>
      <c r="H99" s="1252"/>
      <c r="I99" s="1252"/>
      <c r="J99" s="1252"/>
      <c r="K99" s="1252"/>
      <c r="L99" s="1252"/>
      <c r="M99" s="1252"/>
      <c r="N99" s="1562"/>
    </row>
    <row r="100" spans="1:14" s="1371" customFormat="1" x14ac:dyDescent="0.2">
      <c r="A100" s="1249"/>
      <c r="B100" s="1252"/>
      <c r="C100" s="1255"/>
      <c r="D100" s="1252"/>
      <c r="E100" s="1252"/>
      <c r="F100" s="1252"/>
      <c r="G100" s="1252"/>
      <c r="H100" s="1252"/>
      <c r="I100" s="1252"/>
      <c r="J100" s="1252"/>
      <c r="K100" s="1252"/>
      <c r="L100" s="1252"/>
      <c r="M100" s="1252"/>
      <c r="N100" s="1562"/>
    </row>
    <row r="101" spans="1:14" s="1561" customFormat="1" ht="12" customHeight="1" x14ac:dyDescent="0.2">
      <c r="A101" s="1249"/>
      <c r="B101" s="1252"/>
      <c r="C101" s="1255"/>
      <c r="D101" s="1252"/>
      <c r="E101" s="1252"/>
      <c r="F101" s="1252"/>
      <c r="G101" s="1252"/>
      <c r="H101" s="1252"/>
      <c r="I101" s="1252"/>
      <c r="J101" s="1252"/>
      <c r="K101" s="1252"/>
      <c r="L101" s="1252"/>
      <c r="M101" s="1252"/>
      <c r="N101" s="1562"/>
    </row>
    <row r="102" spans="1:14" s="1371" customFormat="1" ht="12.75" customHeight="1" x14ac:dyDescent="0.2">
      <c r="A102" s="1249"/>
      <c r="B102" s="1252"/>
      <c r="C102" s="1255"/>
      <c r="D102" s="1252"/>
      <c r="E102" s="1252"/>
      <c r="F102" s="1252"/>
      <c r="G102" s="1252"/>
      <c r="H102" s="1252"/>
      <c r="I102" s="1252"/>
      <c r="J102" s="1252"/>
      <c r="K102" s="1252"/>
      <c r="L102" s="1252"/>
      <c r="M102" s="1252"/>
      <c r="N102" s="1562"/>
    </row>
    <row r="103" spans="1:14" s="1371" customFormat="1" ht="12.75" customHeight="1" x14ac:dyDescent="0.2">
      <c r="A103" s="1249"/>
      <c r="B103" s="1252"/>
      <c r="C103" s="1255"/>
      <c r="D103" s="1252"/>
      <c r="E103" s="1252"/>
      <c r="F103" s="1252"/>
      <c r="G103" s="1252"/>
      <c r="H103" s="1252"/>
      <c r="I103" s="1252"/>
      <c r="J103" s="1252"/>
      <c r="K103" s="1252"/>
      <c r="L103" s="1252"/>
      <c r="M103" s="1252"/>
      <c r="N103" s="1562"/>
    </row>
    <row r="104" spans="1:14" s="1371" customFormat="1" x14ac:dyDescent="0.2">
      <c r="A104" s="1249"/>
      <c r="B104" s="1252"/>
      <c r="C104" s="1255"/>
      <c r="D104" s="1252"/>
      <c r="E104" s="1252"/>
      <c r="F104" s="1252"/>
      <c r="G104" s="1252"/>
      <c r="H104" s="1252"/>
      <c r="I104" s="1252"/>
      <c r="J104" s="1252"/>
      <c r="K104" s="1252"/>
      <c r="L104" s="1252"/>
      <c r="M104" s="1252"/>
      <c r="N104" s="1562"/>
    </row>
    <row r="105" spans="1:14" s="1371" customFormat="1" x14ac:dyDescent="0.2">
      <c r="A105" s="1249"/>
      <c r="B105" s="1252"/>
      <c r="C105" s="1255"/>
      <c r="D105" s="1252"/>
      <c r="E105" s="1252"/>
      <c r="F105" s="1252"/>
      <c r="G105" s="1252"/>
      <c r="H105" s="1252"/>
      <c r="I105" s="1252"/>
      <c r="J105" s="1252"/>
      <c r="K105" s="1252"/>
      <c r="L105" s="1252"/>
      <c r="M105" s="1252"/>
      <c r="N105" s="1562"/>
    </row>
    <row r="106" spans="1:14" s="1561" customFormat="1" ht="22.5" customHeight="1" x14ac:dyDescent="0.2">
      <c r="A106" s="1249"/>
      <c r="B106" s="1252"/>
      <c r="C106" s="1255"/>
      <c r="D106" s="1252"/>
      <c r="E106" s="1252"/>
      <c r="F106" s="1252"/>
      <c r="G106" s="1252"/>
      <c r="H106" s="1252"/>
      <c r="I106" s="1252"/>
      <c r="J106" s="1252"/>
      <c r="K106" s="1252"/>
      <c r="L106" s="1252"/>
      <c r="M106" s="1252"/>
      <c r="N106" s="1562"/>
    </row>
    <row r="107" spans="1:14" s="1371" customFormat="1" ht="12.75" customHeight="1" x14ac:dyDescent="0.2">
      <c r="A107" s="1249"/>
      <c r="B107" s="1252"/>
      <c r="C107" s="1255"/>
      <c r="D107" s="1252"/>
      <c r="E107" s="1252"/>
      <c r="F107" s="1252"/>
      <c r="G107" s="1252"/>
      <c r="H107" s="1252"/>
      <c r="I107" s="1252"/>
      <c r="J107" s="1252"/>
      <c r="K107" s="1252"/>
      <c r="L107" s="1252"/>
      <c r="M107" s="1252"/>
      <c r="N107" s="1562"/>
    </row>
    <row r="108" spans="1:14" s="1371" customFormat="1" ht="12.75" customHeight="1" x14ac:dyDescent="0.2">
      <c r="A108" s="1249"/>
      <c r="B108" s="1252"/>
      <c r="C108" s="1255"/>
      <c r="D108" s="1252"/>
      <c r="E108" s="1252"/>
      <c r="F108" s="1252"/>
      <c r="G108" s="1252"/>
      <c r="H108" s="1252"/>
      <c r="I108" s="1252"/>
      <c r="J108" s="1252"/>
      <c r="K108" s="1252"/>
      <c r="L108" s="1252"/>
      <c r="M108" s="1252"/>
      <c r="N108" s="1562"/>
    </row>
    <row r="109" spans="1:14" s="1371" customFormat="1" x14ac:dyDescent="0.2">
      <c r="A109" s="1249"/>
      <c r="B109" s="1252"/>
      <c r="C109" s="1255"/>
      <c r="D109" s="1252"/>
      <c r="E109" s="1252"/>
      <c r="F109" s="1252"/>
      <c r="G109" s="1252"/>
      <c r="H109" s="1252"/>
      <c r="I109" s="1252"/>
      <c r="J109" s="1252"/>
      <c r="K109" s="1252"/>
      <c r="L109" s="1252"/>
      <c r="M109" s="1252"/>
      <c r="N109" s="1562"/>
    </row>
    <row r="110" spans="1:14" s="1371" customFormat="1" x14ac:dyDescent="0.2">
      <c r="A110" s="1249"/>
      <c r="B110" s="1252"/>
      <c r="C110" s="1255"/>
      <c r="D110" s="1252"/>
      <c r="E110" s="1252"/>
      <c r="F110" s="1252"/>
      <c r="G110" s="1252"/>
      <c r="H110" s="1252"/>
      <c r="I110" s="1252"/>
      <c r="J110" s="1252"/>
      <c r="K110" s="1252"/>
      <c r="L110" s="1252"/>
      <c r="M110" s="1252"/>
      <c r="N110" s="1562"/>
    </row>
    <row r="111" spans="1:14" s="1561" customFormat="1" ht="15" customHeight="1" x14ac:dyDescent="0.2">
      <c r="A111" s="1249"/>
      <c r="B111" s="1252"/>
      <c r="C111" s="1255"/>
      <c r="D111" s="1252"/>
      <c r="E111" s="1252"/>
      <c r="F111" s="1252"/>
      <c r="G111" s="1252"/>
      <c r="H111" s="1252"/>
      <c r="I111" s="1252"/>
      <c r="J111" s="1252"/>
      <c r="K111" s="1252"/>
      <c r="L111" s="1252"/>
      <c r="M111" s="1252"/>
      <c r="N111" s="1562"/>
    </row>
    <row r="112" spans="1:14" s="1371" customFormat="1" ht="12.75" customHeight="1" x14ac:dyDescent="0.2">
      <c r="A112" s="1249"/>
      <c r="B112" s="1252"/>
      <c r="C112" s="1255"/>
      <c r="D112" s="1252"/>
      <c r="E112" s="1252"/>
      <c r="F112" s="1252"/>
      <c r="G112" s="1252"/>
      <c r="H112" s="1252"/>
      <c r="I112" s="1252"/>
      <c r="J112" s="1252"/>
      <c r="K112" s="1252"/>
      <c r="L112" s="1252"/>
      <c r="M112" s="1252"/>
      <c r="N112" s="1562"/>
    </row>
    <row r="113" spans="1:14" s="1371" customFormat="1" ht="12.75" customHeight="1" x14ac:dyDescent="0.2">
      <c r="A113" s="1249"/>
      <c r="B113" s="1252"/>
      <c r="C113" s="1255"/>
      <c r="D113" s="1252"/>
      <c r="E113" s="1252"/>
      <c r="F113" s="1252"/>
      <c r="G113" s="1252"/>
      <c r="H113" s="1252"/>
      <c r="I113" s="1252"/>
      <c r="J113" s="1252"/>
      <c r="K113" s="1252"/>
      <c r="L113" s="1252"/>
      <c r="M113" s="1252"/>
      <c r="N113" s="1562"/>
    </row>
    <row r="114" spans="1:14" s="1371" customFormat="1" x14ac:dyDescent="0.2">
      <c r="A114" s="1249"/>
      <c r="B114" s="1252"/>
      <c r="C114" s="1255"/>
      <c r="D114" s="1252"/>
      <c r="E114" s="1252"/>
      <c r="F114" s="1252"/>
      <c r="G114" s="1252"/>
      <c r="H114" s="1252"/>
      <c r="I114" s="1252"/>
      <c r="J114" s="1252"/>
      <c r="K114" s="1252"/>
      <c r="L114" s="1252"/>
      <c r="M114" s="1252"/>
      <c r="N114" s="1562"/>
    </row>
    <row r="115" spans="1:14" s="1371" customFormat="1" x14ac:dyDescent="0.2">
      <c r="A115" s="1249"/>
      <c r="B115" s="1252"/>
      <c r="C115" s="1255"/>
      <c r="D115" s="1252"/>
      <c r="E115" s="1252"/>
      <c r="F115" s="1252"/>
      <c r="G115" s="1252"/>
      <c r="H115" s="1252"/>
      <c r="I115" s="1252"/>
      <c r="J115" s="1252"/>
      <c r="K115" s="1252"/>
      <c r="L115" s="1252"/>
      <c r="M115" s="1252"/>
      <c r="N115" s="1562"/>
    </row>
    <row r="116" spans="1:14" s="1561" customFormat="1" ht="13.5" customHeight="1" x14ac:dyDescent="0.2">
      <c r="A116" s="1249"/>
      <c r="B116" s="1252"/>
      <c r="C116" s="1255"/>
      <c r="D116" s="1252"/>
      <c r="E116" s="1252"/>
      <c r="F116" s="1252"/>
      <c r="G116" s="1252"/>
      <c r="H116" s="1252"/>
      <c r="I116" s="1252"/>
      <c r="J116" s="1252"/>
      <c r="K116" s="1252"/>
      <c r="L116" s="1252"/>
      <c r="M116" s="1252"/>
      <c r="N116" s="1562"/>
    </row>
    <row r="117" spans="1:14" s="1371" customFormat="1" ht="12.75" customHeight="1" x14ac:dyDescent="0.2">
      <c r="A117" s="1249"/>
      <c r="B117" s="1252"/>
      <c r="C117" s="1255"/>
      <c r="D117" s="1252"/>
      <c r="E117" s="1252"/>
      <c r="F117" s="1252"/>
      <c r="G117" s="1252"/>
      <c r="H117" s="1252"/>
      <c r="I117" s="1252"/>
      <c r="J117" s="1252"/>
      <c r="K117" s="1252"/>
      <c r="L117" s="1252"/>
      <c r="M117" s="1252"/>
      <c r="N117" s="1562"/>
    </row>
    <row r="118" spans="1:14" s="1371" customFormat="1" ht="12.75" customHeight="1" x14ac:dyDescent="0.2">
      <c r="A118" s="1249"/>
      <c r="B118" s="1252"/>
      <c r="C118" s="1255"/>
      <c r="D118" s="1252"/>
      <c r="E118" s="1252"/>
      <c r="F118" s="1252"/>
      <c r="G118" s="1252"/>
      <c r="H118" s="1252"/>
      <c r="I118" s="1252"/>
      <c r="J118" s="1252"/>
      <c r="K118" s="1252"/>
      <c r="L118" s="1252"/>
      <c r="M118" s="1252"/>
      <c r="N118" s="1562"/>
    </row>
    <row r="119" spans="1:14" s="1371" customFormat="1" x14ac:dyDescent="0.2">
      <c r="A119" s="1249"/>
      <c r="B119" s="1252"/>
      <c r="C119" s="1255"/>
      <c r="D119" s="1252"/>
      <c r="E119" s="1252"/>
      <c r="F119" s="1252"/>
      <c r="G119" s="1252"/>
      <c r="H119" s="1252"/>
      <c r="I119" s="1252"/>
      <c r="J119" s="1252"/>
      <c r="K119" s="1252"/>
      <c r="L119" s="1252"/>
      <c r="M119" s="1252"/>
      <c r="N119" s="1562"/>
    </row>
    <row r="120" spans="1:14" s="1371" customFormat="1" x14ac:dyDescent="0.2">
      <c r="A120" s="1249"/>
      <c r="B120" s="1252"/>
      <c r="C120" s="1255"/>
      <c r="D120" s="1252"/>
      <c r="E120" s="1252"/>
      <c r="F120" s="1252"/>
      <c r="G120" s="1252"/>
      <c r="H120" s="1252"/>
      <c r="I120" s="1252"/>
      <c r="J120" s="1252"/>
      <c r="K120" s="1252"/>
      <c r="L120" s="1252"/>
      <c r="M120" s="1252"/>
      <c r="N120" s="1562"/>
    </row>
    <row r="121" spans="1:14" s="1371" customFormat="1" x14ac:dyDescent="0.2">
      <c r="A121" s="1249"/>
      <c r="B121" s="1252"/>
      <c r="C121" s="1255"/>
      <c r="D121" s="1252"/>
      <c r="E121" s="1252"/>
      <c r="F121" s="1252"/>
      <c r="G121" s="1252"/>
      <c r="H121" s="1252"/>
      <c r="I121" s="1252"/>
      <c r="J121" s="1252"/>
      <c r="K121" s="1252"/>
      <c r="L121" s="1252"/>
      <c r="M121" s="1252"/>
      <c r="N121" s="1562"/>
    </row>
    <row r="122" spans="1:14" s="1561" customFormat="1" ht="22.5" customHeight="1" x14ac:dyDescent="0.2">
      <c r="A122" s="1249"/>
      <c r="B122" s="1252"/>
      <c r="C122" s="1255"/>
      <c r="D122" s="1252"/>
      <c r="E122" s="1252"/>
      <c r="F122" s="1252"/>
      <c r="G122" s="1252"/>
      <c r="H122" s="1252"/>
      <c r="I122" s="1252"/>
      <c r="J122" s="1252"/>
      <c r="K122" s="1252"/>
      <c r="L122" s="1252"/>
      <c r="M122" s="1252"/>
      <c r="N122" s="1562"/>
    </row>
    <row r="123" spans="1:14" s="1371" customFormat="1" ht="12.75" customHeight="1" x14ac:dyDescent="0.2">
      <c r="A123" s="1249"/>
      <c r="B123" s="1252"/>
      <c r="C123" s="1255"/>
      <c r="D123" s="1252"/>
      <c r="E123" s="1252"/>
      <c r="F123" s="1252"/>
      <c r="G123" s="1252"/>
      <c r="H123" s="1252"/>
      <c r="I123" s="1252"/>
      <c r="J123" s="1252"/>
      <c r="K123" s="1252"/>
      <c r="L123" s="1252"/>
      <c r="M123" s="1252"/>
      <c r="N123" s="1562"/>
    </row>
    <row r="124" spans="1:14" s="1371" customFormat="1" ht="12.75" customHeight="1" x14ac:dyDescent="0.2">
      <c r="A124" s="1249"/>
      <c r="B124" s="1252"/>
      <c r="C124" s="1255"/>
      <c r="D124" s="1252"/>
      <c r="E124" s="1252"/>
      <c r="F124" s="1252"/>
      <c r="G124" s="1252"/>
      <c r="H124" s="1252"/>
      <c r="I124" s="1252"/>
      <c r="J124" s="1252"/>
      <c r="K124" s="1252"/>
      <c r="L124" s="1252"/>
      <c r="M124" s="1252"/>
      <c r="N124" s="1562"/>
    </row>
    <row r="125" spans="1:14" s="1371" customFormat="1" x14ac:dyDescent="0.2">
      <c r="A125" s="1249"/>
      <c r="B125" s="1252"/>
      <c r="C125" s="1255"/>
      <c r="D125" s="1252"/>
      <c r="E125" s="1252"/>
      <c r="F125" s="1252"/>
      <c r="G125" s="1252"/>
      <c r="H125" s="1252"/>
      <c r="I125" s="1252"/>
      <c r="J125" s="1252"/>
      <c r="K125" s="1252"/>
      <c r="L125" s="1252"/>
      <c r="M125" s="1252"/>
      <c r="N125" s="1562"/>
    </row>
    <row r="126" spans="1:14" s="1371" customFormat="1" x14ac:dyDescent="0.2">
      <c r="A126" s="1249"/>
      <c r="B126" s="1252"/>
      <c r="C126" s="1255"/>
      <c r="D126" s="1252"/>
      <c r="E126" s="1252"/>
      <c r="F126" s="1252"/>
      <c r="G126" s="1252"/>
      <c r="H126" s="1252"/>
      <c r="I126" s="1252"/>
      <c r="J126" s="1252"/>
      <c r="K126" s="1252"/>
      <c r="L126" s="1252"/>
      <c r="M126" s="1252"/>
      <c r="N126" s="1562"/>
    </row>
    <row r="127" spans="1:14" s="1561" customFormat="1" ht="12.75" customHeight="1" x14ac:dyDescent="0.2">
      <c r="A127" s="1249"/>
      <c r="B127" s="1252"/>
      <c r="C127" s="1255"/>
      <c r="D127" s="1252"/>
      <c r="E127" s="1252"/>
      <c r="F127" s="1252"/>
      <c r="G127" s="1252"/>
      <c r="H127" s="1252"/>
      <c r="I127" s="1252"/>
      <c r="J127" s="1252"/>
      <c r="K127" s="1252"/>
      <c r="L127" s="1252"/>
      <c r="M127" s="1252"/>
      <c r="N127" s="1562"/>
    </row>
    <row r="128" spans="1:14" s="1371" customFormat="1" ht="9.75" customHeight="1" x14ac:dyDescent="0.2">
      <c r="A128" s="1249"/>
      <c r="B128" s="1252"/>
      <c r="C128" s="1255"/>
      <c r="D128" s="1252"/>
      <c r="E128" s="1252"/>
      <c r="F128" s="1252"/>
      <c r="G128" s="1252"/>
      <c r="H128" s="1252"/>
      <c r="I128" s="1252"/>
      <c r="J128" s="1252"/>
      <c r="K128" s="1252"/>
      <c r="L128" s="1252"/>
      <c r="M128" s="1252"/>
      <c r="N128" s="1562"/>
    </row>
    <row r="129" spans="1:14" s="1371" customFormat="1" ht="12.75" customHeight="1" x14ac:dyDescent="0.2">
      <c r="A129" s="1249"/>
      <c r="B129" s="1252"/>
      <c r="C129" s="1255"/>
      <c r="D129" s="1252"/>
      <c r="E129" s="1252"/>
      <c r="F129" s="1252"/>
      <c r="G129" s="1252"/>
      <c r="H129" s="1252"/>
      <c r="I129" s="1252"/>
      <c r="J129" s="1252"/>
      <c r="K129" s="1252"/>
      <c r="L129" s="1252"/>
      <c r="M129" s="1252"/>
      <c r="N129" s="1562"/>
    </row>
    <row r="130" spans="1:14" s="1371" customFormat="1" x14ac:dyDescent="0.2">
      <c r="A130" s="1249"/>
      <c r="B130" s="1252"/>
      <c r="C130" s="1255"/>
      <c r="D130" s="1252"/>
      <c r="E130" s="1252"/>
      <c r="F130" s="1252"/>
      <c r="G130" s="1252"/>
      <c r="H130" s="1252"/>
      <c r="I130" s="1252"/>
      <c r="J130" s="1252"/>
      <c r="K130" s="1252"/>
      <c r="L130" s="1252"/>
      <c r="M130" s="1252"/>
      <c r="N130" s="1562"/>
    </row>
    <row r="131" spans="1:14" s="1371" customFormat="1" x14ac:dyDescent="0.2">
      <c r="A131" s="1249"/>
      <c r="B131" s="1252"/>
      <c r="C131" s="1255"/>
      <c r="D131" s="1252"/>
      <c r="E131" s="1252"/>
      <c r="F131" s="1252"/>
      <c r="G131" s="1252"/>
      <c r="H131" s="1252"/>
      <c r="I131" s="1252"/>
      <c r="J131" s="1252"/>
      <c r="K131" s="1252"/>
      <c r="L131" s="1252"/>
      <c r="M131" s="1252"/>
      <c r="N131" s="1562"/>
    </row>
    <row r="132" spans="1:14" s="1561" customFormat="1" ht="13.5" customHeight="1" x14ac:dyDescent="0.2">
      <c r="A132" s="1249"/>
      <c r="B132" s="1252"/>
      <c r="C132" s="1255"/>
      <c r="D132" s="1252"/>
      <c r="E132" s="1252"/>
      <c r="F132" s="1252"/>
      <c r="G132" s="1252"/>
      <c r="H132" s="1252"/>
      <c r="I132" s="1252"/>
      <c r="J132" s="1252"/>
      <c r="K132" s="1252"/>
      <c r="L132" s="1252"/>
      <c r="M132" s="1252"/>
      <c r="N132" s="1562"/>
    </row>
    <row r="133" spans="1:14" s="1371" customFormat="1" ht="9.75" customHeight="1" x14ac:dyDescent="0.2">
      <c r="A133" s="1249"/>
      <c r="B133" s="1252"/>
      <c r="C133" s="1255"/>
      <c r="D133" s="1252"/>
      <c r="E133" s="1252"/>
      <c r="F133" s="1252"/>
      <c r="G133" s="1252"/>
      <c r="H133" s="1252"/>
      <c r="I133" s="1252"/>
      <c r="J133" s="1252"/>
      <c r="K133" s="1252"/>
      <c r="L133" s="1252"/>
      <c r="M133" s="1252"/>
      <c r="N133" s="1562"/>
    </row>
    <row r="134" spans="1:14" s="1371" customFormat="1" ht="12.75" customHeight="1" x14ac:dyDescent="0.2">
      <c r="A134" s="1249"/>
      <c r="B134" s="1252"/>
      <c r="C134" s="1255"/>
      <c r="D134" s="1252"/>
      <c r="E134" s="1252"/>
      <c r="F134" s="1252"/>
      <c r="G134" s="1252"/>
      <c r="H134" s="1252"/>
      <c r="I134" s="1252"/>
      <c r="J134" s="1252"/>
      <c r="K134" s="1252"/>
      <c r="L134" s="1252"/>
      <c r="M134" s="1252"/>
      <c r="N134" s="1562"/>
    </row>
    <row r="135" spans="1:14" s="1371" customFormat="1" x14ac:dyDescent="0.2">
      <c r="A135" s="1249"/>
      <c r="B135" s="1252"/>
      <c r="C135" s="1255"/>
      <c r="D135" s="1252"/>
      <c r="E135" s="1252"/>
      <c r="F135" s="1252"/>
      <c r="G135" s="1252"/>
      <c r="H135" s="1252"/>
      <c r="I135" s="1252"/>
      <c r="J135" s="1252"/>
      <c r="K135" s="1252"/>
      <c r="L135" s="1252"/>
      <c r="M135" s="1252"/>
      <c r="N135" s="1562"/>
    </row>
    <row r="136" spans="1:14" s="1371" customFormat="1" x14ac:dyDescent="0.2">
      <c r="A136" s="1249"/>
      <c r="B136" s="1252"/>
      <c r="C136" s="1255"/>
      <c r="D136" s="1252"/>
      <c r="E136" s="1252"/>
      <c r="F136" s="1252"/>
      <c r="G136" s="1252"/>
      <c r="H136" s="1252"/>
      <c r="I136" s="1252"/>
      <c r="J136" s="1252"/>
      <c r="K136" s="1252"/>
      <c r="L136" s="1252"/>
      <c r="M136" s="1252"/>
      <c r="N136" s="1562"/>
    </row>
    <row r="137" spans="1:14" s="1371" customFormat="1" x14ac:dyDescent="0.2">
      <c r="A137" s="1249"/>
      <c r="B137" s="1252"/>
      <c r="C137" s="1255"/>
      <c r="D137" s="1252"/>
      <c r="E137" s="1252"/>
      <c r="F137" s="1252"/>
      <c r="G137" s="1252"/>
      <c r="H137" s="1252"/>
      <c r="I137" s="1252"/>
      <c r="J137" s="1252"/>
      <c r="K137" s="1252"/>
      <c r="L137" s="1252"/>
      <c r="M137" s="1252"/>
      <c r="N137" s="1562"/>
    </row>
    <row r="138" spans="1:14" s="1371" customFormat="1" x14ac:dyDescent="0.2">
      <c r="A138" s="1249"/>
      <c r="B138" s="1252"/>
      <c r="C138" s="1255"/>
      <c r="D138" s="1252"/>
      <c r="E138" s="1252"/>
      <c r="F138" s="1252"/>
      <c r="G138" s="1252"/>
      <c r="H138" s="1252"/>
      <c r="I138" s="1252"/>
      <c r="J138" s="1252"/>
      <c r="K138" s="1252"/>
      <c r="L138" s="1252"/>
      <c r="M138" s="1252"/>
      <c r="N138" s="1562"/>
    </row>
    <row r="139" spans="1:14" s="1371" customFormat="1" x14ac:dyDescent="0.2">
      <c r="A139" s="1249"/>
      <c r="B139" s="1252"/>
      <c r="C139" s="1255"/>
      <c r="D139" s="1252"/>
      <c r="E139" s="1252"/>
      <c r="F139" s="1252"/>
      <c r="G139" s="1252"/>
      <c r="H139" s="1252"/>
      <c r="I139" s="1252"/>
      <c r="J139" s="1252"/>
      <c r="K139" s="1252"/>
      <c r="L139" s="1252"/>
      <c r="M139" s="1252"/>
      <c r="N139" s="1562"/>
    </row>
    <row r="140" spans="1:14" s="1561" customFormat="1" ht="22.5" customHeight="1" x14ac:dyDescent="0.2">
      <c r="A140" s="1249"/>
      <c r="B140" s="1252"/>
      <c r="C140" s="1255"/>
      <c r="D140" s="1252"/>
      <c r="E140" s="1252"/>
      <c r="F140" s="1252"/>
      <c r="G140" s="1252"/>
      <c r="H140" s="1252"/>
      <c r="I140" s="1252"/>
      <c r="J140" s="1252"/>
      <c r="K140" s="1252"/>
      <c r="L140" s="1252"/>
      <c r="M140" s="1252"/>
      <c r="N140" s="1562"/>
    </row>
    <row r="141" spans="1:14" s="1371" customFormat="1" ht="12.75" customHeight="1" x14ac:dyDescent="0.2">
      <c r="A141" s="1249"/>
      <c r="B141" s="1252"/>
      <c r="C141" s="1255"/>
      <c r="D141" s="1252"/>
      <c r="E141" s="1252"/>
      <c r="F141" s="1252"/>
      <c r="G141" s="1252"/>
      <c r="H141" s="1252"/>
      <c r="I141" s="1252"/>
      <c r="J141" s="1252"/>
      <c r="K141" s="1252"/>
      <c r="L141" s="1252"/>
      <c r="M141" s="1252"/>
      <c r="N141" s="1562"/>
    </row>
    <row r="142" spans="1:14" s="1371" customFormat="1" ht="12.75" customHeight="1" x14ac:dyDescent="0.2">
      <c r="A142" s="1249"/>
      <c r="B142" s="1252"/>
      <c r="C142" s="1255"/>
      <c r="D142" s="1252"/>
      <c r="E142" s="1252"/>
      <c r="F142" s="1252"/>
      <c r="G142" s="1252"/>
      <c r="H142" s="1252"/>
      <c r="I142" s="1252"/>
      <c r="J142" s="1252"/>
      <c r="K142" s="1252"/>
      <c r="L142" s="1252"/>
      <c r="M142" s="1252"/>
      <c r="N142" s="1562"/>
    </row>
    <row r="143" spans="1:14" s="1371" customFormat="1" x14ac:dyDescent="0.2">
      <c r="A143" s="1249"/>
      <c r="B143" s="1252"/>
      <c r="C143" s="1255"/>
      <c r="D143" s="1252"/>
      <c r="E143" s="1252"/>
      <c r="F143" s="1252"/>
      <c r="G143" s="1252"/>
      <c r="H143" s="1252"/>
      <c r="I143" s="1252"/>
      <c r="J143" s="1252"/>
      <c r="K143" s="1252"/>
      <c r="L143" s="1252"/>
      <c r="M143" s="1252"/>
      <c r="N143" s="1562"/>
    </row>
    <row r="144" spans="1:14" s="1371" customFormat="1" x14ac:dyDescent="0.2">
      <c r="A144" s="1249"/>
      <c r="B144" s="1252"/>
      <c r="C144" s="1255"/>
      <c r="D144" s="1252"/>
      <c r="E144" s="1252"/>
      <c r="F144" s="1252"/>
      <c r="G144" s="1252"/>
      <c r="H144" s="1252"/>
      <c r="I144" s="1252"/>
      <c r="J144" s="1252"/>
      <c r="K144" s="1252"/>
      <c r="L144" s="1252"/>
      <c r="M144" s="1252"/>
      <c r="N144" s="1562"/>
    </row>
    <row r="145" spans="1:14" s="1561" customFormat="1" ht="34.5" customHeight="1" x14ac:dyDescent="0.2">
      <c r="A145" s="1249"/>
      <c r="B145" s="1252"/>
      <c r="C145" s="1255"/>
      <c r="D145" s="1252"/>
      <c r="E145" s="1252"/>
      <c r="F145" s="1252"/>
      <c r="G145" s="1252"/>
      <c r="H145" s="1252"/>
      <c r="I145" s="1252"/>
      <c r="J145" s="1252"/>
      <c r="K145" s="1252"/>
      <c r="L145" s="1252"/>
      <c r="M145" s="1252"/>
      <c r="N145" s="1562"/>
    </row>
    <row r="146" spans="1:14" s="1371" customFormat="1" ht="14.25" customHeight="1" x14ac:dyDescent="0.2">
      <c r="A146" s="1249"/>
      <c r="B146" s="1252"/>
      <c r="C146" s="1255"/>
      <c r="D146" s="1252"/>
      <c r="E146" s="1252"/>
      <c r="F146" s="1252"/>
      <c r="G146" s="1252"/>
      <c r="H146" s="1252"/>
      <c r="I146" s="1252"/>
      <c r="J146" s="1252"/>
      <c r="K146" s="1252"/>
      <c r="L146" s="1252"/>
      <c r="M146" s="1252"/>
      <c r="N146" s="1562"/>
    </row>
    <row r="147" spans="1:14" s="1371" customFormat="1" ht="12.75" customHeight="1" x14ac:dyDescent="0.2">
      <c r="A147" s="1249"/>
      <c r="B147" s="1252"/>
      <c r="C147" s="1255"/>
      <c r="D147" s="1252"/>
      <c r="E147" s="1252"/>
      <c r="F147" s="1252"/>
      <c r="G147" s="1252"/>
      <c r="H147" s="1252"/>
      <c r="I147" s="1252"/>
      <c r="J147" s="1252"/>
      <c r="K147" s="1252"/>
      <c r="L147" s="1252"/>
      <c r="M147" s="1252"/>
      <c r="N147" s="1562"/>
    </row>
    <row r="148" spans="1:14" s="1371" customFormat="1" x14ac:dyDescent="0.2">
      <c r="A148" s="1249"/>
      <c r="B148" s="1252"/>
      <c r="C148" s="1255"/>
      <c r="D148" s="1252"/>
      <c r="E148" s="1252"/>
      <c r="F148" s="1252"/>
      <c r="G148" s="1252"/>
      <c r="H148" s="1252"/>
      <c r="I148" s="1252"/>
      <c r="J148" s="1252"/>
      <c r="K148" s="1252"/>
      <c r="L148" s="1252"/>
      <c r="M148" s="1252"/>
      <c r="N148" s="1562"/>
    </row>
    <row r="149" spans="1:14" s="1371" customFormat="1" x14ac:dyDescent="0.2">
      <c r="A149" s="1249"/>
      <c r="B149" s="1252"/>
      <c r="C149" s="1255"/>
      <c r="D149" s="1252"/>
      <c r="E149" s="1252"/>
      <c r="F149" s="1252"/>
      <c r="G149" s="1252"/>
      <c r="H149" s="1252"/>
      <c r="I149" s="1252"/>
      <c r="J149" s="1252"/>
      <c r="K149" s="1252"/>
      <c r="L149" s="1252"/>
      <c r="M149" s="1252"/>
      <c r="N149" s="1562"/>
    </row>
    <row r="150" spans="1:14" s="1371" customFormat="1" x14ac:dyDescent="0.2">
      <c r="A150" s="1249"/>
      <c r="B150" s="1252"/>
      <c r="C150" s="1255"/>
      <c r="D150" s="1252"/>
      <c r="E150" s="1252"/>
      <c r="F150" s="1252"/>
      <c r="G150" s="1252"/>
      <c r="H150" s="1252"/>
      <c r="I150" s="1252"/>
      <c r="J150" s="1252"/>
      <c r="K150" s="1252"/>
      <c r="L150" s="1252"/>
      <c r="M150" s="1252"/>
      <c r="N150" s="1562"/>
    </row>
    <row r="151" spans="1:14" s="1561" customFormat="1" ht="36.75" customHeight="1" x14ac:dyDescent="0.2">
      <c r="A151" s="1249"/>
      <c r="B151" s="1252"/>
      <c r="C151" s="1255"/>
      <c r="D151" s="1252"/>
      <c r="E151" s="1252"/>
      <c r="F151" s="1252"/>
      <c r="G151" s="1252"/>
      <c r="H151" s="1252"/>
      <c r="I151" s="1252"/>
      <c r="J151" s="1252"/>
      <c r="K151" s="1252"/>
      <c r="L151" s="1252"/>
      <c r="M151" s="1252"/>
      <c r="N151" s="1562"/>
    </row>
    <row r="152" spans="1:14" s="1371" customFormat="1" ht="9.75" customHeight="1" x14ac:dyDescent="0.2">
      <c r="A152" s="1249"/>
      <c r="B152" s="1252"/>
      <c r="C152" s="1255"/>
      <c r="D152" s="1252"/>
      <c r="E152" s="1252"/>
      <c r="F152" s="1252"/>
      <c r="G152" s="1252"/>
      <c r="H152" s="1252"/>
      <c r="I152" s="1252"/>
      <c r="J152" s="1252"/>
      <c r="K152" s="1252"/>
      <c r="L152" s="1252"/>
      <c r="M152" s="1252"/>
      <c r="N152" s="1562"/>
    </row>
    <row r="153" spans="1:14" s="1371" customFormat="1" ht="12.75" customHeight="1" x14ac:dyDescent="0.2">
      <c r="A153" s="1249"/>
      <c r="B153" s="1252"/>
      <c r="C153" s="1255"/>
      <c r="D153" s="1252"/>
      <c r="E153" s="1252"/>
      <c r="F153" s="1252"/>
      <c r="G153" s="1252"/>
      <c r="H153" s="1252"/>
      <c r="I153" s="1252"/>
      <c r="J153" s="1252"/>
      <c r="K153" s="1252"/>
      <c r="L153" s="1252"/>
      <c r="M153" s="1252"/>
      <c r="N153" s="1562"/>
    </row>
    <row r="154" spans="1:14" s="1371" customFormat="1" x14ac:dyDescent="0.2">
      <c r="A154" s="1249"/>
      <c r="B154" s="1252"/>
      <c r="C154" s="1255"/>
      <c r="D154" s="1252"/>
      <c r="E154" s="1252"/>
      <c r="F154" s="1252"/>
      <c r="G154" s="1252"/>
      <c r="H154" s="1252"/>
      <c r="I154" s="1252"/>
      <c r="J154" s="1252"/>
      <c r="K154" s="1252"/>
      <c r="L154" s="1252"/>
      <c r="M154" s="1252"/>
      <c r="N154" s="1562"/>
    </row>
    <row r="155" spans="1:14" s="1371" customFormat="1" x14ac:dyDescent="0.2">
      <c r="A155" s="1249"/>
      <c r="B155" s="1252"/>
      <c r="C155" s="1255"/>
      <c r="D155" s="1252"/>
      <c r="E155" s="1252"/>
      <c r="F155" s="1252"/>
      <c r="G155" s="1252"/>
      <c r="H155" s="1252"/>
      <c r="I155" s="1252"/>
      <c r="J155" s="1252"/>
      <c r="K155" s="1252"/>
      <c r="L155" s="1252"/>
      <c r="M155" s="1252"/>
      <c r="N155" s="1562"/>
    </row>
    <row r="156" spans="1:14" s="1371" customFormat="1" x14ac:dyDescent="0.2">
      <c r="A156" s="1249"/>
      <c r="B156" s="1252"/>
      <c r="C156" s="1255"/>
      <c r="D156" s="1252"/>
      <c r="E156" s="1252"/>
      <c r="F156" s="1252"/>
      <c r="G156" s="1252"/>
      <c r="H156" s="1252"/>
      <c r="I156" s="1252"/>
      <c r="J156" s="1252"/>
      <c r="K156" s="1252"/>
      <c r="L156" s="1252"/>
      <c r="M156" s="1252"/>
      <c r="N156" s="1562"/>
    </row>
    <row r="157" spans="1:14" s="1561" customFormat="1" ht="33.75" customHeight="1" x14ac:dyDescent="0.2">
      <c r="A157" s="1249"/>
      <c r="B157" s="1252"/>
      <c r="C157" s="1255"/>
      <c r="D157" s="1252"/>
      <c r="E157" s="1252"/>
      <c r="F157" s="1252"/>
      <c r="G157" s="1252"/>
      <c r="H157" s="1252"/>
      <c r="I157" s="1252"/>
      <c r="J157" s="1252"/>
      <c r="K157" s="1252"/>
      <c r="L157" s="1252"/>
      <c r="M157" s="1252"/>
      <c r="N157" s="1562"/>
    </row>
    <row r="158" spans="1:14" s="1371" customFormat="1" ht="9.75" customHeight="1" x14ac:dyDescent="0.2">
      <c r="A158" s="1249"/>
      <c r="B158" s="1252"/>
      <c r="C158" s="1255"/>
      <c r="D158" s="1252"/>
      <c r="E158" s="1252"/>
      <c r="F158" s="1252"/>
      <c r="G158" s="1252"/>
      <c r="H158" s="1252"/>
      <c r="I158" s="1252"/>
      <c r="J158" s="1252"/>
      <c r="K158" s="1252"/>
      <c r="L158" s="1252"/>
      <c r="M158" s="1252"/>
      <c r="N158" s="1562"/>
    </row>
    <row r="159" spans="1:14" s="1371" customFormat="1" ht="12.75" customHeight="1" x14ac:dyDescent="0.2">
      <c r="A159" s="1249"/>
      <c r="B159" s="1252"/>
      <c r="C159" s="1255"/>
      <c r="D159" s="1252"/>
      <c r="E159" s="1252"/>
      <c r="F159" s="1252"/>
      <c r="G159" s="1252"/>
      <c r="H159" s="1252"/>
      <c r="I159" s="1252"/>
      <c r="J159" s="1252"/>
      <c r="K159" s="1252"/>
      <c r="L159" s="1252"/>
      <c r="M159" s="1252"/>
      <c r="N159" s="1562"/>
    </row>
    <row r="160" spans="1:14" s="1371" customFormat="1" x14ac:dyDescent="0.2">
      <c r="A160" s="1249"/>
      <c r="B160" s="1252"/>
      <c r="C160" s="1255"/>
      <c r="D160" s="1252"/>
      <c r="E160" s="1252"/>
      <c r="F160" s="1252"/>
      <c r="G160" s="1252"/>
      <c r="H160" s="1252"/>
      <c r="I160" s="1252"/>
      <c r="J160" s="1252"/>
      <c r="K160" s="1252"/>
      <c r="L160" s="1252"/>
      <c r="M160" s="1252"/>
      <c r="N160" s="1562"/>
    </row>
    <row r="161" spans="1:14" s="1371" customFormat="1" x14ac:dyDescent="0.2">
      <c r="A161" s="1249"/>
      <c r="B161" s="1252"/>
      <c r="C161" s="1255"/>
      <c r="D161" s="1252"/>
      <c r="E161" s="1252"/>
      <c r="F161" s="1252"/>
      <c r="G161" s="1252"/>
      <c r="H161" s="1252"/>
      <c r="I161" s="1252"/>
      <c r="J161" s="1252"/>
      <c r="K161" s="1252"/>
      <c r="L161" s="1252"/>
      <c r="M161" s="1252"/>
      <c r="N161" s="1562"/>
    </row>
    <row r="162" spans="1:14" s="1371" customFormat="1" x14ac:dyDescent="0.2">
      <c r="A162" s="1249"/>
      <c r="B162" s="1252"/>
      <c r="C162" s="1255"/>
      <c r="D162" s="1252"/>
      <c r="E162" s="1252"/>
      <c r="F162" s="1252"/>
      <c r="G162" s="1252"/>
      <c r="H162" s="1252"/>
      <c r="I162" s="1252"/>
      <c r="J162" s="1252"/>
      <c r="K162" s="1252"/>
      <c r="L162" s="1252"/>
      <c r="M162" s="1252"/>
      <c r="N162" s="1562"/>
    </row>
    <row r="163" spans="1:14" s="1371" customFormat="1" x14ac:dyDescent="0.2">
      <c r="A163" s="1249"/>
      <c r="B163" s="1252"/>
      <c r="C163" s="1255"/>
      <c r="D163" s="1252"/>
      <c r="E163" s="1252"/>
      <c r="F163" s="1252"/>
      <c r="G163" s="1252"/>
      <c r="H163" s="1252"/>
      <c r="I163" s="1252"/>
      <c r="J163" s="1252"/>
      <c r="K163" s="1252"/>
      <c r="L163" s="1252"/>
      <c r="M163" s="1252"/>
      <c r="N163" s="1562"/>
    </row>
    <row r="164" spans="1:14" s="1563" customFormat="1" ht="14.25" customHeight="1" x14ac:dyDescent="0.2">
      <c r="A164" s="1249"/>
      <c r="B164" s="1252"/>
      <c r="C164" s="1255"/>
      <c r="D164" s="1252"/>
      <c r="E164" s="1252"/>
      <c r="F164" s="1252"/>
      <c r="G164" s="1252"/>
      <c r="H164" s="1252"/>
      <c r="I164" s="1252"/>
      <c r="J164" s="1252"/>
      <c r="K164" s="1252"/>
      <c r="L164" s="1252"/>
      <c r="M164" s="1252"/>
      <c r="N164" s="1562"/>
    </row>
    <row r="165" spans="1:14" s="1371" customFormat="1" x14ac:dyDescent="0.2">
      <c r="A165" s="1249"/>
      <c r="B165" s="1252"/>
      <c r="C165" s="1255"/>
      <c r="D165" s="1252"/>
      <c r="E165" s="1252"/>
      <c r="F165" s="1252"/>
      <c r="G165" s="1252"/>
      <c r="H165" s="1252"/>
      <c r="I165" s="1252"/>
      <c r="J165" s="1252"/>
      <c r="K165" s="1252"/>
      <c r="L165" s="1252"/>
      <c r="M165" s="1252"/>
      <c r="N165" s="1562"/>
    </row>
    <row r="166" spans="1:14" s="1566" customFormat="1" ht="23.25" customHeight="1" x14ac:dyDescent="0.2">
      <c r="A166" s="1249"/>
      <c r="B166" s="1252"/>
      <c r="C166" s="1255"/>
      <c r="D166" s="1252"/>
      <c r="E166" s="1252"/>
      <c r="F166" s="1252"/>
      <c r="G166" s="1252"/>
      <c r="H166" s="1252"/>
      <c r="I166" s="1252"/>
      <c r="J166" s="1252"/>
      <c r="K166" s="1252"/>
      <c r="L166" s="1252"/>
      <c r="M166" s="1252"/>
      <c r="N166" s="1562"/>
    </row>
    <row r="167" spans="1:14" s="1371" customFormat="1" x14ac:dyDescent="0.2">
      <c r="A167" s="1249"/>
      <c r="B167" s="1252"/>
      <c r="C167" s="1255"/>
      <c r="D167" s="1252"/>
      <c r="E167" s="1252"/>
      <c r="F167" s="1252"/>
      <c r="G167" s="1252"/>
      <c r="H167" s="1252"/>
      <c r="I167" s="1252"/>
      <c r="J167" s="1252"/>
      <c r="K167" s="1252"/>
      <c r="L167" s="1252"/>
      <c r="M167" s="1252"/>
      <c r="N167" s="1562"/>
    </row>
    <row r="168" spans="1:14" s="1565" customFormat="1" ht="15.75" customHeight="1" x14ac:dyDescent="0.2">
      <c r="A168" s="1249"/>
      <c r="B168" s="1252"/>
      <c r="C168" s="1255"/>
      <c r="D168" s="1252"/>
      <c r="E168" s="1252"/>
      <c r="F168" s="1252"/>
      <c r="G168" s="1252"/>
      <c r="H168" s="1252"/>
      <c r="I168" s="1252"/>
      <c r="J168" s="1252"/>
      <c r="K168" s="1252"/>
      <c r="L168" s="1252"/>
      <c r="M168" s="1252"/>
      <c r="N168" s="1562"/>
    </row>
    <row r="169" spans="1:14" s="1565" customFormat="1" ht="12.75" customHeight="1" x14ac:dyDescent="0.2">
      <c r="A169" s="1249"/>
      <c r="B169" s="1252"/>
      <c r="C169" s="1255"/>
      <c r="D169" s="1252"/>
      <c r="E169" s="1252"/>
      <c r="F169" s="1252"/>
      <c r="G169" s="1252"/>
      <c r="H169" s="1252"/>
      <c r="I169" s="1252"/>
      <c r="J169" s="1252"/>
      <c r="K169" s="1252"/>
      <c r="L169" s="1252"/>
      <c r="M169" s="1252"/>
      <c r="N169" s="1562"/>
    </row>
    <row r="170" spans="1:14" s="1565" customFormat="1" ht="12.75" customHeight="1" x14ac:dyDescent="0.2">
      <c r="A170" s="1249"/>
      <c r="B170" s="1252"/>
      <c r="C170" s="1255"/>
      <c r="D170" s="1252"/>
      <c r="E170" s="1252"/>
      <c r="F170" s="1252"/>
      <c r="G170" s="1252"/>
      <c r="H170" s="1252"/>
      <c r="I170" s="1252"/>
      <c r="J170" s="1252"/>
      <c r="K170" s="1252"/>
      <c r="L170" s="1252"/>
      <c r="M170" s="1252"/>
      <c r="N170" s="1562"/>
    </row>
    <row r="171" spans="1:14" s="1565" customFormat="1" ht="12" customHeight="1" x14ac:dyDescent="0.2">
      <c r="A171" s="1249"/>
      <c r="B171" s="1252"/>
      <c r="C171" s="1255"/>
      <c r="D171" s="1252"/>
      <c r="E171" s="1252"/>
      <c r="F171" s="1252"/>
      <c r="G171" s="1252"/>
      <c r="H171" s="1252"/>
      <c r="I171" s="1252"/>
      <c r="J171" s="1252"/>
      <c r="K171" s="1252"/>
      <c r="L171" s="1252"/>
      <c r="M171" s="1252"/>
      <c r="N171" s="1562"/>
    </row>
    <row r="172" spans="1:14" s="1563" customFormat="1" ht="24" customHeight="1" x14ac:dyDescent="0.2">
      <c r="A172" s="1249"/>
      <c r="B172" s="1252"/>
      <c r="C172" s="1255"/>
      <c r="D172" s="1252"/>
      <c r="E172" s="1252"/>
      <c r="F172" s="1252"/>
      <c r="G172" s="1252"/>
      <c r="H172" s="1252"/>
      <c r="I172" s="1252"/>
      <c r="J172" s="1252"/>
      <c r="K172" s="1252"/>
      <c r="L172" s="1252"/>
      <c r="M172" s="1252"/>
      <c r="N172" s="1562"/>
    </row>
    <row r="173" spans="1:14" s="1371" customFormat="1" ht="11.25" customHeight="1" x14ac:dyDescent="0.2">
      <c r="A173" s="1249"/>
      <c r="B173" s="1252"/>
      <c r="C173" s="1255"/>
      <c r="D173" s="1252"/>
      <c r="E173" s="1252"/>
      <c r="F173" s="1252"/>
      <c r="G173" s="1252"/>
      <c r="H173" s="1252"/>
      <c r="I173" s="1252"/>
      <c r="J173" s="1252"/>
      <c r="K173" s="1252"/>
      <c r="L173" s="1252"/>
      <c r="M173" s="1252"/>
      <c r="N173" s="1562"/>
    </row>
    <row r="174" spans="1:14" s="1371" customFormat="1" ht="12.75" customHeight="1" x14ac:dyDescent="0.2">
      <c r="A174" s="1249"/>
      <c r="B174" s="1252"/>
      <c r="C174" s="1255"/>
      <c r="D174" s="1252"/>
      <c r="E174" s="1252"/>
      <c r="F174" s="1252"/>
      <c r="G174" s="1252"/>
      <c r="H174" s="1252"/>
      <c r="I174" s="1252"/>
      <c r="J174" s="1252"/>
      <c r="K174" s="1252"/>
      <c r="L174" s="1252"/>
      <c r="M174" s="1252"/>
      <c r="N174" s="1562"/>
    </row>
    <row r="175" spans="1:14" s="1371" customFormat="1" x14ac:dyDescent="0.2">
      <c r="A175" s="1249"/>
      <c r="B175" s="1252"/>
      <c r="C175" s="1255"/>
      <c r="D175" s="1252"/>
      <c r="E175" s="1252"/>
      <c r="F175" s="1252"/>
      <c r="G175" s="1252"/>
      <c r="H175" s="1252"/>
      <c r="I175" s="1252"/>
      <c r="J175" s="1252"/>
      <c r="K175" s="1252"/>
      <c r="L175" s="1252"/>
      <c r="M175" s="1252"/>
      <c r="N175" s="1562"/>
    </row>
    <row r="176" spans="1:14" s="1371" customFormat="1" x14ac:dyDescent="0.2">
      <c r="A176" s="1249"/>
      <c r="B176" s="1252"/>
      <c r="C176" s="1255"/>
      <c r="D176" s="1252"/>
      <c r="E176" s="1252"/>
      <c r="F176" s="1252"/>
      <c r="G176" s="1252"/>
      <c r="H176" s="1252"/>
      <c r="I176" s="1252"/>
      <c r="J176" s="1252"/>
      <c r="K176" s="1252"/>
      <c r="L176" s="1252"/>
      <c r="M176" s="1252"/>
      <c r="N176" s="1562"/>
    </row>
    <row r="177" spans="1:14" s="1371" customFormat="1" x14ac:dyDescent="0.2">
      <c r="A177" s="1249"/>
      <c r="B177" s="1252"/>
      <c r="C177" s="1255"/>
      <c r="D177" s="1252"/>
      <c r="E177" s="1252"/>
      <c r="F177" s="1252"/>
      <c r="G177" s="1252"/>
      <c r="H177" s="1252"/>
      <c r="I177" s="1252"/>
      <c r="J177" s="1252"/>
      <c r="K177" s="1252"/>
      <c r="L177" s="1252"/>
      <c r="M177" s="1252"/>
      <c r="N177" s="1562"/>
    </row>
    <row r="178" spans="1:14" s="1371" customFormat="1" x14ac:dyDescent="0.2">
      <c r="A178" s="1249"/>
      <c r="B178" s="1252"/>
      <c r="C178" s="1255"/>
      <c r="D178" s="1252"/>
      <c r="E178" s="1252"/>
      <c r="F178" s="1252"/>
      <c r="G178" s="1252"/>
      <c r="H178" s="1252"/>
      <c r="I178" s="1252"/>
      <c r="J178" s="1252"/>
      <c r="K178" s="1252"/>
      <c r="L178" s="1252"/>
      <c r="M178" s="1252"/>
      <c r="N178" s="1562"/>
    </row>
    <row r="179" spans="1:14" s="1371" customFormat="1" ht="21.75" customHeight="1" x14ac:dyDescent="0.2">
      <c r="A179" s="1249"/>
      <c r="B179" s="1252"/>
      <c r="C179" s="1255"/>
      <c r="D179" s="1252"/>
      <c r="E179" s="1252"/>
      <c r="F179" s="1252"/>
      <c r="G179" s="1252"/>
      <c r="H179" s="1252"/>
      <c r="I179" s="1252"/>
      <c r="J179" s="1252"/>
      <c r="K179" s="1252"/>
      <c r="L179" s="1252"/>
      <c r="M179" s="1252"/>
      <c r="N179" s="1562"/>
    </row>
    <row r="180" spans="1:14" s="1371" customFormat="1" ht="12.75" customHeight="1" x14ac:dyDescent="0.2">
      <c r="A180" s="1249"/>
      <c r="B180" s="1252"/>
      <c r="C180" s="1255"/>
      <c r="D180" s="1252"/>
      <c r="E180" s="1252"/>
      <c r="F180" s="1252"/>
      <c r="G180" s="1252"/>
      <c r="H180" s="1252"/>
      <c r="I180" s="1252"/>
      <c r="J180" s="1252"/>
      <c r="K180" s="1252"/>
      <c r="L180" s="1252"/>
      <c r="M180" s="1252"/>
      <c r="N180" s="1562"/>
    </row>
    <row r="181" spans="1:14" s="1371" customFormat="1" x14ac:dyDescent="0.2">
      <c r="A181" s="1249"/>
      <c r="B181" s="1252"/>
      <c r="C181" s="1255"/>
      <c r="D181" s="1252"/>
      <c r="E181" s="1252"/>
      <c r="F181" s="1252"/>
      <c r="G181" s="1252"/>
      <c r="H181" s="1252"/>
      <c r="I181" s="1252"/>
      <c r="J181" s="1252"/>
      <c r="K181" s="1252"/>
      <c r="L181" s="1252"/>
      <c r="M181" s="1252"/>
      <c r="N181" s="1562"/>
    </row>
    <row r="182" spans="1:14" s="1371" customFormat="1" x14ac:dyDescent="0.2">
      <c r="A182" s="1249"/>
      <c r="B182" s="1252"/>
      <c r="C182" s="1255"/>
      <c r="D182" s="1252"/>
      <c r="E182" s="1252"/>
      <c r="F182" s="1252"/>
      <c r="G182" s="1252"/>
      <c r="H182" s="1252"/>
      <c r="I182" s="1252"/>
      <c r="J182" s="1252"/>
      <c r="K182" s="1252"/>
      <c r="L182" s="1252"/>
      <c r="M182" s="1252"/>
      <c r="N182" s="1562"/>
    </row>
    <row r="183" spans="1:14" s="1371" customFormat="1" x14ac:dyDescent="0.2">
      <c r="A183" s="1249"/>
      <c r="B183" s="1252"/>
      <c r="C183" s="1255"/>
      <c r="D183" s="1252"/>
      <c r="E183" s="1252"/>
      <c r="F183" s="1252"/>
      <c r="G183" s="1252"/>
      <c r="H183" s="1252"/>
      <c r="I183" s="1252"/>
      <c r="J183" s="1252"/>
      <c r="K183" s="1252"/>
      <c r="L183" s="1252"/>
      <c r="M183" s="1252"/>
      <c r="N183" s="1562"/>
    </row>
    <row r="184" spans="1:14" s="1371" customFormat="1" x14ac:dyDescent="0.2">
      <c r="A184" s="1249"/>
      <c r="B184" s="1252"/>
      <c r="C184" s="1255"/>
      <c r="D184" s="1252"/>
      <c r="E184" s="1252"/>
      <c r="F184" s="1252"/>
      <c r="G184" s="1252"/>
      <c r="H184" s="1252"/>
      <c r="I184" s="1252"/>
      <c r="J184" s="1252"/>
      <c r="K184" s="1252"/>
      <c r="L184" s="1252"/>
      <c r="M184" s="1252"/>
      <c r="N184" s="1562"/>
    </row>
    <row r="185" spans="1:14" s="1371" customFormat="1" x14ac:dyDescent="0.2">
      <c r="A185" s="1249"/>
      <c r="B185" s="1252"/>
      <c r="C185" s="1255"/>
      <c r="D185" s="1252"/>
      <c r="E185" s="1252"/>
      <c r="F185" s="1252"/>
      <c r="G185" s="1252"/>
      <c r="H185" s="1252"/>
      <c r="I185" s="1252"/>
      <c r="J185" s="1252"/>
      <c r="K185" s="1252"/>
      <c r="L185" s="1252"/>
      <c r="M185" s="1252"/>
      <c r="N185" s="1562"/>
    </row>
    <row r="186" spans="1:14" s="1371" customFormat="1" ht="32.25" customHeight="1" x14ac:dyDescent="0.2">
      <c r="A186" s="1249"/>
      <c r="B186" s="1252"/>
      <c r="C186" s="1255"/>
      <c r="D186" s="1252"/>
      <c r="E186" s="1252"/>
      <c r="F186" s="1252"/>
      <c r="G186" s="1252"/>
      <c r="H186" s="1252"/>
      <c r="I186" s="1252"/>
      <c r="J186" s="1252"/>
      <c r="K186" s="1252"/>
      <c r="L186" s="1252"/>
      <c r="M186" s="1252"/>
      <c r="N186" s="1562"/>
    </row>
    <row r="187" spans="1:14" s="1371" customFormat="1" ht="15" customHeight="1" x14ac:dyDescent="0.2">
      <c r="A187" s="1249"/>
      <c r="B187" s="1252"/>
      <c r="C187" s="1255"/>
      <c r="D187" s="1252"/>
      <c r="E187" s="1252"/>
      <c r="F187" s="1252"/>
      <c r="G187" s="1252"/>
      <c r="H187" s="1252"/>
      <c r="I187" s="1252"/>
      <c r="J187" s="1252"/>
      <c r="K187" s="1252"/>
      <c r="L187" s="1252"/>
      <c r="M187" s="1252"/>
      <c r="N187" s="1562"/>
    </row>
    <row r="188" spans="1:14" s="1371" customFormat="1" ht="12.75" customHeight="1" x14ac:dyDescent="0.2">
      <c r="A188" s="1249"/>
      <c r="B188" s="1252"/>
      <c r="C188" s="1255"/>
      <c r="D188" s="1252"/>
      <c r="E188" s="1252"/>
      <c r="F188" s="1252"/>
      <c r="G188" s="1252"/>
      <c r="H188" s="1252"/>
      <c r="I188" s="1252"/>
      <c r="J188" s="1252"/>
      <c r="K188" s="1252"/>
      <c r="L188" s="1252"/>
      <c r="M188" s="1252"/>
      <c r="N188" s="1562"/>
    </row>
    <row r="189" spans="1:14" s="1371" customFormat="1" x14ac:dyDescent="0.2">
      <c r="A189" s="1249"/>
      <c r="B189" s="1252"/>
      <c r="C189" s="1255"/>
      <c r="D189" s="1252"/>
      <c r="E189" s="1252"/>
      <c r="F189" s="1252"/>
      <c r="G189" s="1252"/>
      <c r="H189" s="1252"/>
      <c r="I189" s="1252"/>
      <c r="J189" s="1252"/>
      <c r="K189" s="1252"/>
      <c r="L189" s="1252"/>
      <c r="M189" s="1252"/>
      <c r="N189" s="1562"/>
    </row>
    <row r="190" spans="1:14" s="1371" customFormat="1" x14ac:dyDescent="0.2">
      <c r="A190" s="1249"/>
      <c r="B190" s="1252"/>
      <c r="C190" s="1255"/>
      <c r="D190" s="1252"/>
      <c r="E190" s="1252"/>
      <c r="F190" s="1252"/>
      <c r="G190" s="1252"/>
      <c r="H190" s="1252"/>
      <c r="I190" s="1252"/>
      <c r="J190" s="1252"/>
      <c r="K190" s="1252"/>
      <c r="L190" s="1252"/>
      <c r="M190" s="1252"/>
      <c r="N190" s="1562"/>
    </row>
    <row r="191" spans="1:14" s="1371" customFormat="1" x14ac:dyDescent="0.2">
      <c r="A191" s="1249"/>
      <c r="B191" s="1252"/>
      <c r="C191" s="1255"/>
      <c r="D191" s="1252"/>
      <c r="E191" s="1252"/>
      <c r="F191" s="1252"/>
      <c r="G191" s="1252"/>
      <c r="H191" s="1252"/>
      <c r="I191" s="1252"/>
      <c r="J191" s="1252"/>
      <c r="K191" s="1252"/>
      <c r="L191" s="1252"/>
      <c r="M191" s="1252"/>
      <c r="N191" s="1562"/>
    </row>
    <row r="192" spans="1:14" s="1371" customFormat="1" ht="11.25" customHeight="1" x14ac:dyDescent="0.2">
      <c r="A192" s="1249"/>
      <c r="B192" s="1252"/>
      <c r="C192" s="1255"/>
      <c r="D192" s="1252"/>
      <c r="E192" s="1252"/>
      <c r="F192" s="1252"/>
      <c r="G192" s="1252"/>
      <c r="H192" s="1252"/>
      <c r="I192" s="1252"/>
      <c r="J192" s="1252"/>
      <c r="K192" s="1252"/>
      <c r="L192" s="1252"/>
      <c r="M192" s="1252"/>
      <c r="N192" s="1562"/>
    </row>
    <row r="193" spans="1:14" s="1371" customFormat="1" ht="12.75" customHeight="1" x14ac:dyDescent="0.2">
      <c r="A193" s="1249"/>
      <c r="B193" s="1252"/>
      <c r="C193" s="1255"/>
      <c r="D193" s="1252"/>
      <c r="E193" s="1252"/>
      <c r="F193" s="1252"/>
      <c r="G193" s="1252"/>
      <c r="H193" s="1252"/>
      <c r="I193" s="1252"/>
      <c r="J193" s="1252"/>
      <c r="K193" s="1252"/>
      <c r="L193" s="1252"/>
      <c r="M193" s="1252"/>
      <c r="N193" s="1562"/>
    </row>
    <row r="194" spans="1:14" s="1371" customFormat="1" ht="12.75" customHeight="1" x14ac:dyDescent="0.2">
      <c r="A194" s="1249"/>
      <c r="B194" s="1252"/>
      <c r="C194" s="1255"/>
      <c r="D194" s="1252"/>
      <c r="E194" s="1252"/>
      <c r="F194" s="1252"/>
      <c r="G194" s="1252"/>
      <c r="H194" s="1252"/>
      <c r="I194" s="1252"/>
      <c r="J194" s="1252"/>
      <c r="K194" s="1252"/>
      <c r="L194" s="1252"/>
      <c r="M194" s="1252"/>
      <c r="N194" s="1562"/>
    </row>
    <row r="195" spans="1:14" s="1371" customFormat="1" x14ac:dyDescent="0.2">
      <c r="A195" s="1249"/>
      <c r="B195" s="1252"/>
      <c r="C195" s="1255"/>
      <c r="D195" s="1252"/>
      <c r="E195" s="1252"/>
      <c r="F195" s="1252"/>
      <c r="G195" s="1252"/>
      <c r="H195" s="1252"/>
      <c r="I195" s="1252"/>
      <c r="J195" s="1252"/>
      <c r="K195" s="1252"/>
      <c r="L195" s="1252"/>
      <c r="M195" s="1252"/>
      <c r="N195" s="1562"/>
    </row>
    <row r="196" spans="1:14" s="1371" customFormat="1" x14ac:dyDescent="0.2">
      <c r="A196" s="1249"/>
      <c r="B196" s="1252"/>
      <c r="C196" s="1255"/>
      <c r="D196" s="1252"/>
      <c r="E196" s="1252"/>
      <c r="F196" s="1252"/>
      <c r="G196" s="1252"/>
      <c r="H196" s="1252"/>
      <c r="I196" s="1252"/>
      <c r="J196" s="1252"/>
      <c r="K196" s="1252"/>
      <c r="L196" s="1252"/>
      <c r="M196" s="1252"/>
      <c r="N196" s="1562"/>
    </row>
    <row r="197" spans="1:14" s="1371" customFormat="1" x14ac:dyDescent="0.2">
      <c r="A197" s="1249"/>
      <c r="B197" s="1252"/>
      <c r="C197" s="1255"/>
      <c r="D197" s="1252"/>
      <c r="E197" s="1252"/>
      <c r="F197" s="1252"/>
      <c r="G197" s="1252"/>
      <c r="H197" s="1252"/>
      <c r="I197" s="1252"/>
      <c r="J197" s="1252"/>
      <c r="K197" s="1252"/>
      <c r="L197" s="1252"/>
      <c r="M197" s="1252"/>
      <c r="N197" s="1562"/>
    </row>
    <row r="198" spans="1:14" s="1371" customFormat="1" x14ac:dyDescent="0.2">
      <c r="A198" s="1249"/>
      <c r="B198" s="1252"/>
      <c r="C198" s="1255"/>
      <c r="D198" s="1252"/>
      <c r="E198" s="1252"/>
      <c r="F198" s="1252"/>
      <c r="G198" s="1252"/>
      <c r="H198" s="1252"/>
      <c r="I198" s="1252"/>
      <c r="J198" s="1252"/>
      <c r="K198" s="1252"/>
      <c r="L198" s="1252"/>
      <c r="M198" s="1252"/>
      <c r="N198" s="1562"/>
    </row>
    <row r="199" spans="1:14" s="1561" customFormat="1" ht="24.75" customHeight="1" x14ac:dyDescent="0.2">
      <c r="A199" s="1249"/>
      <c r="B199" s="1252"/>
      <c r="C199" s="1255"/>
      <c r="D199" s="1252"/>
      <c r="E199" s="1252"/>
      <c r="F199" s="1252"/>
      <c r="G199" s="1252"/>
      <c r="H199" s="1252"/>
      <c r="I199" s="1252"/>
      <c r="J199" s="1252"/>
      <c r="K199" s="1252"/>
      <c r="L199" s="1252"/>
      <c r="M199" s="1252"/>
      <c r="N199" s="1562"/>
    </row>
    <row r="200" spans="1:14" s="1371" customFormat="1" ht="12.75" customHeight="1" x14ac:dyDescent="0.2">
      <c r="A200" s="1249"/>
      <c r="B200" s="1252"/>
      <c r="C200" s="1255"/>
      <c r="D200" s="1252"/>
      <c r="E200" s="1252"/>
      <c r="F200" s="1252"/>
      <c r="G200" s="1252"/>
      <c r="H200" s="1252"/>
      <c r="I200" s="1252"/>
      <c r="J200" s="1252"/>
      <c r="K200" s="1252"/>
      <c r="L200" s="1252"/>
      <c r="M200" s="1252"/>
      <c r="N200" s="1562"/>
    </row>
    <row r="201" spans="1:14" s="1371" customFormat="1" ht="12.75" customHeight="1" x14ac:dyDescent="0.2">
      <c r="A201" s="1249"/>
      <c r="B201" s="1252"/>
      <c r="C201" s="1255"/>
      <c r="D201" s="1252"/>
      <c r="E201" s="1252"/>
      <c r="F201" s="1252"/>
      <c r="G201" s="1252"/>
      <c r="H201" s="1252"/>
      <c r="I201" s="1252"/>
      <c r="J201" s="1252"/>
      <c r="K201" s="1252"/>
      <c r="L201" s="1252"/>
      <c r="M201" s="1252"/>
      <c r="N201" s="1562"/>
    </row>
    <row r="202" spans="1:14" s="1371" customFormat="1" x14ac:dyDescent="0.2">
      <c r="A202" s="1249"/>
      <c r="B202" s="1252"/>
      <c r="C202" s="1255"/>
      <c r="D202" s="1252"/>
      <c r="E202" s="1252"/>
      <c r="F202" s="1252"/>
      <c r="G202" s="1252"/>
      <c r="H202" s="1252"/>
      <c r="I202" s="1252"/>
      <c r="J202" s="1252"/>
      <c r="K202" s="1252"/>
      <c r="L202" s="1252"/>
      <c r="M202" s="1252"/>
      <c r="N202" s="1562"/>
    </row>
    <row r="203" spans="1:14" s="1371" customFormat="1" x14ac:dyDescent="0.2">
      <c r="A203" s="1249"/>
      <c r="B203" s="1252"/>
      <c r="C203" s="1255"/>
      <c r="D203" s="1252"/>
      <c r="E203" s="1252"/>
      <c r="F203" s="1252"/>
      <c r="G203" s="1252"/>
      <c r="H203" s="1252"/>
      <c r="I203" s="1252"/>
      <c r="J203" s="1252"/>
      <c r="K203" s="1252"/>
      <c r="L203" s="1252"/>
      <c r="M203" s="1252"/>
      <c r="N203" s="1562"/>
    </row>
    <row r="204" spans="1:14" s="1371" customFormat="1" x14ac:dyDescent="0.2">
      <c r="A204" s="1249"/>
      <c r="B204" s="1252"/>
      <c r="C204" s="1255"/>
      <c r="D204" s="1252"/>
      <c r="E204" s="1252"/>
      <c r="F204" s="1252"/>
      <c r="G204" s="1252"/>
      <c r="H204" s="1252"/>
      <c r="I204" s="1252"/>
      <c r="J204" s="1252"/>
      <c r="K204" s="1252"/>
      <c r="L204" s="1252"/>
      <c r="M204" s="1252"/>
      <c r="N204" s="1562"/>
    </row>
    <row r="205" spans="1:14" s="1561" customFormat="1" ht="23.25" customHeight="1" thickBot="1" x14ac:dyDescent="0.25">
      <c r="A205" s="1567"/>
      <c r="B205" s="1252"/>
      <c r="C205" s="1255"/>
      <c r="D205" s="1252"/>
      <c r="E205" s="1252"/>
      <c r="F205" s="1252"/>
      <c r="G205" s="1252"/>
      <c r="H205" s="1252"/>
      <c r="I205" s="1252"/>
      <c r="J205" s="1252"/>
      <c r="K205" s="1252"/>
      <c r="L205" s="1252"/>
      <c r="M205" s="1252"/>
      <c r="N205" s="1562"/>
    </row>
    <row r="206" spans="1:14" s="1371" customFormat="1" ht="15" customHeight="1" x14ac:dyDescent="0.2">
      <c r="A206" s="1249"/>
      <c r="B206" s="1252"/>
      <c r="C206" s="1255"/>
      <c r="D206" s="1252"/>
      <c r="E206" s="1252"/>
      <c r="F206" s="1252"/>
      <c r="G206" s="1252"/>
      <c r="H206" s="1252"/>
      <c r="I206" s="1252"/>
      <c r="J206" s="1252"/>
      <c r="K206" s="1252"/>
      <c r="L206" s="1252"/>
      <c r="M206" s="1252"/>
      <c r="N206" s="1562"/>
    </row>
    <row r="207" spans="1:14" s="1371" customFormat="1" ht="12.75" customHeight="1" x14ac:dyDescent="0.2">
      <c r="A207" s="1249"/>
      <c r="B207" s="1252"/>
      <c r="C207" s="1255"/>
      <c r="D207" s="1252"/>
      <c r="E207" s="1252"/>
      <c r="F207" s="1252"/>
      <c r="G207" s="1252"/>
      <c r="H207" s="1252"/>
      <c r="I207" s="1252"/>
      <c r="J207" s="1252"/>
      <c r="K207" s="1252"/>
      <c r="L207" s="1252"/>
      <c r="M207" s="1252"/>
      <c r="N207" s="1562"/>
    </row>
    <row r="208" spans="1:14" s="1371" customFormat="1" x14ac:dyDescent="0.2">
      <c r="A208" s="1249"/>
      <c r="B208" s="1252"/>
      <c r="C208" s="1255"/>
      <c r="D208" s="1252"/>
      <c r="E208" s="1252"/>
      <c r="F208" s="1252"/>
      <c r="G208" s="1252"/>
      <c r="H208" s="1252"/>
      <c r="I208" s="1252"/>
      <c r="J208" s="1252"/>
      <c r="K208" s="1252"/>
      <c r="L208" s="1252"/>
      <c r="M208" s="1252"/>
      <c r="N208" s="1562"/>
    </row>
    <row r="209" spans="1:14" s="1371" customFormat="1" x14ac:dyDescent="0.2">
      <c r="A209" s="1249"/>
      <c r="B209" s="1252"/>
      <c r="C209" s="1255"/>
      <c r="D209" s="1252"/>
      <c r="E209" s="1252"/>
      <c r="F209" s="1252"/>
      <c r="G209" s="1252"/>
      <c r="H209" s="1252"/>
      <c r="I209" s="1252"/>
      <c r="J209" s="1252"/>
      <c r="K209" s="1252"/>
      <c r="L209" s="1252"/>
      <c r="M209" s="1252"/>
      <c r="N209" s="1562"/>
    </row>
    <row r="210" spans="1:14" s="1561" customFormat="1" ht="12.75" customHeight="1" x14ac:dyDescent="0.2">
      <c r="A210" s="1249"/>
      <c r="B210" s="1252"/>
      <c r="C210" s="1255"/>
      <c r="D210" s="1252"/>
      <c r="E210" s="1252"/>
      <c r="F210" s="1252"/>
      <c r="G210" s="1252"/>
      <c r="H210" s="1252"/>
      <c r="I210" s="1252"/>
      <c r="J210" s="1252"/>
      <c r="K210" s="1252"/>
      <c r="L210" s="1252"/>
      <c r="M210" s="1252"/>
      <c r="N210" s="1562"/>
    </row>
    <row r="211" spans="1:14" s="1371" customFormat="1" ht="9.75" customHeight="1" x14ac:dyDescent="0.2">
      <c r="A211" s="1249"/>
      <c r="B211" s="1252"/>
      <c r="C211" s="1255"/>
      <c r="D211" s="1252"/>
      <c r="E211" s="1252"/>
      <c r="F211" s="1252"/>
      <c r="G211" s="1252"/>
      <c r="H211" s="1252"/>
      <c r="I211" s="1252"/>
      <c r="J211" s="1252"/>
      <c r="K211" s="1252"/>
      <c r="L211" s="1252"/>
      <c r="M211" s="1252"/>
      <c r="N211" s="1562"/>
    </row>
    <row r="212" spans="1:14" s="1371" customFormat="1" ht="12.75" customHeight="1" x14ac:dyDescent="0.2">
      <c r="A212" s="1249"/>
      <c r="B212" s="1252"/>
      <c r="C212" s="1255"/>
      <c r="D212" s="1252"/>
      <c r="E212" s="1252"/>
      <c r="F212" s="1252"/>
      <c r="G212" s="1252"/>
      <c r="H212" s="1252"/>
      <c r="I212" s="1252"/>
      <c r="J212" s="1252"/>
      <c r="K212" s="1252"/>
      <c r="L212" s="1252"/>
      <c r="M212" s="1252"/>
      <c r="N212" s="1562"/>
    </row>
    <row r="213" spans="1:14" s="1371" customFormat="1" x14ac:dyDescent="0.2">
      <c r="A213" s="1249"/>
      <c r="B213" s="1252"/>
      <c r="C213" s="1255"/>
      <c r="D213" s="1252"/>
      <c r="E213" s="1252"/>
      <c r="F213" s="1252"/>
      <c r="G213" s="1252"/>
      <c r="H213" s="1252"/>
      <c r="I213" s="1252"/>
      <c r="J213" s="1252"/>
      <c r="K213" s="1252"/>
      <c r="L213" s="1252"/>
      <c r="M213" s="1252"/>
      <c r="N213" s="1562"/>
    </row>
    <row r="214" spans="1:14" s="1371" customFormat="1" x14ac:dyDescent="0.2">
      <c r="A214" s="1249"/>
      <c r="B214" s="1252"/>
      <c r="C214" s="1255"/>
      <c r="D214" s="1252"/>
      <c r="E214" s="1252"/>
      <c r="F214" s="1252"/>
      <c r="G214" s="1252"/>
      <c r="H214" s="1252"/>
      <c r="I214" s="1252"/>
      <c r="J214" s="1252"/>
      <c r="K214" s="1252"/>
      <c r="L214" s="1252"/>
      <c r="M214" s="1252"/>
      <c r="N214" s="1562"/>
    </row>
    <row r="215" spans="1:14" s="1563" customFormat="1" ht="24" customHeight="1" x14ac:dyDescent="0.2">
      <c r="A215" s="1249"/>
      <c r="B215" s="1252"/>
      <c r="C215" s="1255"/>
      <c r="D215" s="1252"/>
      <c r="E215" s="1252"/>
      <c r="F215" s="1252"/>
      <c r="G215" s="1252"/>
      <c r="H215" s="1252"/>
      <c r="I215" s="1252"/>
      <c r="J215" s="1252"/>
      <c r="K215" s="1252"/>
      <c r="L215" s="1252"/>
      <c r="M215" s="1252"/>
      <c r="N215" s="1562"/>
    </row>
    <row r="216" spans="1:14" s="1371" customFormat="1" ht="11.25" customHeight="1" x14ac:dyDescent="0.2">
      <c r="A216" s="1249"/>
      <c r="B216" s="1252"/>
      <c r="C216" s="1255"/>
      <c r="D216" s="1252"/>
      <c r="E216" s="1252"/>
      <c r="F216" s="1252"/>
      <c r="G216" s="1252"/>
      <c r="H216" s="1252"/>
      <c r="I216" s="1252"/>
      <c r="J216" s="1252"/>
      <c r="K216" s="1252"/>
      <c r="L216" s="1252"/>
      <c r="M216" s="1252"/>
      <c r="N216" s="1562"/>
    </row>
    <row r="217" spans="1:14" s="1371" customFormat="1" ht="12.75" customHeight="1" thickBot="1" x14ac:dyDescent="0.25">
      <c r="A217" s="1249"/>
      <c r="B217" s="1252"/>
      <c r="C217" s="1255"/>
      <c r="D217" s="1252"/>
      <c r="E217" s="1252"/>
      <c r="F217" s="1252"/>
      <c r="G217" s="1252"/>
      <c r="H217" s="1252"/>
      <c r="I217" s="1252"/>
      <c r="J217" s="1252"/>
      <c r="K217" s="1252"/>
      <c r="L217" s="1252"/>
      <c r="M217" s="1252"/>
      <c r="N217" s="1562"/>
    </row>
    <row r="218" spans="1:14" s="1371" customFormat="1" x14ac:dyDescent="0.2">
      <c r="A218" s="1568"/>
      <c r="B218" s="1252"/>
      <c r="C218" s="1255"/>
      <c r="D218" s="1252"/>
      <c r="E218" s="1252"/>
      <c r="F218" s="1252"/>
      <c r="G218" s="1252"/>
      <c r="H218" s="1252"/>
      <c r="I218" s="1252"/>
      <c r="J218" s="1252"/>
      <c r="K218" s="1252"/>
      <c r="L218" s="1252"/>
      <c r="M218" s="1252"/>
      <c r="N218" s="1562"/>
    </row>
    <row r="219" spans="1:14" s="1371" customFormat="1" x14ac:dyDescent="0.2">
      <c r="A219" s="1569"/>
      <c r="B219" s="1252"/>
      <c r="C219" s="1255"/>
      <c r="D219" s="1252"/>
      <c r="E219" s="1252"/>
      <c r="F219" s="1252"/>
      <c r="G219" s="1252"/>
      <c r="H219" s="1252"/>
      <c r="I219" s="1252"/>
      <c r="J219" s="1252"/>
      <c r="K219" s="1252"/>
      <c r="L219" s="1252"/>
      <c r="M219" s="1252"/>
      <c r="N219" s="1562"/>
    </row>
    <row r="220" spans="1:14" s="1371" customFormat="1" x14ac:dyDescent="0.2">
      <c r="A220" s="1569"/>
      <c r="B220" s="1252"/>
      <c r="C220" s="1255"/>
      <c r="D220" s="1252"/>
      <c r="E220" s="1252"/>
      <c r="F220" s="1252"/>
      <c r="G220" s="1252"/>
      <c r="H220" s="1252"/>
      <c r="I220" s="1252"/>
      <c r="J220" s="1252"/>
      <c r="K220" s="1252"/>
      <c r="L220" s="1252"/>
      <c r="M220" s="1252"/>
      <c r="N220" s="1562"/>
    </row>
    <row r="221" spans="1:14" s="1371" customFormat="1" x14ac:dyDescent="0.2">
      <c r="A221" s="1569"/>
      <c r="B221" s="1252"/>
      <c r="C221" s="1255"/>
      <c r="D221" s="1252"/>
      <c r="E221" s="1252"/>
      <c r="F221" s="1252"/>
      <c r="G221" s="1252"/>
      <c r="H221" s="1252"/>
      <c r="I221" s="1252"/>
      <c r="J221" s="1252"/>
      <c r="K221" s="1252"/>
      <c r="L221" s="1252"/>
      <c r="M221" s="1252"/>
      <c r="N221" s="1562"/>
    </row>
    <row r="222" spans="1:14" s="1371" customFormat="1" ht="12" customHeight="1" x14ac:dyDescent="0.2">
      <c r="A222" s="1569"/>
      <c r="B222" s="1252"/>
      <c r="C222" s="1255"/>
      <c r="D222" s="1252"/>
      <c r="E222" s="1252"/>
      <c r="F222" s="1252"/>
      <c r="G222" s="1252"/>
      <c r="H222" s="1252"/>
      <c r="I222" s="1252"/>
      <c r="J222" s="1252"/>
      <c r="K222" s="1252"/>
      <c r="L222" s="1252"/>
      <c r="M222" s="1252"/>
      <c r="N222" s="1562"/>
    </row>
    <row r="223" spans="1:14" s="1371" customFormat="1" ht="10.5" customHeight="1" x14ac:dyDescent="0.2">
      <c r="A223" s="1569"/>
      <c r="B223" s="1252"/>
      <c r="C223" s="1255"/>
      <c r="D223" s="1252"/>
      <c r="E223" s="1252"/>
      <c r="F223" s="1252"/>
      <c r="G223" s="1252"/>
      <c r="H223" s="1252"/>
      <c r="I223" s="1252"/>
      <c r="J223" s="1252"/>
      <c r="K223" s="1252"/>
      <c r="L223" s="1252"/>
      <c r="M223" s="1252"/>
      <c r="N223" s="1562"/>
    </row>
    <row r="224" spans="1:14" s="1371" customFormat="1" x14ac:dyDescent="0.2">
      <c r="A224" s="1569"/>
      <c r="B224" s="1252"/>
      <c r="C224" s="1255"/>
      <c r="D224" s="1252"/>
      <c r="E224" s="1252"/>
      <c r="F224" s="1252"/>
      <c r="G224" s="1252"/>
      <c r="H224" s="1252"/>
      <c r="I224" s="1252"/>
      <c r="J224" s="1252"/>
      <c r="K224" s="1252"/>
      <c r="L224" s="1252"/>
      <c r="M224" s="1252"/>
      <c r="N224" s="1562"/>
    </row>
    <row r="225" spans="1:14" s="1371" customFormat="1" x14ac:dyDescent="0.2">
      <c r="A225" s="1569"/>
      <c r="B225" s="1252"/>
      <c r="C225" s="1255"/>
      <c r="D225" s="1252"/>
      <c r="E225" s="1252"/>
      <c r="F225" s="1252"/>
      <c r="G225" s="1252"/>
      <c r="H225" s="1252"/>
      <c r="I225" s="1252"/>
      <c r="J225" s="1252"/>
      <c r="K225" s="1252"/>
      <c r="L225" s="1252"/>
      <c r="M225" s="1252"/>
      <c r="N225" s="1562"/>
    </row>
    <row r="226" spans="1:14" s="1371" customFormat="1" ht="13.5" thickBot="1" x14ac:dyDescent="0.25">
      <c r="A226" s="1567"/>
      <c r="B226" s="1252"/>
      <c r="C226" s="1255"/>
      <c r="D226" s="1252"/>
      <c r="E226" s="1252"/>
      <c r="F226" s="1252"/>
      <c r="G226" s="1252"/>
      <c r="H226" s="1252"/>
      <c r="I226" s="1252"/>
      <c r="J226" s="1252"/>
      <c r="K226" s="1252"/>
      <c r="L226" s="1252"/>
      <c r="M226" s="1252"/>
      <c r="N226" s="1562"/>
    </row>
    <row r="227" spans="1:14" s="1371" customFormat="1" x14ac:dyDescent="0.2">
      <c r="A227" s="1568"/>
      <c r="B227" s="1252"/>
      <c r="C227" s="1255"/>
      <c r="D227" s="1252"/>
      <c r="E227" s="1252"/>
      <c r="F227" s="1252"/>
      <c r="G227" s="1252"/>
      <c r="H227" s="1252"/>
      <c r="I227" s="1252"/>
      <c r="J227" s="1252"/>
      <c r="K227" s="1252"/>
      <c r="L227" s="1252"/>
      <c r="M227" s="1252"/>
      <c r="N227" s="1562"/>
    </row>
    <row r="228" spans="1:14" s="1371" customFormat="1" x14ac:dyDescent="0.2">
      <c r="A228" s="1569"/>
      <c r="B228" s="1252"/>
      <c r="C228" s="1255"/>
      <c r="D228" s="1252"/>
      <c r="E228" s="1252"/>
      <c r="F228" s="1252"/>
      <c r="G228" s="1252"/>
      <c r="H228" s="1252"/>
      <c r="I228" s="1252"/>
      <c r="J228" s="1252"/>
      <c r="K228" s="1252"/>
      <c r="L228" s="1252"/>
      <c r="M228" s="1252"/>
      <c r="N228" s="1562"/>
    </row>
    <row r="229" spans="1:14" s="1371" customFormat="1" ht="32.25" customHeight="1" x14ac:dyDescent="0.2">
      <c r="A229" s="1569"/>
      <c r="B229" s="1252"/>
      <c r="C229" s="1255"/>
      <c r="D229" s="1252"/>
      <c r="E229" s="1252"/>
      <c r="F229" s="1252"/>
      <c r="G229" s="1252"/>
      <c r="H229" s="1252"/>
      <c r="I229" s="1252"/>
      <c r="J229" s="1252"/>
      <c r="K229" s="1252"/>
      <c r="L229" s="1252"/>
      <c r="M229" s="1252"/>
      <c r="N229" s="1562"/>
    </row>
    <row r="230" spans="1:14" s="1371" customFormat="1" ht="15" customHeight="1" x14ac:dyDescent="0.2">
      <c r="A230" s="1569"/>
      <c r="B230" s="1252"/>
      <c r="C230" s="1255"/>
      <c r="D230" s="1252"/>
      <c r="E230" s="1252"/>
      <c r="F230" s="1252"/>
      <c r="G230" s="1252"/>
      <c r="H230" s="1252"/>
      <c r="I230" s="1252"/>
      <c r="J230" s="1252"/>
      <c r="K230" s="1252"/>
      <c r="L230" s="1252"/>
      <c r="M230" s="1252"/>
      <c r="N230" s="1562"/>
    </row>
    <row r="231" spans="1:14" s="1371" customFormat="1" ht="12.75" customHeight="1" x14ac:dyDescent="0.2">
      <c r="A231" s="1569"/>
      <c r="B231" s="1252"/>
      <c r="C231" s="1255"/>
      <c r="D231" s="1252"/>
      <c r="E231" s="1252"/>
      <c r="F231" s="1252"/>
      <c r="G231" s="1252"/>
      <c r="H231" s="1252"/>
      <c r="I231" s="1252"/>
      <c r="J231" s="1252"/>
      <c r="K231" s="1252"/>
      <c r="L231" s="1252"/>
      <c r="M231" s="1252"/>
      <c r="N231" s="1562"/>
    </row>
    <row r="232" spans="1:14" s="1371" customFormat="1" x14ac:dyDescent="0.2">
      <c r="A232" s="1569"/>
      <c r="B232" s="1252"/>
      <c r="C232" s="1255"/>
      <c r="D232" s="1252"/>
      <c r="E232" s="1252"/>
      <c r="F232" s="1252"/>
      <c r="G232" s="1252"/>
      <c r="H232" s="1252"/>
      <c r="I232" s="1252"/>
      <c r="J232" s="1252"/>
      <c r="K232" s="1252"/>
      <c r="L232" s="1252"/>
      <c r="M232" s="1252"/>
      <c r="N232" s="1562"/>
    </row>
    <row r="233" spans="1:14" s="1371" customFormat="1" x14ac:dyDescent="0.2">
      <c r="A233" s="1569"/>
      <c r="B233" s="1252"/>
      <c r="C233" s="1255"/>
      <c r="D233" s="1252"/>
      <c r="E233" s="1252"/>
      <c r="F233" s="1252"/>
      <c r="G233" s="1252"/>
      <c r="H233" s="1252"/>
      <c r="I233" s="1252"/>
      <c r="J233" s="1252"/>
      <c r="K233" s="1252"/>
      <c r="L233" s="1252"/>
      <c r="M233" s="1252"/>
      <c r="N233" s="1570"/>
    </row>
    <row r="234" spans="1:14" s="1371" customFormat="1" x14ac:dyDescent="0.2">
      <c r="A234" s="1569"/>
      <c r="B234" s="1252"/>
      <c r="C234" s="1255"/>
      <c r="D234" s="1252"/>
      <c r="E234" s="1252"/>
      <c r="F234" s="1252"/>
      <c r="G234" s="1252"/>
      <c r="H234" s="1252"/>
      <c r="I234" s="1252"/>
      <c r="J234" s="1252"/>
      <c r="K234" s="1252"/>
      <c r="L234" s="1252"/>
      <c r="M234" s="1252"/>
      <c r="N234" s="1570"/>
    </row>
    <row r="235" spans="1:14" s="1371" customFormat="1" ht="21.75" customHeight="1" x14ac:dyDescent="0.2">
      <c r="A235" s="1569"/>
      <c r="B235" s="1252"/>
      <c r="C235" s="1255"/>
      <c r="D235" s="1252"/>
      <c r="E235" s="1252"/>
      <c r="F235" s="1252"/>
      <c r="G235" s="1252"/>
      <c r="H235" s="1252"/>
      <c r="I235" s="1252"/>
      <c r="J235" s="1252"/>
      <c r="K235" s="1252"/>
      <c r="L235" s="1252"/>
      <c r="M235" s="1252"/>
      <c r="N235" s="1570"/>
    </row>
    <row r="236" spans="1:14" s="1371" customFormat="1" ht="12.75" customHeight="1" x14ac:dyDescent="0.2">
      <c r="A236" s="1569"/>
      <c r="B236" s="1252"/>
      <c r="C236" s="1255"/>
      <c r="D236" s="1252"/>
      <c r="E236" s="1252"/>
      <c r="F236" s="1252"/>
      <c r="G236" s="1252"/>
      <c r="H236" s="1252"/>
      <c r="I236" s="1252"/>
      <c r="J236" s="1252"/>
      <c r="K236" s="1252"/>
      <c r="L236" s="1252"/>
      <c r="M236" s="1252"/>
      <c r="N236" s="1570"/>
    </row>
    <row r="237" spans="1:14" s="1371" customFormat="1" ht="12.75" customHeight="1" x14ac:dyDescent="0.2">
      <c r="A237" s="1569"/>
      <c r="B237" s="1252"/>
      <c r="C237" s="1255"/>
      <c r="D237" s="1252"/>
      <c r="E237" s="1252"/>
      <c r="F237" s="1252"/>
      <c r="G237" s="1252"/>
      <c r="H237" s="1252"/>
      <c r="I237" s="1252"/>
      <c r="J237" s="1252"/>
      <c r="K237" s="1252"/>
      <c r="L237" s="1252"/>
      <c r="M237" s="1252"/>
      <c r="N237" s="1570"/>
    </row>
    <row r="238" spans="1:14" s="1371" customFormat="1" ht="13.5" thickBot="1" x14ac:dyDescent="0.25">
      <c r="A238" s="1567"/>
      <c r="B238" s="1252"/>
      <c r="C238" s="1255"/>
      <c r="D238" s="1252"/>
      <c r="E238" s="1252"/>
      <c r="F238" s="1252"/>
      <c r="G238" s="1252"/>
      <c r="H238" s="1252"/>
      <c r="I238" s="1252"/>
      <c r="J238" s="1252"/>
      <c r="K238" s="1252"/>
      <c r="L238" s="1252"/>
      <c r="M238" s="1252"/>
      <c r="N238" s="1570"/>
    </row>
    <row r="239" spans="1:14" s="1371" customFormat="1" x14ac:dyDescent="0.2">
      <c r="A239" s="1249"/>
      <c r="B239" s="1252"/>
      <c r="C239" s="1255"/>
      <c r="D239" s="1252"/>
      <c r="E239" s="1252"/>
      <c r="F239" s="1252"/>
      <c r="G239" s="1252"/>
      <c r="H239" s="1252"/>
      <c r="I239" s="1252"/>
      <c r="J239" s="1252"/>
      <c r="K239" s="1252"/>
      <c r="L239" s="1252"/>
      <c r="M239" s="1252"/>
      <c r="N239" s="1570"/>
    </row>
    <row r="240" spans="1:14" s="1371" customFormat="1" x14ac:dyDescent="0.2">
      <c r="A240" s="1249"/>
      <c r="B240" s="1252"/>
      <c r="C240" s="1255"/>
      <c r="D240" s="1252"/>
      <c r="E240" s="1252"/>
      <c r="F240" s="1252"/>
      <c r="G240" s="1252"/>
      <c r="H240" s="1252"/>
      <c r="I240" s="1252"/>
      <c r="J240" s="1252"/>
      <c r="K240" s="1252"/>
      <c r="L240" s="1252"/>
      <c r="M240" s="1252"/>
      <c r="N240" s="1570"/>
    </row>
    <row r="241" spans="1:14" s="1371" customFormat="1" x14ac:dyDescent="0.2">
      <c r="A241" s="1249"/>
      <c r="B241" s="1252"/>
      <c r="C241" s="1255"/>
      <c r="D241" s="1252"/>
      <c r="E241" s="1252"/>
      <c r="F241" s="1252"/>
      <c r="G241" s="1252"/>
      <c r="H241" s="1252"/>
      <c r="I241" s="1252"/>
      <c r="J241" s="1252"/>
      <c r="K241" s="1252"/>
      <c r="L241" s="1252"/>
      <c r="M241" s="1252"/>
      <c r="N241" s="1570"/>
    </row>
    <row r="242" spans="1:14" s="1563" customFormat="1" ht="35.25" customHeight="1" x14ac:dyDescent="0.2">
      <c r="A242" s="1249"/>
      <c r="B242" s="1252"/>
      <c r="C242" s="1255"/>
      <c r="D242" s="1252"/>
      <c r="E242" s="1252"/>
      <c r="F242" s="1252"/>
      <c r="G242" s="1252"/>
      <c r="H242" s="1252"/>
      <c r="I242" s="1252"/>
      <c r="J242" s="1252"/>
      <c r="K242" s="1252"/>
      <c r="L242" s="1252"/>
      <c r="M242" s="1252"/>
      <c r="N242" s="1570"/>
    </row>
    <row r="243" spans="1:14" s="1371" customFormat="1" ht="11.25" customHeight="1" x14ac:dyDescent="0.2">
      <c r="A243" s="1249"/>
      <c r="B243" s="1252"/>
      <c r="C243" s="1255"/>
      <c r="D243" s="1252"/>
      <c r="E243" s="1252"/>
      <c r="F243" s="1252"/>
      <c r="G243" s="1252"/>
      <c r="H243" s="1252"/>
      <c r="I243" s="1252"/>
      <c r="J243" s="1252"/>
      <c r="K243" s="1252"/>
      <c r="L243" s="1252"/>
      <c r="M243" s="1252"/>
      <c r="N243" s="1570"/>
    </row>
    <row r="244" spans="1:14" s="1371" customFormat="1" ht="12.75" customHeight="1" x14ac:dyDescent="0.2">
      <c r="A244" s="1249"/>
      <c r="B244" s="1252"/>
      <c r="C244" s="1255"/>
      <c r="D244" s="1252"/>
      <c r="E244" s="1252"/>
      <c r="F244" s="1252"/>
      <c r="G244" s="1252"/>
      <c r="H244" s="1252"/>
      <c r="I244" s="1252"/>
      <c r="J244" s="1252"/>
      <c r="K244" s="1252"/>
      <c r="L244" s="1252"/>
      <c r="M244" s="1252"/>
      <c r="N244" s="1570"/>
    </row>
    <row r="245" spans="1:14" s="1563" customFormat="1" ht="14.25" customHeight="1" x14ac:dyDescent="0.2">
      <c r="A245" s="1249"/>
      <c r="B245" s="1252"/>
      <c r="C245" s="1255"/>
      <c r="D245" s="1252"/>
      <c r="E245" s="1252"/>
      <c r="F245" s="1252"/>
      <c r="G245" s="1252"/>
      <c r="H245" s="1252"/>
      <c r="I245" s="1252"/>
      <c r="J245" s="1252"/>
      <c r="K245" s="1252"/>
      <c r="L245" s="1252"/>
      <c r="M245" s="1252"/>
      <c r="N245" s="1570"/>
    </row>
    <row r="246" spans="1:14" s="1371" customFormat="1" ht="11.25" customHeight="1" x14ac:dyDescent="0.2">
      <c r="A246" s="1249"/>
      <c r="B246" s="1252"/>
      <c r="C246" s="1255"/>
      <c r="D246" s="1252"/>
      <c r="E246" s="1252"/>
      <c r="F246" s="1252"/>
      <c r="G246" s="1252"/>
      <c r="H246" s="1252"/>
      <c r="I246" s="1252"/>
      <c r="J246" s="1252"/>
      <c r="K246" s="1252"/>
      <c r="L246" s="1252"/>
      <c r="M246" s="1252"/>
      <c r="N246" s="1570"/>
    </row>
    <row r="247" spans="1:14" s="1371" customFormat="1" ht="12.75" customHeight="1" x14ac:dyDescent="0.2">
      <c r="A247" s="1249"/>
      <c r="B247" s="1252"/>
      <c r="C247" s="1255"/>
      <c r="D247" s="1252"/>
      <c r="E247" s="1252"/>
      <c r="F247" s="1252"/>
      <c r="G247" s="1252"/>
      <c r="H247" s="1252"/>
      <c r="I247" s="1252"/>
      <c r="J247" s="1252"/>
      <c r="K247" s="1252"/>
      <c r="L247" s="1252"/>
      <c r="M247" s="1252"/>
      <c r="N247" s="1570"/>
    </row>
    <row r="248" spans="1:14" s="1563" customFormat="1" ht="23.25" customHeight="1" x14ac:dyDescent="0.2">
      <c r="A248" s="1249"/>
      <c r="B248" s="1252"/>
      <c r="C248" s="1255"/>
      <c r="D248" s="1252"/>
      <c r="E248" s="1252"/>
      <c r="F248" s="1252"/>
      <c r="G248" s="1252"/>
      <c r="H248" s="1252"/>
      <c r="I248" s="1252"/>
      <c r="J248" s="1252"/>
      <c r="K248" s="1252"/>
      <c r="L248" s="1252"/>
      <c r="M248" s="1252"/>
      <c r="N248" s="1570"/>
    </row>
    <row r="249" spans="1:14" s="1371" customFormat="1" ht="11.25" customHeight="1" x14ac:dyDescent="0.2">
      <c r="A249" s="1249"/>
      <c r="B249" s="1252"/>
      <c r="C249" s="1255"/>
      <c r="D249" s="1252"/>
      <c r="E249" s="1252"/>
      <c r="F249" s="1252"/>
      <c r="G249" s="1252"/>
      <c r="H249" s="1252"/>
      <c r="I249" s="1252"/>
      <c r="J249" s="1252"/>
      <c r="K249" s="1252"/>
      <c r="L249" s="1252"/>
      <c r="M249" s="1252"/>
      <c r="N249" s="1570"/>
    </row>
    <row r="250" spans="1:14" s="1371" customFormat="1" x14ac:dyDescent="0.2">
      <c r="A250" s="1249"/>
      <c r="B250" s="1252"/>
      <c r="C250" s="1255"/>
      <c r="D250" s="1252"/>
      <c r="E250" s="1252"/>
      <c r="F250" s="1252"/>
      <c r="G250" s="1252"/>
      <c r="H250" s="1252"/>
      <c r="I250" s="1252"/>
      <c r="J250" s="1252"/>
      <c r="K250" s="1252"/>
      <c r="L250" s="1252"/>
      <c r="M250" s="1252"/>
      <c r="N250" s="1570"/>
    </row>
    <row r="251" spans="1:14" s="1371" customFormat="1" x14ac:dyDescent="0.2">
      <c r="A251" s="1249"/>
      <c r="B251" s="1252"/>
      <c r="C251" s="1255"/>
      <c r="D251" s="1252"/>
      <c r="E251" s="1252"/>
      <c r="F251" s="1252"/>
      <c r="G251" s="1252"/>
      <c r="H251" s="1252"/>
      <c r="I251" s="1252"/>
      <c r="J251" s="1252"/>
      <c r="K251" s="1252"/>
      <c r="L251" s="1252"/>
      <c r="M251" s="1252"/>
      <c r="N251" s="1570"/>
    </row>
    <row r="252" spans="1:14" s="1563" customFormat="1" ht="23.25" customHeight="1" x14ac:dyDescent="0.2">
      <c r="A252" s="1249"/>
      <c r="B252" s="1252"/>
      <c r="C252" s="1255"/>
      <c r="D252" s="1252"/>
      <c r="E252" s="1252"/>
      <c r="F252" s="1252"/>
      <c r="G252" s="1252"/>
      <c r="H252" s="1252"/>
      <c r="I252" s="1252"/>
      <c r="J252" s="1252"/>
      <c r="K252" s="1252"/>
      <c r="L252" s="1252"/>
      <c r="M252" s="1252"/>
      <c r="N252" s="1570"/>
    </row>
    <row r="253" spans="1:14" s="1371" customFormat="1" ht="11.25" customHeight="1" x14ac:dyDescent="0.2">
      <c r="A253" s="1249"/>
      <c r="B253" s="1252"/>
      <c r="C253" s="1255"/>
      <c r="D253" s="1252"/>
      <c r="E253" s="1252"/>
      <c r="F253" s="1252"/>
      <c r="G253" s="1252"/>
      <c r="H253" s="1252"/>
      <c r="I253" s="1252"/>
      <c r="J253" s="1252"/>
      <c r="K253" s="1252"/>
      <c r="L253" s="1252"/>
      <c r="M253" s="1252"/>
      <c r="N253" s="1570"/>
    </row>
    <row r="254" spans="1:14" s="1371" customFormat="1" x14ac:dyDescent="0.2">
      <c r="A254" s="1249"/>
      <c r="B254" s="1252"/>
      <c r="C254" s="1255"/>
      <c r="D254" s="1252"/>
      <c r="E254" s="1252"/>
      <c r="F254" s="1252"/>
      <c r="G254" s="1252"/>
      <c r="H254" s="1252"/>
      <c r="I254" s="1252"/>
      <c r="J254" s="1252"/>
      <c r="K254" s="1252"/>
      <c r="L254" s="1252"/>
      <c r="M254" s="1252"/>
      <c r="N254" s="1570"/>
    </row>
    <row r="255" spans="1:14" x14ac:dyDescent="0.2">
      <c r="A255" s="1249"/>
      <c r="B255" s="1252"/>
      <c r="C255" s="1255"/>
      <c r="D255" s="1252"/>
      <c r="E255" s="1252"/>
      <c r="F255" s="1252"/>
      <c r="G255" s="1252"/>
      <c r="H255" s="1252"/>
      <c r="N255" s="1570"/>
    </row>
    <row r="256" spans="1:14" x14ac:dyDescent="0.2">
      <c r="A256" s="1249"/>
      <c r="B256" s="1252"/>
      <c r="C256" s="1255"/>
      <c r="D256" s="1252"/>
      <c r="E256" s="1252"/>
      <c r="F256" s="1252"/>
      <c r="G256" s="1252"/>
      <c r="H256" s="1252"/>
      <c r="N256" s="1570"/>
    </row>
    <row r="257" spans="1:14" x14ac:dyDescent="0.2">
      <c r="A257" s="1249"/>
      <c r="B257" s="1252"/>
      <c r="C257" s="1255"/>
      <c r="D257" s="1252"/>
      <c r="E257" s="1252"/>
      <c r="F257" s="1252"/>
      <c r="G257" s="1252"/>
      <c r="H257" s="1252"/>
      <c r="N257" s="1570"/>
    </row>
    <row r="258" spans="1:14" x14ac:dyDescent="0.2">
      <c r="A258" s="1249"/>
      <c r="B258" s="1252"/>
      <c r="C258" s="1255"/>
      <c r="D258" s="1252"/>
      <c r="E258" s="1252"/>
      <c r="F258" s="1252"/>
      <c r="G258" s="1252"/>
      <c r="H258" s="1252"/>
      <c r="N258" s="1570"/>
    </row>
    <row r="259" spans="1:14" ht="13.5" thickBot="1" x14ac:dyDescent="0.25">
      <c r="A259" s="1249"/>
      <c r="B259" s="1252"/>
      <c r="C259" s="1255"/>
      <c r="D259" s="1252"/>
      <c r="E259" s="1252"/>
      <c r="F259" s="1252"/>
      <c r="G259" s="1252"/>
      <c r="H259" s="1252"/>
      <c r="N259" s="1570"/>
    </row>
    <row r="260" spans="1:14" x14ac:dyDescent="0.2">
      <c r="A260" s="1568"/>
      <c r="B260" s="1252"/>
      <c r="C260" s="1255"/>
      <c r="D260" s="1252"/>
      <c r="E260" s="1252"/>
      <c r="F260" s="1252"/>
      <c r="G260" s="1252"/>
      <c r="H260" s="1252"/>
      <c r="N260" s="1570"/>
    </row>
    <row r="261" spans="1:14" x14ac:dyDescent="0.2">
      <c r="A261" s="1569"/>
      <c r="B261" s="1252"/>
      <c r="C261" s="1255"/>
      <c r="D261" s="1252"/>
      <c r="E261" s="1252"/>
      <c r="F261" s="1252"/>
      <c r="G261" s="1252"/>
      <c r="H261" s="1252"/>
      <c r="N261" s="1570"/>
    </row>
    <row r="262" spans="1:14" x14ac:dyDescent="0.2">
      <c r="A262" s="1569"/>
      <c r="B262" s="1252"/>
      <c r="C262" s="1255"/>
      <c r="D262" s="1252"/>
      <c r="E262" s="1252"/>
      <c r="F262" s="1252"/>
      <c r="G262" s="1252"/>
      <c r="H262" s="1252"/>
      <c r="N262" s="1562"/>
    </row>
    <row r="263" spans="1:14" x14ac:dyDescent="0.2">
      <c r="A263" s="1569"/>
      <c r="B263" s="1252"/>
      <c r="C263" s="1255"/>
      <c r="D263" s="1252"/>
      <c r="E263" s="1252"/>
      <c r="F263" s="1252"/>
      <c r="G263" s="1252"/>
      <c r="H263" s="1252"/>
      <c r="N263" s="1562"/>
    </row>
    <row r="264" spans="1:14" x14ac:dyDescent="0.2">
      <c r="A264" s="1569"/>
      <c r="B264" s="1252"/>
      <c r="C264" s="1255"/>
      <c r="D264" s="1252"/>
      <c r="E264" s="1252"/>
      <c r="F264" s="1252"/>
      <c r="G264" s="1252"/>
      <c r="H264" s="1252"/>
      <c r="N264" s="1562"/>
    </row>
    <row r="265" spans="1:14" x14ac:dyDescent="0.2">
      <c r="A265" s="1569"/>
      <c r="B265" s="1252"/>
      <c r="C265" s="1255"/>
      <c r="D265" s="1252"/>
      <c r="E265" s="1252"/>
      <c r="F265" s="1252"/>
      <c r="G265" s="1252"/>
      <c r="H265" s="1252"/>
      <c r="N265" s="1562"/>
    </row>
    <row r="266" spans="1:14" x14ac:dyDescent="0.2">
      <c r="A266" s="1569"/>
      <c r="B266" s="1252"/>
      <c r="C266" s="1255"/>
      <c r="D266" s="1252"/>
      <c r="E266" s="1252"/>
      <c r="F266" s="1252"/>
      <c r="G266" s="1252"/>
      <c r="H266" s="1252"/>
      <c r="N266" s="1562"/>
    </row>
    <row r="267" spans="1:14" x14ac:dyDescent="0.2">
      <c r="A267" s="1569"/>
      <c r="B267" s="1252"/>
      <c r="C267" s="1255"/>
      <c r="D267" s="1252"/>
      <c r="E267" s="1252"/>
      <c r="F267" s="1252"/>
      <c r="G267" s="1252"/>
      <c r="H267" s="1252"/>
      <c r="N267" s="1562"/>
    </row>
    <row r="268" spans="1:14" ht="13.5" thickBot="1" x14ac:dyDescent="0.25">
      <c r="A268" s="1567"/>
      <c r="B268" s="1252"/>
      <c r="C268" s="1255"/>
      <c r="D268" s="1252"/>
      <c r="E268" s="1252"/>
      <c r="F268" s="1252"/>
      <c r="G268" s="1252"/>
      <c r="H268" s="1252"/>
      <c r="N268" s="1562"/>
    </row>
    <row r="269" spans="1:14" x14ac:dyDescent="0.2">
      <c r="A269" s="1568"/>
      <c r="B269" s="1252"/>
      <c r="C269" s="1255"/>
      <c r="D269" s="1252"/>
      <c r="E269" s="1252"/>
      <c r="F269" s="1252"/>
      <c r="G269" s="1252"/>
      <c r="H269" s="1252"/>
      <c r="N269" s="1562"/>
    </row>
    <row r="270" spans="1:14" x14ac:dyDescent="0.2">
      <c r="A270" s="1569"/>
      <c r="B270" s="1252"/>
      <c r="C270" s="1255"/>
      <c r="D270" s="1252"/>
      <c r="E270" s="1252"/>
      <c r="F270" s="1252"/>
      <c r="G270" s="1252"/>
      <c r="H270" s="1252"/>
      <c r="N270" s="1562"/>
    </row>
    <row r="271" spans="1:14" x14ac:dyDescent="0.2">
      <c r="A271" s="1569"/>
      <c r="B271" s="1252"/>
      <c r="C271" s="1255"/>
      <c r="D271" s="1252"/>
      <c r="E271" s="1252"/>
      <c r="F271" s="1252"/>
      <c r="G271" s="1252"/>
      <c r="H271" s="1252"/>
      <c r="N271" s="1562"/>
    </row>
    <row r="272" spans="1:14" x14ac:dyDescent="0.2">
      <c r="A272" s="1569"/>
      <c r="B272" s="1252"/>
      <c r="C272" s="1255"/>
      <c r="D272" s="1252"/>
      <c r="E272" s="1252"/>
      <c r="F272" s="1252"/>
      <c r="G272" s="1252"/>
      <c r="H272" s="1252"/>
      <c r="N272" s="1562"/>
    </row>
    <row r="273" spans="1:14" x14ac:dyDescent="0.2">
      <c r="A273" s="1569"/>
      <c r="B273" s="1252"/>
      <c r="C273" s="1255"/>
      <c r="D273" s="1252"/>
      <c r="E273" s="1252"/>
      <c r="F273" s="1252"/>
      <c r="G273" s="1252"/>
      <c r="H273" s="1252"/>
      <c r="N273" s="1562"/>
    </row>
    <row r="274" spans="1:14" x14ac:dyDescent="0.2">
      <c r="A274" s="1569"/>
      <c r="B274" s="1252"/>
      <c r="C274" s="1255"/>
      <c r="D274" s="1252"/>
      <c r="E274" s="1252"/>
      <c r="F274" s="1252"/>
      <c r="G274" s="1252"/>
      <c r="H274" s="1252"/>
      <c r="N274" s="1562"/>
    </row>
    <row r="275" spans="1:14" x14ac:dyDescent="0.2">
      <c r="A275" s="1569"/>
      <c r="B275" s="1252"/>
      <c r="C275" s="1255"/>
      <c r="D275" s="1252"/>
      <c r="E275" s="1252"/>
      <c r="F275" s="1252"/>
      <c r="G275" s="1252"/>
      <c r="H275" s="1252"/>
      <c r="N275" s="1562"/>
    </row>
    <row r="276" spans="1:14" x14ac:dyDescent="0.2">
      <c r="A276" s="1569"/>
      <c r="B276" s="1252"/>
      <c r="C276" s="1255"/>
      <c r="D276" s="1252"/>
      <c r="E276" s="1252"/>
      <c r="F276" s="1252"/>
      <c r="G276" s="1252"/>
      <c r="H276" s="1252"/>
      <c r="N276" s="1562"/>
    </row>
    <row r="277" spans="1:14" ht="13.5" thickBot="1" x14ac:dyDescent="0.25">
      <c r="A277" s="1567"/>
      <c r="B277" s="1252"/>
      <c r="C277" s="1255"/>
      <c r="D277" s="1252"/>
      <c r="E277" s="1252"/>
      <c r="F277" s="1252"/>
      <c r="G277" s="1252"/>
      <c r="H277" s="1252"/>
      <c r="N277" s="1562"/>
    </row>
    <row r="278" spans="1:14" x14ac:dyDescent="0.2">
      <c r="A278" s="1249"/>
      <c r="B278" s="1252"/>
      <c r="C278" s="1255"/>
      <c r="D278" s="1252"/>
      <c r="E278" s="1252"/>
      <c r="F278" s="1252"/>
      <c r="G278" s="1252"/>
      <c r="H278" s="1252"/>
      <c r="N278" s="1562"/>
    </row>
    <row r="279" spans="1:14" x14ac:dyDescent="0.2">
      <c r="A279" s="1249"/>
      <c r="B279" s="1252"/>
      <c r="C279" s="1255"/>
      <c r="D279" s="1252"/>
      <c r="E279" s="1252"/>
      <c r="F279" s="1252"/>
      <c r="G279" s="1252"/>
      <c r="H279" s="1252"/>
      <c r="N279" s="1562"/>
    </row>
    <row r="280" spans="1:14" x14ac:dyDescent="0.2">
      <c r="A280" s="1249"/>
      <c r="B280" s="1252"/>
      <c r="C280" s="1255"/>
      <c r="D280" s="1252"/>
      <c r="E280" s="1252"/>
      <c r="F280" s="1252"/>
      <c r="G280" s="1252"/>
      <c r="H280" s="1252"/>
      <c r="N280" s="1562"/>
    </row>
    <row r="281" spans="1:14" x14ac:dyDescent="0.2">
      <c r="A281" s="1249"/>
      <c r="B281" s="1252"/>
      <c r="C281" s="1255"/>
      <c r="D281" s="1252"/>
      <c r="E281" s="1252"/>
      <c r="F281" s="1252"/>
      <c r="G281" s="1252"/>
      <c r="H281" s="1252"/>
      <c r="N281" s="1562"/>
    </row>
    <row r="282" spans="1:14" x14ac:dyDescent="0.2">
      <c r="A282" s="1249"/>
      <c r="B282" s="1252"/>
      <c r="C282" s="1255"/>
      <c r="D282" s="1252"/>
      <c r="E282" s="1252"/>
      <c r="F282" s="1252"/>
      <c r="G282" s="1252"/>
      <c r="H282" s="1252"/>
      <c r="N282" s="1562"/>
    </row>
    <row r="283" spans="1:14" x14ac:dyDescent="0.2">
      <c r="A283" s="1249"/>
      <c r="B283" s="1252"/>
      <c r="C283" s="1255"/>
      <c r="D283" s="1252"/>
      <c r="E283" s="1252"/>
      <c r="F283" s="1252"/>
      <c r="G283" s="1252"/>
      <c r="H283" s="1252"/>
      <c r="N283" s="1562"/>
    </row>
    <row r="284" spans="1:14" x14ac:dyDescent="0.2">
      <c r="A284" s="1249"/>
      <c r="B284" s="1252"/>
      <c r="C284" s="1255"/>
      <c r="D284" s="1252"/>
      <c r="E284" s="1252"/>
      <c r="F284" s="1252"/>
      <c r="G284" s="1252"/>
      <c r="H284" s="1252"/>
      <c r="N284" s="1562"/>
    </row>
    <row r="285" spans="1:14" x14ac:dyDescent="0.2">
      <c r="A285" s="1249"/>
      <c r="B285" s="1252"/>
      <c r="C285" s="1255"/>
      <c r="D285" s="1252"/>
      <c r="E285" s="1252"/>
      <c r="F285" s="1252"/>
      <c r="G285" s="1252"/>
      <c r="H285" s="1252"/>
      <c r="N285" s="1562"/>
    </row>
    <row r="286" spans="1:14" x14ac:dyDescent="0.2">
      <c r="A286" s="1249"/>
      <c r="B286" s="1252"/>
      <c r="C286" s="1255"/>
      <c r="D286" s="1252"/>
      <c r="E286" s="1252"/>
      <c r="F286" s="1252"/>
      <c r="G286" s="1252"/>
      <c r="H286" s="1252"/>
      <c r="N286" s="1562"/>
    </row>
    <row r="287" spans="1:14" x14ac:dyDescent="0.2">
      <c r="A287" s="1249"/>
      <c r="B287" s="1252"/>
      <c r="C287" s="1255"/>
      <c r="D287" s="1252"/>
      <c r="E287" s="1252"/>
      <c r="F287" s="1252"/>
      <c r="G287" s="1252"/>
      <c r="H287" s="1252"/>
      <c r="N287" s="1562"/>
    </row>
    <row r="288" spans="1:14" x14ac:dyDescent="0.2">
      <c r="A288" s="1249"/>
      <c r="B288" s="1252"/>
      <c r="C288" s="1255"/>
      <c r="D288" s="1252"/>
      <c r="E288" s="1252"/>
      <c r="F288" s="1252"/>
      <c r="G288" s="1252"/>
      <c r="H288" s="1252"/>
      <c r="N288" s="1562"/>
    </row>
    <row r="289" spans="1:14" x14ac:dyDescent="0.2">
      <c r="A289" s="1249"/>
      <c r="B289" s="1252"/>
      <c r="C289" s="1255"/>
      <c r="D289" s="1252"/>
      <c r="E289" s="1252"/>
      <c r="F289" s="1252"/>
      <c r="G289" s="1252"/>
      <c r="H289" s="1252"/>
      <c r="N289" s="1562"/>
    </row>
    <row r="290" spans="1:14" x14ac:dyDescent="0.2">
      <c r="A290" s="1249"/>
      <c r="B290" s="1252"/>
      <c r="C290" s="1255"/>
      <c r="D290" s="1252"/>
      <c r="E290" s="1252"/>
      <c r="F290" s="1252"/>
      <c r="G290" s="1252"/>
      <c r="H290" s="1252"/>
      <c r="N290" s="1562"/>
    </row>
    <row r="291" spans="1:14" x14ac:dyDescent="0.2">
      <c r="A291" s="1249"/>
      <c r="B291" s="1252"/>
      <c r="C291" s="1255"/>
      <c r="D291" s="1252"/>
      <c r="E291" s="1252"/>
      <c r="F291" s="1252"/>
      <c r="G291" s="1252"/>
      <c r="H291" s="1252"/>
      <c r="N291" s="1562"/>
    </row>
    <row r="292" spans="1:14" x14ac:dyDescent="0.2">
      <c r="A292" s="1249"/>
      <c r="B292" s="1252"/>
      <c r="C292" s="1255"/>
      <c r="D292" s="1252"/>
      <c r="E292" s="1252"/>
      <c r="F292" s="1252"/>
      <c r="G292" s="1252"/>
      <c r="H292" s="1252"/>
      <c r="N292" s="1562"/>
    </row>
    <row r="293" spans="1:14" x14ac:dyDescent="0.2">
      <c r="A293" s="1249"/>
      <c r="B293" s="1252"/>
      <c r="C293" s="1255"/>
      <c r="D293" s="1252"/>
      <c r="E293" s="1252"/>
      <c r="F293" s="1252"/>
      <c r="G293" s="1252"/>
      <c r="H293" s="1252"/>
      <c r="N293" s="1562"/>
    </row>
    <row r="294" spans="1:14" x14ac:dyDescent="0.2">
      <c r="A294" s="1249"/>
      <c r="B294" s="1252"/>
      <c r="C294" s="1255"/>
      <c r="D294" s="1252"/>
      <c r="E294" s="1252"/>
      <c r="F294" s="1252"/>
      <c r="G294" s="1252"/>
      <c r="H294" s="1252"/>
      <c r="N294" s="1562"/>
    </row>
    <row r="295" spans="1:14" ht="13.5" thickBot="1" x14ac:dyDescent="0.25">
      <c r="A295" s="1249"/>
      <c r="B295" s="1252"/>
      <c r="C295" s="1255"/>
      <c r="D295" s="1252"/>
      <c r="E295" s="1252"/>
      <c r="F295" s="1252"/>
      <c r="G295" s="1252"/>
      <c r="H295" s="1252"/>
      <c r="N295" s="1562"/>
    </row>
    <row r="296" spans="1:14" x14ac:dyDescent="0.2">
      <c r="A296" s="1568"/>
      <c r="B296" s="1252"/>
      <c r="C296" s="1255"/>
      <c r="D296" s="1252"/>
      <c r="E296" s="1252"/>
      <c r="F296" s="1252"/>
      <c r="G296" s="1252"/>
      <c r="H296" s="1252"/>
      <c r="N296" s="1562"/>
    </row>
    <row r="297" spans="1:14" x14ac:dyDescent="0.2">
      <c r="A297" s="1569"/>
      <c r="B297" s="1252"/>
      <c r="C297" s="1255"/>
      <c r="D297" s="1252"/>
      <c r="E297" s="1252"/>
      <c r="F297" s="1252"/>
      <c r="G297" s="1252"/>
      <c r="H297" s="1252"/>
      <c r="N297" s="1562"/>
    </row>
    <row r="298" spans="1:14" x14ac:dyDescent="0.2">
      <c r="A298" s="1569"/>
      <c r="B298" s="1252"/>
      <c r="C298" s="1255"/>
      <c r="D298" s="1252"/>
      <c r="E298" s="1252"/>
      <c r="F298" s="1252"/>
      <c r="G298" s="1252"/>
      <c r="H298" s="1252"/>
      <c r="N298" s="1562"/>
    </row>
    <row r="299" spans="1:14" x14ac:dyDescent="0.2">
      <c r="A299" s="1569"/>
      <c r="B299" s="1252"/>
      <c r="C299" s="1255"/>
      <c r="D299" s="1252"/>
      <c r="E299" s="1252"/>
      <c r="F299" s="1252"/>
      <c r="G299" s="1252"/>
      <c r="H299" s="1252"/>
      <c r="N299" s="1562"/>
    </row>
    <row r="300" spans="1:14" x14ac:dyDescent="0.2">
      <c r="A300" s="1569"/>
      <c r="B300" s="1252"/>
      <c r="C300" s="1255"/>
      <c r="D300" s="1252"/>
      <c r="E300" s="1252"/>
      <c r="F300" s="1252"/>
      <c r="G300" s="1252"/>
      <c r="H300" s="1252"/>
      <c r="N300" s="1562"/>
    </row>
    <row r="301" spans="1:14" x14ac:dyDescent="0.2">
      <c r="A301" s="1569"/>
      <c r="B301" s="1252"/>
      <c r="C301" s="1255"/>
      <c r="D301" s="1252"/>
      <c r="E301" s="1252"/>
      <c r="F301" s="1252"/>
      <c r="G301" s="1252"/>
      <c r="H301" s="1252"/>
      <c r="N301" s="1562"/>
    </row>
    <row r="302" spans="1:14" x14ac:dyDescent="0.2">
      <c r="A302" s="1569"/>
      <c r="B302" s="1252"/>
      <c r="C302" s="1255"/>
      <c r="D302" s="1252"/>
      <c r="E302" s="1252"/>
      <c r="F302" s="1252"/>
      <c r="G302" s="1252"/>
      <c r="H302" s="1252"/>
      <c r="N302" s="1562"/>
    </row>
    <row r="303" spans="1:14" x14ac:dyDescent="0.2">
      <c r="A303" s="1569"/>
      <c r="B303" s="1252"/>
      <c r="C303" s="1255"/>
      <c r="D303" s="1252"/>
      <c r="E303" s="1252"/>
      <c r="F303" s="1252"/>
      <c r="G303" s="1252"/>
      <c r="H303" s="1252"/>
      <c r="N303" s="1562"/>
    </row>
    <row r="304" spans="1:14" ht="13.5" thickBot="1" x14ac:dyDescent="0.25">
      <c r="A304" s="1567"/>
      <c r="B304" s="1252"/>
      <c r="C304" s="1255"/>
      <c r="D304" s="1252"/>
      <c r="E304" s="1252"/>
      <c r="F304" s="1252"/>
      <c r="G304" s="1252"/>
      <c r="H304" s="1252"/>
      <c r="N304" s="1562"/>
    </row>
    <row r="305" spans="1:14" x14ac:dyDescent="0.2">
      <c r="A305" s="1568"/>
      <c r="B305" s="1252"/>
      <c r="C305" s="1255"/>
      <c r="D305" s="1252"/>
      <c r="E305" s="1252"/>
      <c r="F305" s="1252"/>
      <c r="G305" s="1252"/>
      <c r="H305" s="1252"/>
      <c r="N305" s="1562"/>
    </row>
    <row r="306" spans="1:14" x14ac:dyDescent="0.2">
      <c r="A306" s="1569"/>
      <c r="B306" s="1252"/>
      <c r="C306" s="1255"/>
      <c r="D306" s="1252"/>
      <c r="E306" s="1252"/>
      <c r="F306" s="1252"/>
      <c r="G306" s="1252"/>
      <c r="H306" s="1252"/>
      <c r="N306" s="1562"/>
    </row>
    <row r="307" spans="1:14" x14ac:dyDescent="0.2">
      <c r="A307" s="1569"/>
      <c r="B307" s="1252"/>
      <c r="C307" s="1255"/>
      <c r="D307" s="1252"/>
      <c r="E307" s="1252"/>
      <c r="F307" s="1252"/>
      <c r="G307" s="1252"/>
      <c r="H307" s="1252"/>
      <c r="N307" s="1562"/>
    </row>
    <row r="308" spans="1:14" x14ac:dyDescent="0.2">
      <c r="A308" s="1569"/>
      <c r="B308" s="1252"/>
      <c r="C308" s="1255"/>
      <c r="D308" s="1252"/>
      <c r="E308" s="1252"/>
      <c r="F308" s="1252"/>
      <c r="G308" s="1252"/>
      <c r="H308" s="1252"/>
      <c r="N308" s="1562"/>
    </row>
    <row r="309" spans="1:14" x14ac:dyDescent="0.2">
      <c r="A309" s="1569"/>
      <c r="B309" s="1252"/>
      <c r="C309" s="1255"/>
      <c r="D309" s="1252"/>
      <c r="E309" s="1252"/>
      <c r="F309" s="1252"/>
      <c r="G309" s="1252"/>
      <c r="H309" s="1252"/>
      <c r="N309" s="1562"/>
    </row>
    <row r="310" spans="1:14" x14ac:dyDescent="0.2">
      <c r="A310" s="1569"/>
      <c r="B310" s="1252"/>
      <c r="C310" s="1255"/>
      <c r="D310" s="1252"/>
      <c r="E310" s="1252"/>
      <c r="F310" s="1252"/>
      <c r="G310" s="1252"/>
      <c r="H310" s="1252"/>
      <c r="N310" s="1562"/>
    </row>
    <row r="311" spans="1:14" x14ac:dyDescent="0.2">
      <c r="A311" s="1569"/>
      <c r="B311" s="1252"/>
      <c r="C311" s="1255"/>
      <c r="D311" s="1252"/>
      <c r="E311" s="1252"/>
      <c r="F311" s="1252"/>
      <c r="G311" s="1252"/>
      <c r="H311" s="1252"/>
      <c r="N311" s="1562"/>
    </row>
    <row r="312" spans="1:14" x14ac:dyDescent="0.2">
      <c r="A312" s="1569"/>
      <c r="B312" s="1252"/>
      <c r="C312" s="1255"/>
      <c r="D312" s="1252"/>
      <c r="E312" s="1252"/>
      <c r="F312" s="1252"/>
      <c r="G312" s="1252"/>
      <c r="H312" s="1252"/>
      <c r="N312" s="1562"/>
    </row>
    <row r="313" spans="1:14" ht="13.5" thickBot="1" x14ac:dyDescent="0.25">
      <c r="A313" s="1567"/>
      <c r="B313" s="1252"/>
      <c r="C313" s="1255"/>
      <c r="D313" s="1252"/>
      <c r="E313" s="1252"/>
      <c r="F313" s="1252"/>
      <c r="G313" s="1252"/>
      <c r="H313" s="1252"/>
      <c r="N313" s="1562"/>
    </row>
    <row r="314" spans="1:14" x14ac:dyDescent="0.2">
      <c r="A314" s="1249"/>
      <c r="B314" s="1252"/>
      <c r="C314" s="1255"/>
      <c r="D314" s="1252"/>
      <c r="E314" s="1252"/>
      <c r="F314" s="1252"/>
      <c r="G314" s="1252"/>
      <c r="H314" s="1252"/>
      <c r="N314" s="1562"/>
    </row>
    <row r="315" spans="1:14" x14ac:dyDescent="0.2">
      <c r="A315" s="1249"/>
      <c r="B315" s="1252"/>
      <c r="C315" s="1255"/>
      <c r="D315" s="1252"/>
      <c r="E315" s="1252"/>
      <c r="F315" s="1252"/>
      <c r="G315" s="1252"/>
      <c r="H315" s="1252"/>
      <c r="N315" s="1562"/>
    </row>
    <row r="316" spans="1:14" x14ac:dyDescent="0.2">
      <c r="A316" s="1249"/>
      <c r="B316" s="1252"/>
      <c r="C316" s="1255"/>
      <c r="D316" s="1252"/>
      <c r="E316" s="1252"/>
      <c r="F316" s="1252"/>
      <c r="G316" s="1252"/>
      <c r="H316" s="1252"/>
      <c r="N316" s="1562"/>
    </row>
    <row r="317" spans="1:14" x14ac:dyDescent="0.2">
      <c r="A317" s="1249"/>
      <c r="B317" s="1252"/>
      <c r="C317" s="1255"/>
      <c r="D317" s="1252"/>
      <c r="E317" s="1252"/>
      <c r="F317" s="1252"/>
      <c r="G317" s="1252"/>
      <c r="H317" s="1252"/>
      <c r="N317" s="1562"/>
    </row>
    <row r="318" spans="1:14" x14ac:dyDescent="0.2">
      <c r="A318" s="1249"/>
      <c r="B318" s="1252"/>
      <c r="C318" s="1255"/>
      <c r="D318" s="1252"/>
      <c r="E318" s="1252"/>
      <c r="F318" s="1252"/>
      <c r="G318" s="1252"/>
      <c r="H318" s="1252"/>
      <c r="N318" s="1562"/>
    </row>
    <row r="319" spans="1:14" x14ac:dyDescent="0.2">
      <c r="A319" s="1249"/>
      <c r="B319" s="1252"/>
      <c r="C319" s="1255"/>
      <c r="D319" s="1252"/>
      <c r="E319" s="1252"/>
      <c r="F319" s="1252"/>
      <c r="G319" s="1252"/>
      <c r="H319" s="1252"/>
      <c r="N319" s="1562"/>
    </row>
    <row r="320" spans="1:14" x14ac:dyDescent="0.2">
      <c r="A320" s="1249"/>
      <c r="B320" s="1252"/>
      <c r="C320" s="1255"/>
      <c r="D320" s="1252"/>
      <c r="E320" s="1252"/>
      <c r="F320" s="1252"/>
      <c r="G320" s="1252"/>
      <c r="H320" s="1252"/>
      <c r="N320" s="1562"/>
    </row>
    <row r="321" spans="1:14" x14ac:dyDescent="0.2">
      <c r="A321" s="1249"/>
      <c r="B321" s="1252"/>
      <c r="C321" s="1255"/>
      <c r="D321" s="1252"/>
      <c r="E321" s="1252"/>
      <c r="F321" s="1252"/>
      <c r="G321" s="1252"/>
      <c r="H321" s="1252"/>
      <c r="N321" s="1562"/>
    </row>
    <row r="322" spans="1:14" x14ac:dyDescent="0.2">
      <c r="A322" s="1249"/>
      <c r="B322" s="1252"/>
      <c r="C322" s="1255"/>
      <c r="D322" s="1252"/>
      <c r="E322" s="1252"/>
      <c r="F322" s="1252"/>
      <c r="G322" s="1252"/>
      <c r="H322" s="1252"/>
      <c r="N322" s="1562"/>
    </row>
    <row r="323" spans="1:14" x14ac:dyDescent="0.2">
      <c r="A323" s="1249"/>
      <c r="B323" s="1252"/>
      <c r="C323" s="1255"/>
      <c r="D323" s="1252"/>
      <c r="E323" s="1252"/>
      <c r="F323" s="1252"/>
      <c r="G323" s="1252"/>
      <c r="H323" s="1252"/>
      <c r="N323" s="1562"/>
    </row>
    <row r="324" spans="1:14" x14ac:dyDescent="0.2">
      <c r="A324" s="1249"/>
      <c r="B324" s="1252"/>
      <c r="C324" s="1255"/>
      <c r="D324" s="1252"/>
      <c r="E324" s="1252"/>
      <c r="F324" s="1252"/>
      <c r="G324" s="1252"/>
      <c r="H324" s="1252"/>
      <c r="N324" s="1562"/>
    </row>
    <row r="325" spans="1:14" x14ac:dyDescent="0.2">
      <c r="A325" s="1249"/>
      <c r="B325" s="1252"/>
      <c r="C325" s="1255"/>
      <c r="D325" s="1252"/>
      <c r="E325" s="1252"/>
      <c r="F325" s="1252"/>
      <c r="G325" s="1252"/>
      <c r="H325" s="1252"/>
      <c r="N325" s="1562"/>
    </row>
    <row r="326" spans="1:14" x14ac:dyDescent="0.2">
      <c r="A326" s="1249"/>
      <c r="B326" s="1252"/>
      <c r="C326" s="1255"/>
      <c r="D326" s="1252"/>
      <c r="E326" s="1252"/>
      <c r="F326" s="1252"/>
      <c r="G326" s="1252"/>
      <c r="H326" s="1252"/>
      <c r="N326" s="1562"/>
    </row>
    <row r="327" spans="1:14" x14ac:dyDescent="0.2">
      <c r="A327" s="1249"/>
      <c r="B327" s="1252"/>
      <c r="C327" s="1255"/>
      <c r="D327" s="1252"/>
      <c r="E327" s="1252"/>
      <c r="F327" s="1252"/>
      <c r="G327" s="1252"/>
      <c r="H327" s="1252"/>
      <c r="N327" s="1562"/>
    </row>
    <row r="328" spans="1:14" x14ac:dyDescent="0.2">
      <c r="A328" s="1249"/>
      <c r="B328" s="1252"/>
      <c r="C328" s="1255"/>
      <c r="D328" s="1252"/>
      <c r="E328" s="1252"/>
      <c r="F328" s="1252"/>
      <c r="G328" s="1252"/>
      <c r="H328" s="1252"/>
      <c r="N328" s="1562"/>
    </row>
    <row r="329" spans="1:14" x14ac:dyDescent="0.2">
      <c r="A329" s="1249"/>
      <c r="B329" s="1252"/>
      <c r="C329" s="1255"/>
      <c r="D329" s="1252"/>
      <c r="E329" s="1252"/>
      <c r="F329" s="1252"/>
      <c r="G329" s="1252"/>
      <c r="H329" s="1252"/>
      <c r="N329" s="1562"/>
    </row>
    <row r="330" spans="1:14" x14ac:dyDescent="0.2">
      <c r="A330" s="1249"/>
      <c r="B330" s="1252"/>
      <c r="C330" s="1255"/>
      <c r="D330" s="1252"/>
      <c r="E330" s="1252"/>
      <c r="F330" s="1252"/>
      <c r="G330" s="1252"/>
      <c r="H330" s="1252"/>
      <c r="N330" s="1562"/>
    </row>
    <row r="331" spans="1:14" ht="13.5" thickBot="1" x14ac:dyDescent="0.25">
      <c r="A331" s="1249"/>
      <c r="B331" s="1252"/>
      <c r="C331" s="1255"/>
      <c r="D331" s="1252"/>
      <c r="E331" s="1252"/>
      <c r="F331" s="1252"/>
      <c r="G331" s="1252"/>
      <c r="H331" s="1252"/>
      <c r="N331" s="1562"/>
    </row>
    <row r="332" spans="1:14" x14ac:dyDescent="0.2">
      <c r="A332" s="1568"/>
      <c r="B332" s="1252"/>
      <c r="C332" s="1255"/>
      <c r="D332" s="1252"/>
      <c r="E332" s="1252"/>
      <c r="F332" s="1252"/>
      <c r="G332" s="1252"/>
      <c r="H332" s="1252"/>
      <c r="N332" s="1562"/>
    </row>
    <row r="333" spans="1:14" x14ac:dyDescent="0.2">
      <c r="A333" s="1569"/>
      <c r="B333" s="1252"/>
      <c r="C333" s="1255"/>
      <c r="D333" s="1252"/>
      <c r="E333" s="1252"/>
      <c r="F333" s="1252"/>
      <c r="G333" s="1252"/>
      <c r="H333" s="1252"/>
      <c r="N333" s="1562"/>
    </row>
    <row r="334" spans="1:14" x14ac:dyDescent="0.2">
      <c r="A334" s="1569"/>
      <c r="B334" s="1252"/>
      <c r="C334" s="1255"/>
      <c r="D334" s="1252"/>
      <c r="E334" s="1252"/>
      <c r="F334" s="1252"/>
      <c r="G334" s="1252"/>
      <c r="H334" s="1252"/>
      <c r="N334" s="1562"/>
    </row>
    <row r="335" spans="1:14" x14ac:dyDescent="0.2">
      <c r="A335" s="1569"/>
      <c r="B335" s="1252"/>
      <c r="C335" s="1255"/>
      <c r="D335" s="1252"/>
      <c r="E335" s="1252"/>
      <c r="F335" s="1252"/>
      <c r="G335" s="1252"/>
      <c r="H335" s="1252"/>
      <c r="N335" s="1562"/>
    </row>
    <row r="336" spans="1:14" x14ac:dyDescent="0.2">
      <c r="A336" s="1569"/>
      <c r="B336" s="1252"/>
      <c r="C336" s="1255"/>
      <c r="D336" s="1252"/>
      <c r="E336" s="1252"/>
      <c r="F336" s="1252"/>
      <c r="G336" s="1252"/>
      <c r="H336" s="1252"/>
      <c r="N336" s="1562"/>
    </row>
    <row r="337" spans="1:14" x14ac:dyDescent="0.2">
      <c r="A337" s="1569"/>
      <c r="B337" s="1252"/>
      <c r="C337" s="1255"/>
      <c r="D337" s="1252"/>
      <c r="E337" s="1252"/>
      <c r="F337" s="1252"/>
      <c r="G337" s="1252"/>
      <c r="H337" s="1252"/>
      <c r="N337" s="1562"/>
    </row>
    <row r="338" spans="1:14" x14ac:dyDescent="0.2">
      <c r="A338" s="1569"/>
      <c r="B338" s="1252"/>
      <c r="C338" s="1255"/>
      <c r="D338" s="1252"/>
      <c r="E338" s="1252"/>
      <c r="F338" s="1252"/>
      <c r="G338" s="1252"/>
      <c r="H338" s="1252"/>
      <c r="N338" s="1562"/>
    </row>
    <row r="339" spans="1:14" x14ac:dyDescent="0.2">
      <c r="A339" s="1569"/>
      <c r="B339" s="1252"/>
      <c r="C339" s="1255"/>
      <c r="D339" s="1252"/>
      <c r="E339" s="1252"/>
      <c r="F339" s="1252"/>
      <c r="G339" s="1252"/>
      <c r="H339" s="1252"/>
      <c r="N339" s="1562"/>
    </row>
    <row r="340" spans="1:14" ht="13.5" thickBot="1" x14ac:dyDescent="0.25">
      <c r="A340" s="1567"/>
      <c r="B340" s="1252"/>
      <c r="C340" s="1255"/>
      <c r="D340" s="1252"/>
      <c r="E340" s="1252"/>
      <c r="F340" s="1252"/>
      <c r="G340" s="1252"/>
      <c r="H340" s="1252"/>
      <c r="N340" s="1562"/>
    </row>
    <row r="341" spans="1:14" x14ac:dyDescent="0.2">
      <c r="A341" s="1568"/>
      <c r="B341" s="1252"/>
      <c r="C341" s="1255"/>
      <c r="D341" s="1252"/>
      <c r="E341" s="1252"/>
      <c r="F341" s="1252"/>
      <c r="G341" s="1252"/>
      <c r="H341" s="1252"/>
      <c r="N341" s="1562"/>
    </row>
    <row r="342" spans="1:14" x14ac:dyDescent="0.2">
      <c r="A342" s="1569"/>
      <c r="B342" s="1252"/>
      <c r="C342" s="1255"/>
      <c r="D342" s="1252"/>
      <c r="E342" s="1252"/>
      <c r="F342" s="1252"/>
      <c r="G342" s="1252"/>
      <c r="H342" s="1252"/>
      <c r="N342" s="1562"/>
    </row>
    <row r="343" spans="1:14" x14ac:dyDescent="0.2">
      <c r="A343" s="1569"/>
      <c r="B343" s="1252"/>
      <c r="C343" s="1255"/>
      <c r="D343" s="1252"/>
      <c r="E343" s="1252"/>
      <c r="F343" s="1252"/>
      <c r="G343" s="1252"/>
      <c r="H343" s="1252"/>
      <c r="N343" s="1562"/>
    </row>
    <row r="344" spans="1:14" x14ac:dyDescent="0.2">
      <c r="A344" s="1569"/>
      <c r="B344" s="1252"/>
      <c r="C344" s="1255"/>
      <c r="D344" s="1252"/>
      <c r="E344" s="1252"/>
      <c r="F344" s="1252"/>
      <c r="G344" s="1252"/>
      <c r="H344" s="1252"/>
      <c r="N344" s="1562"/>
    </row>
    <row r="345" spans="1:14" x14ac:dyDescent="0.2">
      <c r="A345" s="1569"/>
      <c r="B345" s="1252"/>
      <c r="C345" s="1255"/>
      <c r="D345" s="1252"/>
      <c r="E345" s="1252"/>
      <c r="F345" s="1252"/>
      <c r="G345" s="1252"/>
      <c r="H345" s="1252"/>
      <c r="N345" s="1562"/>
    </row>
    <row r="346" spans="1:14" x14ac:dyDescent="0.2">
      <c r="A346" s="1569"/>
      <c r="B346" s="1252"/>
      <c r="C346" s="1255"/>
      <c r="D346" s="1252"/>
      <c r="E346" s="1252"/>
      <c r="F346" s="1252"/>
      <c r="G346" s="1252"/>
      <c r="H346" s="1252"/>
      <c r="N346" s="1562"/>
    </row>
    <row r="347" spans="1:14" x14ac:dyDescent="0.2">
      <c r="A347" s="1569"/>
      <c r="B347" s="1252"/>
      <c r="C347" s="1255"/>
      <c r="D347" s="1252"/>
      <c r="E347" s="1252"/>
      <c r="F347" s="1252"/>
      <c r="G347" s="1252"/>
      <c r="H347" s="1252"/>
      <c r="N347" s="1562"/>
    </row>
    <row r="348" spans="1:14" x14ac:dyDescent="0.2">
      <c r="A348" s="1569"/>
      <c r="B348" s="1252"/>
      <c r="C348" s="1255"/>
      <c r="D348" s="1252"/>
      <c r="E348" s="1252"/>
      <c r="F348" s="1252"/>
      <c r="G348" s="1252"/>
      <c r="H348" s="1252"/>
      <c r="N348" s="1562"/>
    </row>
    <row r="349" spans="1:14" ht="13.5" thickBot="1" x14ac:dyDescent="0.25">
      <c r="A349" s="1567"/>
      <c r="B349" s="1252"/>
      <c r="C349" s="1255"/>
      <c r="D349" s="1252"/>
      <c r="E349" s="1252"/>
      <c r="F349" s="1252"/>
      <c r="G349" s="1252"/>
      <c r="H349" s="1252"/>
      <c r="N349" s="1562"/>
    </row>
    <row r="350" spans="1:14" x14ac:dyDescent="0.2">
      <c r="A350" s="1249"/>
      <c r="B350" s="1252"/>
      <c r="C350" s="1255"/>
      <c r="D350" s="1252"/>
      <c r="E350" s="1252"/>
      <c r="F350" s="1252"/>
      <c r="G350" s="1252"/>
      <c r="H350" s="1252"/>
      <c r="N350" s="1562"/>
    </row>
    <row r="351" spans="1:14" x14ac:dyDescent="0.2">
      <c r="A351" s="1249"/>
      <c r="B351" s="1252"/>
      <c r="C351" s="1255"/>
      <c r="D351" s="1252"/>
      <c r="E351" s="1252"/>
      <c r="F351" s="1252"/>
      <c r="G351" s="1252"/>
      <c r="H351" s="1252"/>
      <c r="N351" s="1562"/>
    </row>
    <row r="352" spans="1:14" x14ac:dyDescent="0.2">
      <c r="A352" s="1249"/>
      <c r="B352" s="1252"/>
      <c r="C352" s="1255"/>
      <c r="D352" s="1252"/>
      <c r="E352" s="1252"/>
      <c r="F352" s="1252"/>
      <c r="G352" s="1252"/>
      <c r="H352" s="1252"/>
      <c r="N352" s="1562"/>
    </row>
    <row r="353" spans="1:14" x14ac:dyDescent="0.2">
      <c r="A353" s="1249"/>
      <c r="B353" s="1252"/>
      <c r="C353" s="1255"/>
      <c r="D353" s="1252"/>
      <c r="E353" s="1252"/>
      <c r="F353" s="1252"/>
      <c r="G353" s="1252"/>
      <c r="H353" s="1252"/>
      <c r="N353" s="1562"/>
    </row>
    <row r="354" spans="1:14" x14ac:dyDescent="0.2">
      <c r="A354" s="1249"/>
      <c r="B354" s="1252"/>
      <c r="C354" s="1255"/>
      <c r="D354" s="1252"/>
      <c r="E354" s="1252"/>
      <c r="F354" s="1252"/>
      <c r="G354" s="1252"/>
      <c r="H354" s="1252"/>
      <c r="N354" s="1562"/>
    </row>
    <row r="355" spans="1:14" x14ac:dyDescent="0.2">
      <c r="A355" s="1249"/>
      <c r="B355" s="1252"/>
      <c r="C355" s="1255"/>
      <c r="D355" s="1252"/>
      <c r="E355" s="1252"/>
      <c r="F355" s="1252"/>
      <c r="G355" s="1252"/>
      <c r="H355" s="1252"/>
      <c r="N355" s="1562"/>
    </row>
    <row r="356" spans="1:14" x14ac:dyDescent="0.2">
      <c r="A356" s="1249"/>
      <c r="B356" s="1252"/>
      <c r="C356" s="1255"/>
      <c r="D356" s="1252"/>
      <c r="E356" s="1252"/>
      <c r="F356" s="1252"/>
      <c r="G356" s="1252"/>
      <c r="H356" s="1252"/>
      <c r="N356" s="1562"/>
    </row>
    <row r="357" spans="1:14" x14ac:dyDescent="0.2">
      <c r="A357" s="1249"/>
      <c r="B357" s="1252"/>
      <c r="C357" s="1255"/>
      <c r="D357" s="1252"/>
      <c r="E357" s="1252"/>
      <c r="F357" s="1252"/>
      <c r="G357" s="1252"/>
      <c r="H357" s="1252"/>
      <c r="N357" s="1562"/>
    </row>
    <row r="358" spans="1:14" x14ac:dyDescent="0.2">
      <c r="A358" s="1249"/>
      <c r="B358" s="1252"/>
      <c r="C358" s="1255"/>
      <c r="D358" s="1252"/>
      <c r="E358" s="1252"/>
      <c r="F358" s="1252"/>
      <c r="G358" s="1252"/>
      <c r="H358" s="1252"/>
      <c r="N358" s="1562"/>
    </row>
    <row r="359" spans="1:14" x14ac:dyDescent="0.2">
      <c r="A359" s="1249"/>
      <c r="B359" s="1252"/>
      <c r="C359" s="1255"/>
      <c r="D359" s="1252"/>
      <c r="E359" s="1252"/>
      <c r="F359" s="1252"/>
      <c r="G359" s="1252"/>
      <c r="H359" s="1252"/>
      <c r="N359" s="1562"/>
    </row>
    <row r="360" spans="1:14" x14ac:dyDescent="0.2">
      <c r="A360" s="1249"/>
      <c r="B360" s="1252"/>
      <c r="C360" s="1255"/>
      <c r="D360" s="1252"/>
      <c r="E360" s="1252"/>
      <c r="F360" s="1252"/>
      <c r="G360" s="1252"/>
      <c r="H360" s="1252"/>
      <c r="N360" s="1562"/>
    </row>
    <row r="361" spans="1:14" x14ac:dyDescent="0.2">
      <c r="A361" s="1249"/>
      <c r="B361" s="1252"/>
      <c r="C361" s="1255"/>
      <c r="D361" s="1252"/>
      <c r="E361" s="1252"/>
      <c r="F361" s="1252"/>
      <c r="G361" s="1252"/>
      <c r="H361" s="1252"/>
      <c r="N361" s="1562"/>
    </row>
    <row r="362" spans="1:14" x14ac:dyDescent="0.2">
      <c r="A362" s="1249"/>
      <c r="B362" s="1252"/>
      <c r="C362" s="1255"/>
      <c r="D362" s="1252"/>
      <c r="E362" s="1252"/>
      <c r="F362" s="1252"/>
      <c r="G362" s="1252"/>
      <c r="H362" s="1252"/>
      <c r="N362" s="1562"/>
    </row>
    <row r="363" spans="1:14" x14ac:dyDescent="0.2">
      <c r="A363" s="1249"/>
      <c r="B363" s="1252"/>
      <c r="C363" s="1255"/>
      <c r="D363" s="1252"/>
      <c r="E363" s="1252"/>
      <c r="F363" s="1252"/>
      <c r="G363" s="1252"/>
      <c r="H363" s="1252"/>
      <c r="N363" s="1562"/>
    </row>
    <row r="364" spans="1:14" x14ac:dyDescent="0.2">
      <c r="A364" s="1249"/>
      <c r="B364" s="1252"/>
      <c r="C364" s="1255"/>
      <c r="D364" s="1252"/>
      <c r="E364" s="1252"/>
      <c r="F364" s="1252"/>
      <c r="G364" s="1252"/>
      <c r="H364" s="1252"/>
      <c r="N364" s="1562"/>
    </row>
    <row r="365" spans="1:14" x14ac:dyDescent="0.2">
      <c r="A365" s="1249"/>
      <c r="B365" s="1252"/>
      <c r="C365" s="1255"/>
      <c r="D365" s="1252"/>
      <c r="E365" s="1252"/>
      <c r="F365" s="1252"/>
      <c r="G365" s="1252"/>
      <c r="H365" s="1252"/>
      <c r="N365" s="1562"/>
    </row>
    <row r="366" spans="1:14" x14ac:dyDescent="0.2">
      <c r="A366" s="1249"/>
      <c r="B366" s="1252"/>
      <c r="C366" s="1255"/>
      <c r="D366" s="1252"/>
      <c r="E366" s="1252"/>
      <c r="F366" s="1252"/>
      <c r="G366" s="1252"/>
      <c r="H366" s="1252"/>
      <c r="N366" s="1562"/>
    </row>
    <row r="367" spans="1:14" x14ac:dyDescent="0.2">
      <c r="A367" s="1249"/>
      <c r="B367" s="1252"/>
      <c r="C367" s="1255"/>
      <c r="D367" s="1252"/>
      <c r="E367" s="1252"/>
      <c r="F367" s="1252"/>
      <c r="G367" s="1252"/>
      <c r="H367" s="1252"/>
      <c r="N367" s="1562"/>
    </row>
    <row r="368" spans="1:14" ht="13.5" thickBot="1" x14ac:dyDescent="0.25">
      <c r="A368" s="1249"/>
      <c r="B368" s="1252"/>
      <c r="C368" s="1255"/>
      <c r="D368" s="1252"/>
      <c r="E368" s="1252"/>
      <c r="F368" s="1252"/>
      <c r="G368" s="1252"/>
      <c r="H368" s="1252"/>
      <c r="N368" s="1562"/>
    </row>
    <row r="369" spans="1:14" x14ac:dyDescent="0.2">
      <c r="A369" s="1568"/>
      <c r="B369" s="1252"/>
      <c r="C369" s="1255"/>
      <c r="D369" s="1252"/>
      <c r="E369" s="1252"/>
      <c r="F369" s="1252"/>
      <c r="G369" s="1252"/>
      <c r="H369" s="1252"/>
      <c r="N369" s="1562"/>
    </row>
    <row r="370" spans="1:14" x14ac:dyDescent="0.2">
      <c r="A370" s="1569"/>
      <c r="B370" s="1252"/>
      <c r="C370" s="1255"/>
      <c r="D370" s="1252"/>
      <c r="E370" s="1252"/>
      <c r="F370" s="1252"/>
      <c r="G370" s="1252"/>
      <c r="H370" s="1252"/>
      <c r="N370" s="1562"/>
    </row>
    <row r="371" spans="1:14" x14ac:dyDescent="0.2">
      <c r="A371" s="1569"/>
      <c r="B371" s="1252"/>
      <c r="C371" s="1255"/>
      <c r="D371" s="1252"/>
      <c r="E371" s="1252"/>
      <c r="F371" s="1252"/>
      <c r="G371" s="1252"/>
      <c r="H371" s="1252"/>
      <c r="N371" s="1562"/>
    </row>
    <row r="372" spans="1:14" x14ac:dyDescent="0.2">
      <c r="A372" s="1569"/>
      <c r="B372" s="1252"/>
      <c r="C372" s="1255"/>
      <c r="D372" s="1252"/>
      <c r="E372" s="1252"/>
      <c r="F372" s="1252"/>
      <c r="G372" s="1252"/>
      <c r="H372" s="1252"/>
      <c r="N372" s="1562"/>
    </row>
    <row r="373" spans="1:14" x14ac:dyDescent="0.2">
      <c r="A373" s="1569"/>
      <c r="B373" s="1252"/>
      <c r="C373" s="1255"/>
      <c r="D373" s="1252"/>
      <c r="E373" s="1252"/>
      <c r="F373" s="1252"/>
      <c r="G373" s="1252"/>
      <c r="H373" s="1252"/>
      <c r="N373" s="1562"/>
    </row>
    <row r="374" spans="1:14" x14ac:dyDescent="0.2">
      <c r="A374" s="1569"/>
      <c r="B374" s="1252"/>
      <c r="C374" s="1255"/>
      <c r="D374" s="1252"/>
      <c r="E374" s="1252"/>
      <c r="F374" s="1252"/>
      <c r="G374" s="1252"/>
      <c r="H374" s="1252"/>
      <c r="N374" s="1562"/>
    </row>
    <row r="375" spans="1:14" x14ac:dyDescent="0.2">
      <c r="A375" s="1569"/>
      <c r="B375" s="1252"/>
      <c r="C375" s="1255"/>
      <c r="D375" s="1252"/>
      <c r="E375" s="1252"/>
      <c r="F375" s="1252"/>
      <c r="G375" s="1252"/>
      <c r="H375" s="1252"/>
      <c r="N375" s="1562"/>
    </row>
    <row r="376" spans="1:14" x14ac:dyDescent="0.2">
      <c r="A376" s="1569"/>
      <c r="B376" s="1252"/>
      <c r="C376" s="1255"/>
      <c r="D376" s="1252"/>
      <c r="E376" s="1252"/>
      <c r="F376" s="1252"/>
      <c r="G376" s="1252"/>
      <c r="H376" s="1252"/>
      <c r="N376" s="1562"/>
    </row>
    <row r="377" spans="1:14" ht="13.5" thickBot="1" x14ac:dyDescent="0.25">
      <c r="A377" s="1567"/>
      <c r="B377" s="1252"/>
      <c r="C377" s="1255"/>
      <c r="D377" s="1252"/>
      <c r="E377" s="1252"/>
      <c r="F377" s="1252"/>
      <c r="G377" s="1252"/>
      <c r="H377" s="1252"/>
      <c r="N377" s="1562"/>
    </row>
    <row r="378" spans="1:14" x14ac:dyDescent="0.2">
      <c r="A378" s="1249"/>
      <c r="B378" s="1252"/>
      <c r="C378" s="1255"/>
      <c r="D378" s="1252"/>
      <c r="E378" s="1252"/>
      <c r="F378" s="1252"/>
      <c r="G378" s="1252"/>
      <c r="H378" s="1252"/>
      <c r="N378" s="1562"/>
    </row>
    <row r="379" spans="1:14" x14ac:dyDescent="0.2">
      <c r="A379" s="1249"/>
      <c r="B379" s="1252"/>
      <c r="C379" s="1255"/>
      <c r="D379" s="1252"/>
      <c r="E379" s="1252"/>
      <c r="F379" s="1252"/>
      <c r="G379" s="1252"/>
      <c r="H379" s="1252"/>
      <c r="N379" s="1562"/>
    </row>
    <row r="380" spans="1:14" x14ac:dyDescent="0.2">
      <c r="A380" s="1249"/>
      <c r="B380" s="1252"/>
      <c r="C380" s="1255"/>
      <c r="D380" s="1252"/>
      <c r="E380" s="1252"/>
      <c r="F380" s="1252"/>
      <c r="G380" s="1252"/>
      <c r="H380" s="1252"/>
      <c r="N380" s="1562"/>
    </row>
    <row r="381" spans="1:14" x14ac:dyDescent="0.2">
      <c r="A381" s="1249"/>
      <c r="B381" s="1252"/>
      <c r="C381" s="1255"/>
      <c r="D381" s="1252"/>
      <c r="E381" s="1252"/>
      <c r="F381" s="1252"/>
      <c r="G381" s="1252"/>
      <c r="H381" s="1252"/>
      <c r="N381" s="1562"/>
    </row>
    <row r="382" spans="1:14" x14ac:dyDescent="0.2">
      <c r="A382" s="1249"/>
      <c r="B382" s="1252"/>
      <c r="C382" s="1255"/>
      <c r="D382" s="1252"/>
      <c r="E382" s="1252"/>
      <c r="F382" s="1252"/>
      <c r="G382" s="1252"/>
      <c r="H382" s="1252"/>
      <c r="N382" s="1562"/>
    </row>
    <row r="383" spans="1:14" x14ac:dyDescent="0.2">
      <c r="A383" s="1249"/>
      <c r="B383" s="1252"/>
      <c r="C383" s="1255"/>
      <c r="D383" s="1252"/>
      <c r="E383" s="1252"/>
      <c r="F383" s="1252"/>
      <c r="G383" s="1252"/>
      <c r="H383" s="1252"/>
      <c r="N383" s="1562"/>
    </row>
    <row r="384" spans="1:14" x14ac:dyDescent="0.2">
      <c r="A384" s="1249"/>
      <c r="B384" s="1252"/>
      <c r="C384" s="1255"/>
      <c r="D384" s="1252"/>
      <c r="E384" s="1252"/>
      <c r="F384" s="1252"/>
      <c r="G384" s="1252"/>
      <c r="H384" s="1252"/>
      <c r="N384" s="1562"/>
    </row>
    <row r="385" spans="1:14" x14ac:dyDescent="0.2">
      <c r="A385" s="1249"/>
      <c r="B385" s="1252"/>
      <c r="C385" s="1255"/>
      <c r="D385" s="1252"/>
      <c r="E385" s="1252"/>
      <c r="F385" s="1252"/>
      <c r="G385" s="1252"/>
      <c r="H385" s="1252"/>
      <c r="N385" s="1562"/>
    </row>
    <row r="386" spans="1:14" ht="13.5" thickBot="1" x14ac:dyDescent="0.25">
      <c r="A386" s="1249"/>
      <c r="B386" s="1252"/>
      <c r="C386" s="1255"/>
      <c r="D386" s="1252"/>
      <c r="E386" s="1252"/>
      <c r="F386" s="1252"/>
      <c r="G386" s="1252"/>
      <c r="H386" s="1252"/>
      <c r="N386" s="1562"/>
    </row>
    <row r="387" spans="1:14" x14ac:dyDescent="0.2">
      <c r="A387" s="1568"/>
      <c r="B387" s="1571"/>
      <c r="C387" s="1572"/>
      <c r="D387" s="1571"/>
      <c r="E387" s="1571"/>
      <c r="F387" s="1571"/>
      <c r="G387" s="1571"/>
      <c r="H387" s="1571"/>
      <c r="I387" s="1571"/>
      <c r="J387" s="1571"/>
      <c r="K387" s="1571"/>
      <c r="L387" s="1571"/>
      <c r="M387" s="1571"/>
      <c r="N387" s="1573"/>
    </row>
    <row r="388" spans="1:14" x14ac:dyDescent="0.2">
      <c r="A388" s="1569"/>
      <c r="B388" s="1252"/>
      <c r="C388" s="1255"/>
      <c r="D388" s="1252"/>
      <c r="E388" s="1252"/>
      <c r="F388" s="1252"/>
      <c r="G388" s="1252"/>
      <c r="H388" s="1252"/>
      <c r="N388" s="1574"/>
    </row>
    <row r="389" spans="1:14" x14ac:dyDescent="0.2">
      <c r="A389" s="1569"/>
      <c r="B389" s="1252"/>
      <c r="C389" s="1255"/>
      <c r="D389" s="1252"/>
      <c r="E389" s="1252"/>
      <c r="F389" s="1252"/>
      <c r="G389" s="1252"/>
      <c r="H389" s="1252"/>
      <c r="N389" s="1574"/>
    </row>
    <row r="390" spans="1:14" x14ac:dyDescent="0.2">
      <c r="A390" s="1569"/>
      <c r="B390" s="1252"/>
      <c r="C390" s="1255"/>
      <c r="D390" s="1252"/>
      <c r="E390" s="1252"/>
      <c r="F390" s="1252"/>
      <c r="G390" s="1252"/>
      <c r="H390" s="1252"/>
      <c r="N390" s="1574"/>
    </row>
    <row r="391" spans="1:14" x14ac:dyDescent="0.2">
      <c r="A391" s="1569"/>
      <c r="B391" s="1252"/>
      <c r="C391" s="1255"/>
      <c r="D391" s="1252"/>
      <c r="E391" s="1252"/>
      <c r="F391" s="1252"/>
      <c r="G391" s="1252"/>
      <c r="H391" s="1252"/>
      <c r="N391" s="1574"/>
    </row>
    <row r="392" spans="1:14" x14ac:dyDescent="0.2">
      <c r="A392" s="1569"/>
      <c r="B392" s="1252"/>
      <c r="C392" s="1255"/>
      <c r="D392" s="1252"/>
      <c r="E392" s="1252"/>
      <c r="F392" s="1252"/>
      <c r="G392" s="1252"/>
      <c r="H392" s="1252"/>
      <c r="N392" s="1574"/>
    </row>
    <row r="393" spans="1:14" x14ac:dyDescent="0.2">
      <c r="A393" s="1569"/>
      <c r="B393" s="1252"/>
      <c r="C393" s="1255"/>
      <c r="D393" s="1252"/>
      <c r="E393" s="1252"/>
      <c r="F393" s="1252"/>
      <c r="G393" s="1252"/>
      <c r="H393" s="1252"/>
      <c r="N393" s="1574"/>
    </row>
    <row r="394" spans="1:14" x14ac:dyDescent="0.2">
      <c r="A394" s="1569"/>
      <c r="B394" s="1252"/>
      <c r="C394" s="1255"/>
      <c r="D394" s="1252"/>
      <c r="E394" s="1252"/>
      <c r="F394" s="1252"/>
      <c r="G394" s="1252"/>
      <c r="H394" s="1252"/>
      <c r="N394" s="1574"/>
    </row>
    <row r="395" spans="1:14" ht="13.5" thickBot="1" x14ac:dyDescent="0.25">
      <c r="A395" s="1567"/>
      <c r="B395" s="1575"/>
      <c r="C395" s="1576"/>
      <c r="D395" s="1575"/>
      <c r="E395" s="1575"/>
      <c r="F395" s="1575"/>
      <c r="G395" s="1575"/>
      <c r="H395" s="1575"/>
      <c r="I395" s="1575"/>
      <c r="J395" s="1575"/>
      <c r="K395" s="1575"/>
      <c r="L395" s="1575"/>
      <c r="M395" s="1575"/>
      <c r="N395" s="1577"/>
    </row>
    <row r="396" spans="1:14" x14ac:dyDescent="0.2">
      <c r="A396" s="1249"/>
      <c r="B396" s="1252"/>
      <c r="C396" s="1255"/>
      <c r="D396" s="1252"/>
      <c r="E396" s="1252"/>
      <c r="F396" s="1252"/>
      <c r="G396" s="1252"/>
      <c r="H396" s="1252"/>
      <c r="N396" s="1562"/>
    </row>
    <row r="397" spans="1:14" x14ac:dyDescent="0.2">
      <c r="A397" s="1249"/>
      <c r="B397" s="1252"/>
      <c r="C397" s="1255"/>
      <c r="D397" s="1252"/>
      <c r="E397" s="1252"/>
      <c r="F397" s="1252"/>
      <c r="G397" s="1252"/>
      <c r="H397" s="1252"/>
      <c r="N397" s="1562"/>
    </row>
    <row r="398" spans="1:14" x14ac:dyDescent="0.2">
      <c r="A398" s="1249"/>
      <c r="B398" s="1252"/>
      <c r="C398" s="1255"/>
      <c r="D398" s="1252"/>
      <c r="E398" s="1252"/>
      <c r="F398" s="1252"/>
      <c r="G398" s="1252"/>
      <c r="H398" s="1252"/>
      <c r="N398" s="1562"/>
    </row>
    <row r="399" spans="1:14" x14ac:dyDescent="0.2">
      <c r="A399" s="1249"/>
      <c r="B399" s="1252"/>
      <c r="C399" s="1255"/>
      <c r="D399" s="1252"/>
      <c r="E399" s="1252"/>
      <c r="F399" s="1252"/>
      <c r="G399" s="1252"/>
      <c r="H399" s="1252"/>
      <c r="N399" s="1562"/>
    </row>
    <row r="400" spans="1:14" x14ac:dyDescent="0.2">
      <c r="A400" s="1249"/>
      <c r="B400" s="1252"/>
      <c r="C400" s="1255"/>
      <c r="D400" s="1252"/>
      <c r="E400" s="1252"/>
      <c r="F400" s="1252"/>
      <c r="G400" s="1252"/>
      <c r="H400" s="1252"/>
      <c r="N400" s="1562"/>
    </row>
    <row r="401" spans="1:14" x14ac:dyDescent="0.2">
      <c r="A401" s="1249"/>
      <c r="B401" s="1252"/>
      <c r="C401" s="1255"/>
      <c r="D401" s="1252"/>
      <c r="E401" s="1252"/>
      <c r="F401" s="1252"/>
      <c r="G401" s="1252"/>
      <c r="H401" s="1252"/>
      <c r="N401" s="1562"/>
    </row>
    <row r="402" spans="1:14" x14ac:dyDescent="0.2">
      <c r="A402" s="1249"/>
      <c r="B402" s="1252"/>
      <c r="C402" s="1255"/>
      <c r="D402" s="1252"/>
      <c r="E402" s="1252"/>
      <c r="F402" s="1252"/>
      <c r="G402" s="1252"/>
      <c r="H402" s="1252"/>
      <c r="N402" s="1562"/>
    </row>
    <row r="403" spans="1:14" x14ac:dyDescent="0.2">
      <c r="A403" s="1249"/>
      <c r="B403" s="1252"/>
      <c r="C403" s="1255"/>
      <c r="D403" s="1252"/>
      <c r="E403" s="1252"/>
      <c r="F403" s="1252"/>
      <c r="G403" s="1252"/>
      <c r="H403" s="1252"/>
      <c r="N403" s="1562"/>
    </row>
    <row r="404" spans="1:14" x14ac:dyDescent="0.2">
      <c r="A404" s="1249"/>
      <c r="B404" s="1252"/>
      <c r="C404" s="1255"/>
      <c r="D404" s="1252"/>
      <c r="E404" s="1252"/>
      <c r="F404" s="1252"/>
      <c r="G404" s="1252"/>
      <c r="H404" s="1252"/>
      <c r="N404" s="1562"/>
    </row>
    <row r="405" spans="1:14" x14ac:dyDescent="0.2">
      <c r="A405" s="1249"/>
      <c r="B405" s="1252"/>
      <c r="C405" s="1255"/>
      <c r="D405" s="1252"/>
      <c r="E405" s="1252"/>
      <c r="F405" s="1252"/>
      <c r="G405" s="1252"/>
      <c r="H405" s="1252"/>
      <c r="N405" s="1562"/>
    </row>
    <row r="406" spans="1:14" x14ac:dyDescent="0.2">
      <c r="A406" s="1249"/>
      <c r="B406" s="1252"/>
      <c r="C406" s="1255"/>
      <c r="D406" s="1252"/>
      <c r="E406" s="1252"/>
      <c r="F406" s="1252"/>
      <c r="G406" s="1252"/>
      <c r="H406" s="1252"/>
      <c r="N406" s="1562"/>
    </row>
    <row r="407" spans="1:14" x14ac:dyDescent="0.2">
      <c r="A407" s="1249"/>
      <c r="B407" s="1252"/>
      <c r="C407" s="1255"/>
      <c r="D407" s="1252"/>
      <c r="E407" s="1252"/>
      <c r="F407" s="1252"/>
      <c r="G407" s="1252"/>
      <c r="H407" s="1252"/>
      <c r="N407" s="1562"/>
    </row>
    <row r="408" spans="1:14" x14ac:dyDescent="0.2">
      <c r="A408" s="1249"/>
      <c r="B408" s="1252"/>
      <c r="C408" s="1255"/>
      <c r="D408" s="1252"/>
      <c r="E408" s="1252"/>
      <c r="F408" s="1252"/>
      <c r="G408" s="1252"/>
      <c r="H408" s="1252"/>
      <c r="N408" s="1562"/>
    </row>
    <row r="409" spans="1:14" x14ac:dyDescent="0.2">
      <c r="A409" s="1249"/>
      <c r="B409" s="1252"/>
      <c r="C409" s="1255"/>
      <c r="D409" s="1252"/>
      <c r="E409" s="1252"/>
      <c r="F409" s="1252"/>
      <c r="G409" s="1252"/>
      <c r="H409" s="1252"/>
      <c r="N409" s="1562"/>
    </row>
    <row r="410" spans="1:14" x14ac:dyDescent="0.2">
      <c r="A410" s="1249"/>
      <c r="B410" s="1252"/>
      <c r="C410" s="1255"/>
      <c r="D410" s="1252"/>
      <c r="E410" s="1252"/>
      <c r="F410" s="1252"/>
      <c r="G410" s="1252"/>
      <c r="H410" s="1252"/>
      <c r="N410" s="1562"/>
    </row>
    <row r="411" spans="1:14" x14ac:dyDescent="0.2">
      <c r="A411" s="1249"/>
      <c r="B411" s="1252"/>
      <c r="C411" s="1255"/>
      <c r="D411" s="1252"/>
      <c r="E411" s="1252"/>
      <c r="F411" s="1252"/>
      <c r="G411" s="1252"/>
      <c r="H411" s="1252"/>
      <c r="N411" s="1562"/>
    </row>
    <row r="412" spans="1:14" x14ac:dyDescent="0.2">
      <c r="A412" s="1249"/>
      <c r="B412" s="1252"/>
      <c r="C412" s="1255"/>
      <c r="D412" s="1252"/>
      <c r="E412" s="1252"/>
      <c r="F412" s="1252"/>
      <c r="G412" s="1252"/>
      <c r="H412" s="1252"/>
      <c r="N412" s="1562"/>
    </row>
    <row r="413" spans="1:14" x14ac:dyDescent="0.2">
      <c r="A413" s="1249"/>
      <c r="B413" s="1252"/>
      <c r="C413" s="1255"/>
      <c r="D413" s="1252"/>
      <c r="E413" s="1252"/>
      <c r="F413" s="1252"/>
      <c r="G413" s="1252"/>
      <c r="H413" s="1252"/>
      <c r="N413" s="1562"/>
    </row>
    <row r="414" spans="1:14" x14ac:dyDescent="0.2">
      <c r="A414" s="1249"/>
      <c r="B414" s="1252"/>
      <c r="C414" s="1255"/>
      <c r="D414" s="1252"/>
      <c r="E414" s="1252"/>
      <c r="F414" s="1252"/>
      <c r="G414" s="1252"/>
      <c r="H414" s="1252"/>
      <c r="N414" s="1562"/>
    </row>
    <row r="415" spans="1:14" x14ac:dyDescent="0.2">
      <c r="A415" s="1249"/>
      <c r="B415" s="1252"/>
      <c r="C415" s="1255"/>
      <c r="D415" s="1252"/>
      <c r="E415" s="1252"/>
      <c r="F415" s="1252"/>
      <c r="G415" s="1252"/>
      <c r="H415" s="1252"/>
      <c r="N415" s="1562"/>
    </row>
    <row r="416" spans="1:14" x14ac:dyDescent="0.2">
      <c r="A416" s="1249"/>
      <c r="B416" s="1252"/>
      <c r="C416" s="1255"/>
      <c r="D416" s="1252"/>
      <c r="E416" s="1252"/>
      <c r="F416" s="1252"/>
      <c r="G416" s="1252"/>
      <c r="H416" s="1252"/>
      <c r="N416" s="1562"/>
    </row>
    <row r="417" spans="1:14" x14ac:dyDescent="0.2">
      <c r="A417" s="1249"/>
      <c r="B417" s="1252"/>
      <c r="C417" s="1255"/>
      <c r="D417" s="1252"/>
      <c r="E417" s="1252"/>
      <c r="F417" s="1252"/>
      <c r="G417" s="1252"/>
      <c r="H417" s="1252"/>
      <c r="N417" s="1562"/>
    </row>
    <row r="418" spans="1:14" x14ac:dyDescent="0.2">
      <c r="A418" s="1249"/>
      <c r="B418" s="1252"/>
      <c r="C418" s="1255"/>
      <c r="D418" s="1252"/>
      <c r="E418" s="1252"/>
      <c r="F418" s="1252"/>
      <c r="G418" s="1252"/>
      <c r="H418" s="1252"/>
      <c r="N418" s="1562"/>
    </row>
    <row r="419" spans="1:14" x14ac:dyDescent="0.2">
      <c r="A419" s="1249"/>
      <c r="B419" s="1252"/>
      <c r="C419" s="1255"/>
      <c r="D419" s="1252"/>
      <c r="E419" s="1252"/>
      <c r="F419" s="1252"/>
      <c r="G419" s="1252"/>
      <c r="H419" s="1252"/>
      <c r="N419" s="1562"/>
    </row>
    <row r="420" spans="1:14" x14ac:dyDescent="0.2">
      <c r="A420" s="1249"/>
      <c r="B420" s="1252"/>
      <c r="C420" s="1255"/>
      <c r="D420" s="1252"/>
      <c r="E420" s="1252"/>
      <c r="F420" s="1252"/>
      <c r="G420" s="1252"/>
      <c r="H420" s="1252"/>
      <c r="N420" s="1562"/>
    </row>
    <row r="421" spans="1:14" x14ac:dyDescent="0.2">
      <c r="A421" s="1249"/>
      <c r="B421" s="1252"/>
      <c r="C421" s="1255"/>
      <c r="D421" s="1252"/>
      <c r="E421" s="1252"/>
      <c r="F421" s="1252"/>
      <c r="G421" s="1252"/>
      <c r="H421" s="1252"/>
      <c r="N421" s="1562"/>
    </row>
    <row r="422" spans="1:14" ht="13.5" thickBot="1" x14ac:dyDescent="0.25">
      <c r="A422" s="1249"/>
      <c r="B422" s="1252"/>
      <c r="C422" s="1255"/>
      <c r="D422" s="1252"/>
      <c r="E422" s="1252"/>
      <c r="F422" s="1252"/>
      <c r="G422" s="1252"/>
      <c r="H422" s="1252"/>
      <c r="N422" s="1562"/>
    </row>
    <row r="423" spans="1:14" x14ac:dyDescent="0.2">
      <c r="A423" s="1568"/>
      <c r="B423" s="1571"/>
      <c r="C423" s="1572"/>
      <c r="D423" s="1571"/>
      <c r="E423" s="1571"/>
      <c r="F423" s="1571"/>
      <c r="G423" s="1571"/>
      <c r="H423" s="1571"/>
      <c r="I423" s="1571"/>
      <c r="J423" s="1571"/>
      <c r="K423" s="1571"/>
      <c r="L423" s="1571"/>
      <c r="M423" s="1571"/>
      <c r="N423" s="1573"/>
    </row>
    <row r="424" spans="1:14" x14ac:dyDescent="0.2">
      <c r="A424" s="1569"/>
      <c r="B424" s="1252"/>
      <c r="C424" s="1255"/>
      <c r="D424" s="1252"/>
      <c r="E424" s="1252"/>
      <c r="F424" s="1252"/>
      <c r="G424" s="1252"/>
      <c r="H424" s="1252"/>
      <c r="N424" s="1574"/>
    </row>
    <row r="425" spans="1:14" x14ac:dyDescent="0.2">
      <c r="A425" s="1569"/>
      <c r="B425" s="1252"/>
      <c r="C425" s="1255"/>
      <c r="D425" s="1252"/>
      <c r="E425" s="1252"/>
      <c r="F425" s="1252"/>
      <c r="G425" s="1252"/>
      <c r="H425" s="1252"/>
      <c r="N425" s="1574"/>
    </row>
    <row r="426" spans="1:14" x14ac:dyDescent="0.2">
      <c r="A426" s="1569"/>
      <c r="B426" s="1252"/>
      <c r="C426" s="1255"/>
      <c r="D426" s="1252"/>
      <c r="E426" s="1252"/>
      <c r="F426" s="1252"/>
      <c r="G426" s="1252"/>
      <c r="H426" s="1252"/>
      <c r="N426" s="1574"/>
    </row>
    <row r="427" spans="1:14" x14ac:dyDescent="0.2">
      <c r="A427" s="1569"/>
      <c r="B427" s="1252"/>
      <c r="C427" s="1255"/>
      <c r="D427" s="1252"/>
      <c r="E427" s="1252"/>
      <c r="F427" s="1252"/>
      <c r="G427" s="1252"/>
      <c r="H427" s="1252"/>
      <c r="N427" s="1574"/>
    </row>
    <row r="428" spans="1:14" x14ac:dyDescent="0.2">
      <c r="A428" s="1569"/>
      <c r="B428" s="1252"/>
      <c r="C428" s="1255"/>
      <c r="D428" s="1252"/>
      <c r="E428" s="1252"/>
      <c r="F428" s="1252"/>
      <c r="G428" s="1252"/>
      <c r="H428" s="1252"/>
      <c r="N428" s="1574"/>
    </row>
    <row r="429" spans="1:14" x14ac:dyDescent="0.2">
      <c r="A429" s="1569"/>
      <c r="B429" s="1252"/>
      <c r="C429" s="1255"/>
      <c r="D429" s="1252"/>
      <c r="E429" s="1252"/>
      <c r="F429" s="1252"/>
      <c r="G429" s="1252"/>
      <c r="H429" s="1252"/>
      <c r="N429" s="1574"/>
    </row>
    <row r="430" spans="1:14" x14ac:dyDescent="0.2">
      <c r="A430" s="1569"/>
      <c r="B430" s="1252"/>
      <c r="C430" s="1255"/>
      <c r="D430" s="1252"/>
      <c r="E430" s="1252"/>
      <c r="F430" s="1252"/>
      <c r="G430" s="1252"/>
      <c r="H430" s="1252"/>
      <c r="N430" s="1574"/>
    </row>
    <row r="431" spans="1:14" x14ac:dyDescent="0.2">
      <c r="A431" s="1569"/>
      <c r="B431" s="1252"/>
      <c r="C431" s="1255"/>
      <c r="D431" s="1252"/>
      <c r="E431" s="1252"/>
      <c r="F431" s="1252"/>
      <c r="G431" s="1252"/>
      <c r="H431" s="1252"/>
      <c r="N431" s="1574"/>
    </row>
    <row r="432" spans="1:14" x14ac:dyDescent="0.2">
      <c r="A432" s="1569"/>
      <c r="B432" s="1252"/>
      <c r="C432" s="1255"/>
      <c r="D432" s="1252"/>
      <c r="E432" s="1252"/>
      <c r="F432" s="1252"/>
      <c r="G432" s="1252"/>
      <c r="H432" s="1252"/>
      <c r="N432" s="1574"/>
    </row>
    <row r="433" spans="1:14" x14ac:dyDescent="0.2">
      <c r="A433" s="1569"/>
      <c r="B433" s="1252"/>
      <c r="C433" s="1255"/>
      <c r="D433" s="1252"/>
      <c r="E433" s="1252"/>
      <c r="F433" s="1252"/>
      <c r="G433" s="1252"/>
      <c r="H433" s="1252"/>
      <c r="N433" s="1574"/>
    </row>
    <row r="434" spans="1:14" x14ac:dyDescent="0.2">
      <c r="A434" s="1569"/>
      <c r="B434" s="1252"/>
      <c r="C434" s="1255"/>
      <c r="D434" s="1252"/>
      <c r="E434" s="1252"/>
      <c r="F434" s="1252"/>
      <c r="G434" s="1252"/>
      <c r="H434" s="1252"/>
      <c r="N434" s="1574"/>
    </row>
    <row r="435" spans="1:14" x14ac:dyDescent="0.2">
      <c r="A435" s="1569"/>
      <c r="B435" s="1252"/>
      <c r="C435" s="1255"/>
      <c r="D435" s="1252"/>
      <c r="E435" s="1252"/>
      <c r="F435" s="1252"/>
      <c r="G435" s="1252"/>
      <c r="H435" s="1252"/>
      <c r="N435" s="1574"/>
    </row>
    <row r="436" spans="1:14" ht="13.5" thickBot="1" x14ac:dyDescent="0.25">
      <c r="A436" s="1567"/>
      <c r="B436" s="1575"/>
      <c r="C436" s="1576"/>
      <c r="D436" s="1575"/>
      <c r="E436" s="1575"/>
      <c r="F436" s="1575"/>
      <c r="G436" s="1575"/>
      <c r="H436" s="1575"/>
      <c r="I436" s="1575"/>
      <c r="J436" s="1575"/>
      <c r="K436" s="1575"/>
      <c r="L436" s="1575"/>
      <c r="M436" s="1575"/>
      <c r="N436" s="1577"/>
    </row>
    <row r="437" spans="1:14" x14ac:dyDescent="0.2">
      <c r="A437" s="1568"/>
      <c r="B437" s="1571"/>
      <c r="C437" s="1572"/>
      <c r="D437" s="1571"/>
      <c r="E437" s="1571"/>
      <c r="F437" s="1571"/>
      <c r="G437" s="1571"/>
      <c r="H437" s="1571"/>
      <c r="I437" s="1571"/>
      <c r="J437" s="1571"/>
      <c r="K437" s="1571"/>
      <c r="L437" s="1571"/>
      <c r="M437" s="1571"/>
      <c r="N437" s="1573"/>
    </row>
    <row r="438" spans="1:14" x14ac:dyDescent="0.2">
      <c r="A438" s="1569"/>
      <c r="B438" s="1252"/>
      <c r="C438" s="1255"/>
      <c r="D438" s="1252"/>
      <c r="E438" s="1252"/>
      <c r="F438" s="1252"/>
      <c r="G438" s="1252"/>
      <c r="H438" s="1252"/>
      <c r="N438" s="1574"/>
    </row>
    <row r="439" spans="1:14" x14ac:dyDescent="0.2">
      <c r="A439" s="1569"/>
      <c r="B439" s="1252"/>
      <c r="C439" s="1255"/>
      <c r="D439" s="1252"/>
      <c r="E439" s="1252"/>
      <c r="F439" s="1252"/>
      <c r="G439" s="1252"/>
      <c r="H439" s="1252"/>
      <c r="N439" s="1574"/>
    </row>
    <row r="440" spans="1:14" x14ac:dyDescent="0.2">
      <c r="A440" s="1569"/>
      <c r="B440" s="1252"/>
      <c r="C440" s="1255"/>
      <c r="D440" s="1252"/>
      <c r="E440" s="1252"/>
      <c r="F440" s="1252"/>
      <c r="G440" s="1252"/>
      <c r="H440" s="1252"/>
      <c r="N440" s="1574"/>
    </row>
    <row r="441" spans="1:14" x14ac:dyDescent="0.2">
      <c r="A441" s="1569"/>
      <c r="B441" s="1252"/>
      <c r="C441" s="1255"/>
      <c r="D441" s="1252"/>
      <c r="E441" s="1252"/>
      <c r="F441" s="1252"/>
      <c r="G441" s="1252"/>
      <c r="H441" s="1252"/>
      <c r="N441" s="1574"/>
    </row>
    <row r="442" spans="1:14" x14ac:dyDescent="0.2">
      <c r="A442" s="1569"/>
      <c r="B442" s="1252"/>
      <c r="C442" s="1255"/>
      <c r="D442" s="1252"/>
      <c r="E442" s="1252"/>
      <c r="F442" s="1252"/>
      <c r="G442" s="1252"/>
      <c r="H442" s="1252"/>
      <c r="N442" s="1574"/>
    </row>
    <row r="443" spans="1:14" x14ac:dyDescent="0.2">
      <c r="A443" s="1569"/>
      <c r="B443" s="1252"/>
      <c r="C443" s="1255"/>
      <c r="D443" s="1252"/>
      <c r="E443" s="1252"/>
      <c r="F443" s="1252"/>
      <c r="G443" s="1252"/>
      <c r="H443" s="1252"/>
      <c r="N443" s="1574"/>
    </row>
    <row r="444" spans="1:14" x14ac:dyDescent="0.2">
      <c r="A444" s="1569"/>
      <c r="B444" s="1252"/>
      <c r="C444" s="1255"/>
      <c r="D444" s="1252"/>
      <c r="E444" s="1252"/>
      <c r="F444" s="1252"/>
      <c r="G444" s="1252"/>
      <c r="H444" s="1252"/>
      <c r="N444" s="1574"/>
    </row>
    <row r="445" spans="1:14" x14ac:dyDescent="0.2">
      <c r="A445" s="1569"/>
      <c r="B445" s="1252"/>
      <c r="C445" s="1255"/>
      <c r="D445" s="1252"/>
      <c r="E445" s="1252"/>
      <c r="F445" s="1252"/>
      <c r="G445" s="1252"/>
      <c r="H445" s="1252"/>
      <c r="N445" s="1574"/>
    </row>
    <row r="446" spans="1:14" x14ac:dyDescent="0.2">
      <c r="A446" s="1569"/>
      <c r="B446" s="1252"/>
      <c r="C446" s="1255"/>
      <c r="D446" s="1252"/>
      <c r="E446" s="1252"/>
      <c r="F446" s="1252"/>
      <c r="G446" s="1252"/>
      <c r="H446" s="1252"/>
      <c r="N446" s="1574"/>
    </row>
    <row r="447" spans="1:14" x14ac:dyDescent="0.2">
      <c r="A447" s="1569"/>
      <c r="B447" s="1252"/>
      <c r="C447" s="1255"/>
      <c r="D447" s="1252"/>
      <c r="E447" s="1252"/>
      <c r="F447" s="1252"/>
      <c r="G447" s="1252"/>
      <c r="H447" s="1252"/>
      <c r="N447" s="1574"/>
    </row>
    <row r="448" spans="1:14" x14ac:dyDescent="0.2">
      <c r="A448" s="1569"/>
      <c r="B448" s="1252"/>
      <c r="C448" s="1255"/>
      <c r="D448" s="1252"/>
      <c r="E448" s="1252"/>
      <c r="F448" s="1252"/>
      <c r="G448" s="1252"/>
      <c r="H448" s="1252"/>
      <c r="N448" s="1574"/>
    </row>
    <row r="449" spans="1:14" x14ac:dyDescent="0.2">
      <c r="A449" s="1569"/>
      <c r="B449" s="1252"/>
      <c r="C449" s="1255"/>
      <c r="D449" s="1252"/>
      <c r="E449" s="1252"/>
      <c r="F449" s="1252"/>
      <c r="G449" s="1252"/>
      <c r="H449" s="1252"/>
      <c r="N449" s="1574"/>
    </row>
    <row r="450" spans="1:14" ht="13.5" thickBot="1" x14ac:dyDescent="0.25">
      <c r="A450" s="1567"/>
      <c r="B450" s="1575"/>
      <c r="C450" s="1576"/>
      <c r="D450" s="1575"/>
      <c r="E450" s="1575"/>
      <c r="F450" s="1575"/>
      <c r="G450" s="1575"/>
      <c r="H450" s="1575"/>
      <c r="I450" s="1575"/>
      <c r="J450" s="1575"/>
      <c r="K450" s="1575"/>
      <c r="L450" s="1575"/>
      <c r="M450" s="1575"/>
      <c r="N450" s="1577"/>
    </row>
    <row r="451" spans="1:14" x14ac:dyDescent="0.2">
      <c r="A451" s="1249"/>
      <c r="B451" s="1252"/>
      <c r="C451" s="1255"/>
      <c r="D451" s="1252"/>
      <c r="E451" s="1252"/>
      <c r="F451" s="1252"/>
      <c r="G451" s="1252"/>
      <c r="H451" s="1252"/>
      <c r="N451" s="1562"/>
    </row>
    <row r="452" spans="1:14" x14ac:dyDescent="0.2">
      <c r="A452" s="1249"/>
      <c r="B452" s="1252"/>
      <c r="C452" s="1255"/>
      <c r="D452" s="1252"/>
      <c r="E452" s="1252"/>
      <c r="F452" s="1252"/>
      <c r="G452" s="1252"/>
      <c r="H452" s="1252"/>
      <c r="N452" s="1562"/>
    </row>
    <row r="453" spans="1:14" x14ac:dyDescent="0.2">
      <c r="A453" s="1249"/>
      <c r="B453" s="1252"/>
      <c r="C453" s="1255"/>
      <c r="D453" s="1252"/>
      <c r="E453" s="1252"/>
      <c r="F453" s="1252"/>
      <c r="G453" s="1252"/>
      <c r="H453" s="1252"/>
      <c r="N453" s="1562"/>
    </row>
    <row r="454" spans="1:14" x14ac:dyDescent="0.2">
      <c r="A454" s="1249"/>
      <c r="B454" s="1252"/>
      <c r="C454" s="1255"/>
      <c r="D454" s="1252"/>
      <c r="E454" s="1252"/>
      <c r="F454" s="1252"/>
      <c r="G454" s="1252"/>
      <c r="H454" s="1252"/>
      <c r="N454" s="1562"/>
    </row>
    <row r="455" spans="1:14" x14ac:dyDescent="0.2">
      <c r="A455" s="1249"/>
      <c r="B455" s="1252"/>
      <c r="C455" s="1255"/>
      <c r="D455" s="1252"/>
      <c r="E455" s="1252"/>
      <c r="F455" s="1252"/>
      <c r="G455" s="1252"/>
      <c r="H455" s="1252"/>
      <c r="N455" s="1562"/>
    </row>
    <row r="456" spans="1:14" x14ac:dyDescent="0.2">
      <c r="A456" s="1249"/>
      <c r="B456" s="1252"/>
      <c r="C456" s="1255"/>
      <c r="D456" s="1252"/>
      <c r="E456" s="1252"/>
      <c r="F456" s="1252"/>
      <c r="G456" s="1252"/>
      <c r="H456" s="1252"/>
      <c r="N456" s="1562"/>
    </row>
    <row r="457" spans="1:14" x14ac:dyDescent="0.2">
      <c r="A457" s="1249"/>
      <c r="B457" s="1252"/>
      <c r="C457" s="1255"/>
      <c r="D457" s="1252"/>
      <c r="E457" s="1252"/>
      <c r="F457" s="1252"/>
      <c r="G457" s="1252"/>
      <c r="H457" s="1252"/>
      <c r="N457" s="1562"/>
    </row>
    <row r="458" spans="1:14" x14ac:dyDescent="0.2">
      <c r="A458" s="1249"/>
      <c r="B458" s="1252"/>
      <c r="C458" s="1255"/>
      <c r="D458" s="1252"/>
      <c r="E458" s="1252"/>
      <c r="F458" s="1252"/>
      <c r="G458" s="1252"/>
      <c r="H458" s="1252"/>
      <c r="N458" s="1562"/>
    </row>
    <row r="459" spans="1:14" ht="13.5" thickBot="1" x14ac:dyDescent="0.25">
      <c r="A459" s="1249"/>
      <c r="B459" s="1252"/>
      <c r="C459" s="1255"/>
      <c r="D459" s="1252"/>
      <c r="E459" s="1252"/>
      <c r="F459" s="1252"/>
      <c r="G459" s="1252"/>
      <c r="H459" s="1252"/>
      <c r="N459" s="1562"/>
    </row>
    <row r="460" spans="1:14" x14ac:dyDescent="0.2">
      <c r="A460" s="1568"/>
      <c r="B460" s="1571"/>
      <c r="C460" s="1572"/>
      <c r="D460" s="1571"/>
      <c r="E460" s="1571"/>
      <c r="F460" s="1571"/>
      <c r="G460" s="1571"/>
      <c r="H460" s="1571"/>
      <c r="I460" s="1571"/>
      <c r="J460" s="1571"/>
      <c r="K460" s="1571"/>
      <c r="L460" s="1571"/>
      <c r="M460" s="1571"/>
      <c r="N460" s="1573"/>
    </row>
    <row r="461" spans="1:14" x14ac:dyDescent="0.2">
      <c r="A461" s="1569"/>
      <c r="B461" s="1252"/>
      <c r="C461" s="1255"/>
      <c r="D461" s="1252"/>
      <c r="E461" s="1252"/>
      <c r="F461" s="1252"/>
      <c r="G461" s="1252"/>
      <c r="H461" s="1252"/>
      <c r="N461" s="1574"/>
    </row>
    <row r="462" spans="1:14" x14ac:dyDescent="0.2">
      <c r="A462" s="1569"/>
      <c r="B462" s="1252"/>
      <c r="C462" s="1255"/>
      <c r="D462" s="1252"/>
      <c r="E462" s="1252"/>
      <c r="F462" s="1252"/>
      <c r="G462" s="1252"/>
      <c r="H462" s="1252"/>
      <c r="N462" s="1574"/>
    </row>
    <row r="463" spans="1:14" x14ac:dyDescent="0.2">
      <c r="A463" s="1569"/>
      <c r="B463" s="1252"/>
      <c r="C463" s="1255"/>
      <c r="D463" s="1252"/>
      <c r="E463" s="1252"/>
      <c r="F463" s="1252"/>
      <c r="G463" s="1252"/>
      <c r="H463" s="1252"/>
      <c r="N463" s="1574"/>
    </row>
    <row r="464" spans="1:14" x14ac:dyDescent="0.2">
      <c r="A464" s="1569"/>
      <c r="B464" s="1252"/>
      <c r="C464" s="1255"/>
      <c r="D464" s="1252"/>
      <c r="E464" s="1252"/>
      <c r="F464" s="1252"/>
      <c r="G464" s="1252"/>
      <c r="H464" s="1252"/>
      <c r="N464" s="1574"/>
    </row>
    <row r="465" spans="1:14" x14ac:dyDescent="0.2">
      <c r="A465" s="1569"/>
      <c r="B465" s="1252"/>
      <c r="C465" s="1255"/>
      <c r="D465" s="1252"/>
      <c r="E465" s="1252"/>
      <c r="F465" s="1252"/>
      <c r="G465" s="1252"/>
      <c r="H465" s="1252"/>
      <c r="N465" s="1574"/>
    </row>
    <row r="466" spans="1:14" x14ac:dyDescent="0.2">
      <c r="A466" s="1569"/>
      <c r="B466" s="1252"/>
      <c r="C466" s="1255"/>
      <c r="D466" s="1252"/>
      <c r="E466" s="1252"/>
      <c r="F466" s="1252"/>
      <c r="G466" s="1252"/>
      <c r="H466" s="1252"/>
      <c r="N466" s="1574"/>
    </row>
    <row r="467" spans="1:14" x14ac:dyDescent="0.2">
      <c r="A467" s="1569"/>
      <c r="B467" s="1252"/>
      <c r="C467" s="1255"/>
      <c r="D467" s="1252"/>
      <c r="E467" s="1252"/>
      <c r="F467" s="1252"/>
      <c r="G467" s="1252"/>
      <c r="H467" s="1252"/>
      <c r="N467" s="1574"/>
    </row>
    <row r="468" spans="1:14" ht="13.5" thickBot="1" x14ac:dyDescent="0.25">
      <c r="A468" s="1567"/>
      <c r="B468" s="1575"/>
      <c r="C468" s="1576"/>
      <c r="D468" s="1575"/>
      <c r="E468" s="1575"/>
      <c r="F468" s="1575"/>
      <c r="G468" s="1575"/>
      <c r="H468" s="1575"/>
      <c r="I468" s="1575"/>
      <c r="J468" s="1575"/>
      <c r="K468" s="1575"/>
      <c r="L468" s="1575"/>
      <c r="M468" s="1575"/>
      <c r="N468" s="1577"/>
    </row>
    <row r="469" spans="1:14" x14ac:dyDescent="0.2">
      <c r="A469" s="1249"/>
      <c r="B469" s="1252"/>
      <c r="C469" s="1255"/>
      <c r="D469" s="1252"/>
      <c r="E469" s="1252"/>
      <c r="F469" s="1252"/>
      <c r="G469" s="1252"/>
      <c r="H469" s="1252"/>
      <c r="N469" s="1562"/>
    </row>
    <row r="470" spans="1:14" x14ac:dyDescent="0.2">
      <c r="A470" s="1249"/>
      <c r="B470" s="1252"/>
      <c r="C470" s="1255"/>
      <c r="D470" s="1252"/>
      <c r="E470" s="1252"/>
      <c r="F470" s="1252"/>
      <c r="G470" s="1252"/>
      <c r="H470" s="1252"/>
      <c r="N470" s="1562"/>
    </row>
    <row r="471" spans="1:14" x14ac:dyDescent="0.2">
      <c r="A471" s="1249"/>
      <c r="B471" s="1252"/>
      <c r="C471" s="1255"/>
      <c r="D471" s="1252"/>
      <c r="E471" s="1252"/>
      <c r="F471" s="1252"/>
      <c r="G471" s="1252"/>
      <c r="H471" s="1252"/>
      <c r="N471" s="1562"/>
    </row>
    <row r="472" spans="1:14" x14ac:dyDescent="0.2">
      <c r="A472" s="1249"/>
      <c r="B472" s="1252"/>
      <c r="C472" s="1255"/>
      <c r="D472" s="1252"/>
      <c r="E472" s="1252"/>
      <c r="F472" s="1252"/>
      <c r="G472" s="1252"/>
      <c r="H472" s="1252"/>
      <c r="N472" s="1562"/>
    </row>
    <row r="473" spans="1:14" x14ac:dyDescent="0.2">
      <c r="A473" s="1249"/>
      <c r="B473" s="1252"/>
      <c r="C473" s="1255"/>
      <c r="D473" s="1252"/>
      <c r="E473" s="1252"/>
      <c r="F473" s="1252"/>
      <c r="G473" s="1252"/>
      <c r="H473" s="1252"/>
      <c r="N473" s="1562"/>
    </row>
    <row r="474" spans="1:14" x14ac:dyDescent="0.2">
      <c r="A474" s="1249"/>
      <c r="B474" s="1252"/>
      <c r="C474" s="1255"/>
      <c r="D474" s="1252"/>
      <c r="E474" s="1252"/>
      <c r="F474" s="1252"/>
      <c r="G474" s="1252"/>
      <c r="H474" s="1252"/>
      <c r="N474" s="1562"/>
    </row>
    <row r="475" spans="1:14" x14ac:dyDescent="0.2">
      <c r="A475" s="1249"/>
      <c r="B475" s="1252"/>
      <c r="C475" s="1255"/>
      <c r="D475" s="1252"/>
      <c r="E475" s="1252"/>
      <c r="F475" s="1252"/>
      <c r="G475" s="1252"/>
      <c r="H475" s="1252"/>
      <c r="N475" s="1562"/>
    </row>
    <row r="476" spans="1:14" ht="13.5" thickBot="1" x14ac:dyDescent="0.25">
      <c r="A476" s="1249"/>
      <c r="B476" s="1252"/>
      <c r="C476" s="1255"/>
      <c r="D476" s="1252"/>
      <c r="E476" s="1252"/>
      <c r="F476" s="1252"/>
      <c r="G476" s="1252"/>
      <c r="H476" s="1252"/>
      <c r="N476" s="1562"/>
    </row>
    <row r="477" spans="1:14" ht="45" x14ac:dyDescent="0.2">
      <c r="A477" s="1568"/>
      <c r="B477" s="1578" t="s">
        <v>23</v>
      </c>
      <c r="C477" s="1578"/>
      <c r="D477" s="1571"/>
      <c r="E477" s="1571"/>
      <c r="F477" s="1571"/>
      <c r="G477" s="1571"/>
      <c r="H477" s="1571"/>
      <c r="I477" s="1571"/>
      <c r="J477" s="1571"/>
      <c r="K477" s="1571"/>
      <c r="L477" s="1571"/>
      <c r="M477" s="1571"/>
      <c r="N477" s="1573"/>
    </row>
    <row r="478" spans="1:14" x14ac:dyDescent="0.2">
      <c r="A478" s="1569"/>
      <c r="B478" s="1252"/>
      <c r="C478" s="1255"/>
      <c r="D478" s="1252"/>
      <c r="E478" s="1252"/>
      <c r="F478" s="1252"/>
      <c r="G478" s="1252"/>
      <c r="H478" s="1252"/>
      <c r="N478" s="1574"/>
    </row>
    <row r="479" spans="1:14" x14ac:dyDescent="0.2">
      <c r="A479" s="1569"/>
      <c r="B479" s="1252"/>
      <c r="C479" s="1255"/>
      <c r="D479" s="1252"/>
      <c r="E479" s="1252"/>
      <c r="F479" s="1252"/>
      <c r="G479" s="1252"/>
      <c r="H479" s="1252"/>
      <c r="N479" s="1574"/>
    </row>
    <row r="480" spans="1:14" x14ac:dyDescent="0.2">
      <c r="A480" s="1569"/>
      <c r="B480" s="1252"/>
      <c r="C480" s="1255"/>
      <c r="D480" s="1252"/>
      <c r="E480" s="1252"/>
      <c r="F480" s="1252"/>
      <c r="G480" s="1252"/>
      <c r="H480" s="1252"/>
      <c r="N480" s="1574"/>
    </row>
    <row r="481" spans="1:14" x14ac:dyDescent="0.2">
      <c r="A481" s="1569"/>
      <c r="B481" s="1252"/>
      <c r="C481" s="1255"/>
      <c r="D481" s="1252"/>
      <c r="E481" s="1252"/>
      <c r="F481" s="1252"/>
      <c r="G481" s="1252"/>
      <c r="H481" s="1252"/>
      <c r="N481" s="1574"/>
    </row>
    <row r="482" spans="1:14" x14ac:dyDescent="0.2">
      <c r="A482" s="1569"/>
      <c r="B482" s="1252"/>
      <c r="C482" s="1255"/>
      <c r="D482" s="1252"/>
      <c r="E482" s="1252"/>
      <c r="F482" s="1252"/>
      <c r="G482" s="1252"/>
      <c r="H482" s="1252"/>
      <c r="N482" s="1574"/>
    </row>
    <row r="483" spans="1:14" x14ac:dyDescent="0.2">
      <c r="A483" s="1569"/>
      <c r="B483" s="1252"/>
      <c r="C483" s="1255"/>
      <c r="D483" s="1252"/>
      <c r="E483" s="1252"/>
      <c r="F483" s="1252"/>
      <c r="G483" s="1252"/>
      <c r="H483" s="1252"/>
      <c r="N483" s="1574"/>
    </row>
    <row r="484" spans="1:14" x14ac:dyDescent="0.2">
      <c r="A484" s="1569"/>
      <c r="B484" s="1252"/>
      <c r="C484" s="1255"/>
      <c r="D484" s="1252"/>
      <c r="E484" s="1252"/>
      <c r="F484" s="1252"/>
      <c r="G484" s="1252"/>
      <c r="H484" s="1252"/>
      <c r="N484" s="1574"/>
    </row>
    <row r="485" spans="1:14" x14ac:dyDescent="0.2">
      <c r="A485" s="1569"/>
      <c r="B485" s="1252"/>
      <c r="C485" s="1255"/>
      <c r="D485" s="1252"/>
      <c r="E485" s="1252"/>
      <c r="F485" s="1252"/>
      <c r="G485" s="1252"/>
      <c r="H485" s="1252"/>
      <c r="N485" s="1574"/>
    </row>
    <row r="486" spans="1:14" x14ac:dyDescent="0.2">
      <c r="A486" s="1569"/>
      <c r="B486" s="1252"/>
      <c r="C486" s="1255"/>
      <c r="D486" s="1252"/>
      <c r="E486" s="1252"/>
      <c r="F486" s="1252"/>
      <c r="G486" s="1252"/>
      <c r="H486" s="1252"/>
      <c r="N486" s="1574"/>
    </row>
    <row r="487" spans="1:14" x14ac:dyDescent="0.2">
      <c r="A487" s="1569"/>
      <c r="B487" s="1252"/>
      <c r="C487" s="1255"/>
      <c r="D487" s="1252"/>
      <c r="E487" s="1252"/>
      <c r="F487" s="1252"/>
      <c r="G487" s="1252"/>
      <c r="H487" s="1252"/>
      <c r="N487" s="1574"/>
    </row>
    <row r="488" spans="1:14" ht="13.5" thickBot="1" x14ac:dyDescent="0.25">
      <c r="A488" s="1567"/>
      <c r="B488" s="1575"/>
      <c r="C488" s="1576"/>
      <c r="D488" s="1575"/>
      <c r="E488" s="1575"/>
      <c r="F488" s="1575"/>
      <c r="G488" s="1575"/>
      <c r="H488" s="1575"/>
      <c r="I488" s="1575"/>
      <c r="J488" s="1575"/>
      <c r="K488" s="1575"/>
      <c r="L488" s="1575"/>
      <c r="M488" s="1575"/>
      <c r="N488" s="1577"/>
    </row>
    <row r="489" spans="1:14" x14ac:dyDescent="0.2">
      <c r="A489" s="1249"/>
      <c r="B489" s="1252"/>
      <c r="C489" s="1255"/>
      <c r="D489" s="1252"/>
      <c r="E489" s="1252"/>
      <c r="F489" s="1252"/>
      <c r="G489" s="1252"/>
      <c r="H489" s="1252"/>
      <c r="N489" s="1562"/>
    </row>
    <row r="490" spans="1:14" x14ac:dyDescent="0.2">
      <c r="A490" s="1249"/>
      <c r="B490" s="1252"/>
      <c r="C490" s="1255"/>
      <c r="D490" s="1252"/>
      <c r="E490" s="1252"/>
      <c r="F490" s="1252"/>
      <c r="G490" s="1252"/>
      <c r="H490" s="1252"/>
      <c r="N490" s="1562"/>
    </row>
    <row r="491" spans="1:14" x14ac:dyDescent="0.2">
      <c r="A491" s="1249"/>
      <c r="B491" s="1252"/>
      <c r="C491" s="1255"/>
      <c r="D491" s="1252"/>
      <c r="E491" s="1252"/>
      <c r="F491" s="1252"/>
      <c r="G491" s="1252"/>
      <c r="H491" s="1252"/>
      <c r="N491" s="1562"/>
    </row>
    <row r="492" spans="1:14" x14ac:dyDescent="0.2">
      <c r="A492" s="1249"/>
      <c r="B492" s="1252"/>
      <c r="C492" s="1255"/>
      <c r="D492" s="1252"/>
      <c r="E492" s="1252"/>
      <c r="F492" s="1252"/>
      <c r="G492" s="1252"/>
      <c r="H492" s="1252"/>
      <c r="N492" s="1562"/>
    </row>
    <row r="493" spans="1:14" x14ac:dyDescent="0.2">
      <c r="A493" s="1249"/>
      <c r="B493" s="1252"/>
      <c r="C493" s="1255"/>
      <c r="D493" s="1252"/>
      <c r="E493" s="1252"/>
      <c r="F493" s="1252"/>
      <c r="G493" s="1252"/>
      <c r="H493" s="1252"/>
      <c r="N493" s="1562"/>
    </row>
    <row r="494" spans="1:14" x14ac:dyDescent="0.2">
      <c r="A494" s="1249"/>
      <c r="B494" s="1252"/>
      <c r="C494" s="1255"/>
      <c r="D494" s="1252"/>
      <c r="E494" s="1252"/>
      <c r="F494" s="1252"/>
      <c r="G494" s="1252"/>
      <c r="H494" s="1252"/>
      <c r="N494" s="1562"/>
    </row>
    <row r="495" spans="1:14" x14ac:dyDescent="0.2">
      <c r="A495" s="1249"/>
      <c r="B495" s="1252"/>
      <c r="C495" s="1255"/>
      <c r="D495" s="1252"/>
      <c r="E495" s="1252"/>
      <c r="F495" s="1252"/>
      <c r="G495" s="1252"/>
      <c r="H495" s="1252"/>
      <c r="N495" s="1562"/>
    </row>
    <row r="496" spans="1:14" x14ac:dyDescent="0.2">
      <c r="A496" s="1249"/>
      <c r="B496" s="1252"/>
      <c r="C496" s="1255"/>
      <c r="D496" s="1252"/>
      <c r="E496" s="1252"/>
      <c r="F496" s="1252"/>
      <c r="G496" s="1252"/>
      <c r="H496" s="1252"/>
      <c r="N496" s="1562"/>
    </row>
    <row r="497" spans="1:14" x14ac:dyDescent="0.2">
      <c r="A497" s="1249"/>
      <c r="B497" s="1252"/>
      <c r="C497" s="1255"/>
      <c r="D497" s="1252"/>
      <c r="E497" s="1252"/>
      <c r="F497" s="1252"/>
      <c r="G497" s="1252"/>
      <c r="H497" s="1252"/>
      <c r="N497" s="1562"/>
    </row>
    <row r="498" spans="1:14" x14ac:dyDescent="0.2">
      <c r="A498" s="1249"/>
      <c r="B498" s="1252"/>
      <c r="C498" s="1255"/>
      <c r="D498" s="1252"/>
      <c r="E498" s="1252"/>
      <c r="F498" s="1252"/>
      <c r="G498" s="1252"/>
      <c r="H498" s="1252"/>
      <c r="N498" s="1562"/>
    </row>
    <row r="499" spans="1:14" x14ac:dyDescent="0.2">
      <c r="A499" s="1249"/>
      <c r="B499" s="1252"/>
      <c r="C499" s="1255"/>
      <c r="D499" s="1252"/>
      <c r="E499" s="1252"/>
      <c r="F499" s="1252"/>
      <c r="G499" s="1252"/>
      <c r="H499" s="1252"/>
      <c r="N499" s="1562"/>
    </row>
    <row r="500" spans="1:14" x14ac:dyDescent="0.2">
      <c r="A500" s="1249"/>
      <c r="B500" s="1252"/>
      <c r="C500" s="1255"/>
      <c r="D500" s="1252"/>
      <c r="E500" s="1252"/>
      <c r="F500" s="1252"/>
      <c r="G500" s="1252"/>
      <c r="H500" s="1252"/>
      <c r="N500" s="1562"/>
    </row>
    <row r="501" spans="1:14" x14ac:dyDescent="0.2">
      <c r="A501" s="1249"/>
      <c r="B501" s="1252"/>
      <c r="C501" s="1255"/>
      <c r="D501" s="1252"/>
      <c r="E501" s="1252"/>
      <c r="F501" s="1252"/>
      <c r="G501" s="1252"/>
      <c r="H501" s="1252"/>
      <c r="N501" s="1562"/>
    </row>
    <row r="502" spans="1:14" x14ac:dyDescent="0.2">
      <c r="A502" s="1249"/>
      <c r="B502" s="1252"/>
      <c r="C502" s="1255"/>
      <c r="D502" s="1252"/>
      <c r="E502" s="1252"/>
      <c r="F502" s="1252"/>
      <c r="G502" s="1252"/>
      <c r="H502" s="1252"/>
      <c r="N502" s="1562"/>
    </row>
    <row r="503" spans="1:14" x14ac:dyDescent="0.2">
      <c r="A503" s="1249"/>
      <c r="B503" s="1252"/>
      <c r="C503" s="1255"/>
      <c r="D503" s="1252"/>
      <c r="E503" s="1252"/>
      <c r="F503" s="1252"/>
      <c r="G503" s="1252"/>
      <c r="H503" s="1252"/>
      <c r="N503" s="1562"/>
    </row>
    <row r="504" spans="1:14" x14ac:dyDescent="0.2">
      <c r="A504" s="1249"/>
      <c r="B504" s="1252"/>
      <c r="C504" s="1255"/>
      <c r="D504" s="1252"/>
      <c r="E504" s="1252"/>
      <c r="F504" s="1252"/>
      <c r="G504" s="1252"/>
      <c r="H504" s="1252"/>
      <c r="N504" s="1562"/>
    </row>
    <row r="505" spans="1:14" x14ac:dyDescent="0.2">
      <c r="A505" s="1249"/>
      <c r="B505" s="1252"/>
      <c r="C505" s="1255"/>
      <c r="D505" s="1252"/>
      <c r="E505" s="1252"/>
      <c r="F505" s="1252"/>
      <c r="G505" s="1252"/>
      <c r="H505" s="1252"/>
      <c r="N505" s="1562"/>
    </row>
    <row r="506" spans="1:14" x14ac:dyDescent="0.2">
      <c r="A506" s="1249"/>
      <c r="B506" s="1252"/>
      <c r="C506" s="1255"/>
      <c r="D506" s="1252"/>
      <c r="E506" s="1252"/>
      <c r="F506" s="1252"/>
      <c r="G506" s="1252"/>
      <c r="H506" s="1252"/>
      <c r="N506" s="1562"/>
    </row>
    <row r="507" spans="1:14" x14ac:dyDescent="0.2">
      <c r="A507" s="1249"/>
      <c r="B507" s="1252"/>
      <c r="C507" s="1255"/>
      <c r="D507" s="1252"/>
      <c r="E507" s="1252"/>
      <c r="F507" s="1252"/>
      <c r="G507" s="1252"/>
      <c r="H507" s="1252"/>
      <c r="N507" s="1562"/>
    </row>
    <row r="508" spans="1:14" x14ac:dyDescent="0.2">
      <c r="A508" s="1249"/>
      <c r="B508" s="1252"/>
      <c r="C508" s="1255"/>
      <c r="D508" s="1252"/>
      <c r="E508" s="1252"/>
      <c r="F508" s="1252"/>
      <c r="G508" s="1252"/>
      <c r="H508" s="1252"/>
      <c r="N508" s="1562"/>
    </row>
    <row r="509" spans="1:14" x14ac:dyDescent="0.2">
      <c r="A509" s="1249"/>
      <c r="B509" s="1252"/>
      <c r="C509" s="1255"/>
      <c r="D509" s="1252"/>
      <c r="E509" s="1252"/>
      <c r="F509" s="1250">
        <v>415162</v>
      </c>
      <c r="G509" s="1252"/>
      <c r="H509" s="1252"/>
      <c r="N509" s="1562"/>
    </row>
    <row r="510" spans="1:14" x14ac:dyDescent="0.2">
      <c r="A510" s="1249"/>
      <c r="B510" s="1252"/>
      <c r="C510" s="1255"/>
      <c r="D510" s="1252"/>
      <c r="E510" s="1252"/>
      <c r="F510" s="1252"/>
      <c r="G510" s="1252"/>
      <c r="H510" s="1252"/>
      <c r="N510" s="1562"/>
    </row>
    <row r="511" spans="1:14" x14ac:dyDescent="0.2">
      <c r="A511" s="1249"/>
      <c r="B511" s="1252"/>
      <c r="C511" s="1255"/>
      <c r="D511" s="1252"/>
      <c r="E511" s="1252"/>
      <c r="F511" s="1252"/>
      <c r="G511" s="1252"/>
      <c r="H511" s="1252"/>
      <c r="N511" s="1562"/>
    </row>
    <row r="512" spans="1:14" x14ac:dyDescent="0.2">
      <c r="A512" s="1249"/>
      <c r="B512" s="1252"/>
      <c r="C512" s="1255"/>
      <c r="D512" s="1252"/>
      <c r="E512" s="1252"/>
      <c r="F512" s="1252"/>
      <c r="G512" s="1252"/>
      <c r="H512" s="1252"/>
      <c r="N512" s="1562"/>
    </row>
    <row r="513" spans="1:14" x14ac:dyDescent="0.2">
      <c r="A513" s="1249"/>
      <c r="B513" s="1252"/>
      <c r="C513" s="1255"/>
      <c r="D513" s="1252"/>
      <c r="E513" s="1252"/>
      <c r="F513" s="1252"/>
      <c r="G513" s="1252"/>
      <c r="H513" s="1252"/>
      <c r="N513" s="1562"/>
    </row>
    <row r="514" spans="1:14" x14ac:dyDescent="0.2">
      <c r="A514" s="1249"/>
      <c r="B514" s="1252"/>
      <c r="C514" s="1255"/>
      <c r="D514" s="1252"/>
      <c r="E514" s="1252"/>
      <c r="F514" s="1252"/>
      <c r="G514" s="1252"/>
      <c r="H514" s="1252"/>
      <c r="N514" s="1562"/>
    </row>
    <row r="515" spans="1:14" x14ac:dyDescent="0.2">
      <c r="A515" s="1249"/>
      <c r="B515" s="1252"/>
      <c r="C515" s="1255"/>
      <c r="D515" s="1252"/>
      <c r="E515" s="1252"/>
      <c r="F515" s="1252"/>
      <c r="G515" s="1252"/>
      <c r="H515" s="1252"/>
      <c r="N515" s="1562"/>
    </row>
    <row r="516" spans="1:14" x14ac:dyDescent="0.2">
      <c r="A516" s="1249"/>
      <c r="B516" s="1252"/>
      <c r="C516" s="1255"/>
      <c r="D516" s="1252"/>
      <c r="E516" s="1252"/>
      <c r="F516" s="1252"/>
      <c r="G516" s="1252"/>
      <c r="H516" s="1252"/>
      <c r="N516" s="1562"/>
    </row>
    <row r="517" spans="1:14" x14ac:dyDescent="0.2">
      <c r="A517" s="1249"/>
      <c r="B517" s="1252"/>
      <c r="C517" s="1255"/>
      <c r="D517" s="1252"/>
      <c r="E517" s="1252"/>
      <c r="F517" s="1252"/>
      <c r="G517" s="1252"/>
      <c r="H517" s="1252"/>
      <c r="N517" s="1562"/>
    </row>
    <row r="518" spans="1:14" x14ac:dyDescent="0.2">
      <c r="A518" s="1249"/>
      <c r="B518" s="1252"/>
      <c r="C518" s="1255"/>
      <c r="D518" s="1252"/>
      <c r="E518" s="1252"/>
      <c r="F518" s="1252"/>
      <c r="G518" s="1252"/>
      <c r="H518" s="1252"/>
      <c r="N518" s="1562"/>
    </row>
    <row r="519" spans="1:14" x14ac:dyDescent="0.2">
      <c r="A519" s="1249"/>
      <c r="B519" s="1252"/>
      <c r="C519" s="1255"/>
      <c r="D519" s="1252"/>
      <c r="E519" s="1252"/>
      <c r="F519" s="1252"/>
      <c r="G519" s="1252"/>
      <c r="H519" s="1252"/>
      <c r="N519" s="1562"/>
    </row>
    <row r="520" spans="1:14" x14ac:dyDescent="0.2">
      <c r="A520" s="1249"/>
      <c r="B520" s="1252"/>
      <c r="C520" s="1255"/>
      <c r="D520" s="1252"/>
      <c r="E520" s="1252"/>
      <c r="F520" s="1252"/>
      <c r="G520" s="1252"/>
      <c r="H520" s="1252"/>
      <c r="N520" s="1562"/>
    </row>
    <row r="521" spans="1:14" x14ac:dyDescent="0.2">
      <c r="A521" s="1249"/>
      <c r="B521" s="1252"/>
      <c r="C521" s="1255"/>
      <c r="D521" s="1252"/>
      <c r="E521" s="1252"/>
      <c r="F521" s="1252"/>
      <c r="G521" s="1252"/>
      <c r="H521" s="1252"/>
      <c r="N521" s="1562"/>
    </row>
    <row r="522" spans="1:14" x14ac:dyDescent="0.2">
      <c r="A522" s="1249"/>
      <c r="B522" s="1252"/>
      <c r="C522" s="1255"/>
      <c r="D522" s="1252"/>
      <c r="E522" s="1252"/>
      <c r="F522" s="1252"/>
      <c r="G522" s="1252"/>
      <c r="H522" s="1252"/>
      <c r="N522" s="1562"/>
    </row>
    <row r="523" spans="1:14" x14ac:dyDescent="0.2">
      <c r="A523" s="1249"/>
      <c r="B523" s="1252"/>
      <c r="C523" s="1255"/>
      <c r="D523" s="1252"/>
      <c r="E523" s="1252"/>
      <c r="F523" s="1252"/>
      <c r="G523" s="1252"/>
      <c r="H523" s="1252"/>
      <c r="N523" s="1562"/>
    </row>
    <row r="524" spans="1:14" x14ac:dyDescent="0.2">
      <c r="A524" s="1249"/>
      <c r="B524" s="1252"/>
      <c r="C524" s="1255"/>
      <c r="D524" s="1252"/>
      <c r="E524" s="1252"/>
      <c r="F524" s="1252"/>
      <c r="G524" s="1252"/>
      <c r="H524" s="1252"/>
      <c r="N524" s="1562"/>
    </row>
    <row r="525" spans="1:14" x14ac:dyDescent="0.2">
      <c r="A525" s="1249"/>
      <c r="B525" s="1252"/>
      <c r="C525" s="1255"/>
      <c r="D525" s="1252"/>
      <c r="E525" s="1252"/>
      <c r="F525" s="1252"/>
      <c r="G525" s="1252"/>
      <c r="H525" s="1252"/>
      <c r="N525" s="1562"/>
    </row>
    <row r="526" spans="1:14" x14ac:dyDescent="0.2">
      <c r="A526" s="1249"/>
      <c r="B526" s="1252"/>
      <c r="C526" s="1255"/>
      <c r="D526" s="1252"/>
      <c r="E526" s="1252"/>
      <c r="F526" s="1252"/>
      <c r="G526" s="1252"/>
      <c r="H526" s="1252"/>
      <c r="N526" s="1562"/>
    </row>
    <row r="527" spans="1:14" x14ac:dyDescent="0.2">
      <c r="A527" s="1249"/>
      <c r="B527" s="1252"/>
      <c r="C527" s="1255"/>
      <c r="D527" s="1252"/>
      <c r="E527" s="1252"/>
      <c r="F527" s="1252"/>
      <c r="G527" s="1252"/>
      <c r="H527" s="1252"/>
      <c r="N527" s="1562"/>
    </row>
    <row r="528" spans="1:14" x14ac:dyDescent="0.2">
      <c r="A528" s="1249"/>
      <c r="B528" s="1252"/>
      <c r="C528" s="1255"/>
      <c r="D528" s="1252"/>
      <c r="E528" s="1252"/>
      <c r="F528" s="1252"/>
      <c r="G528" s="1252"/>
      <c r="H528" s="1252"/>
      <c r="N528" s="1562"/>
    </row>
    <row r="529" spans="1:14" x14ac:dyDescent="0.2">
      <c r="A529" s="1249"/>
      <c r="B529" s="1252"/>
      <c r="C529" s="1255"/>
      <c r="D529" s="1252"/>
      <c r="E529" s="1252"/>
      <c r="F529" s="1252"/>
      <c r="G529" s="1252"/>
      <c r="H529" s="1252"/>
      <c r="N529" s="1562"/>
    </row>
    <row r="530" spans="1:14" x14ac:dyDescent="0.2">
      <c r="A530" s="1249"/>
      <c r="B530" s="1252"/>
      <c r="C530" s="1255"/>
      <c r="D530" s="1252"/>
      <c r="E530" s="1252"/>
      <c r="F530" s="1252"/>
      <c r="G530" s="1252"/>
      <c r="H530" s="1252"/>
      <c r="N530" s="1562"/>
    </row>
    <row r="531" spans="1:14" x14ac:dyDescent="0.2">
      <c r="A531" s="1249"/>
      <c r="B531" s="1252"/>
      <c r="C531" s="1255"/>
      <c r="D531" s="1252"/>
      <c r="E531" s="1252"/>
      <c r="F531" s="1252"/>
      <c r="G531" s="1252"/>
      <c r="H531" s="1252"/>
      <c r="N531" s="1562"/>
    </row>
    <row r="532" spans="1:14" x14ac:dyDescent="0.2">
      <c r="A532" s="1249"/>
      <c r="B532" s="1252"/>
      <c r="C532" s="1255"/>
      <c r="D532" s="1252"/>
      <c r="E532" s="1252"/>
      <c r="F532" s="1252"/>
      <c r="G532" s="1252"/>
      <c r="H532" s="1252"/>
      <c r="N532" s="1562"/>
    </row>
    <row r="533" spans="1:14" x14ac:dyDescent="0.2">
      <c r="A533" s="1249"/>
      <c r="B533" s="1252"/>
      <c r="C533" s="1255"/>
      <c r="D533" s="1252"/>
      <c r="E533" s="1252"/>
      <c r="F533" s="1252"/>
      <c r="G533" s="1252"/>
      <c r="H533" s="1252"/>
      <c r="N533" s="1562"/>
    </row>
    <row r="534" spans="1:14" x14ac:dyDescent="0.2">
      <c r="A534" s="1249"/>
      <c r="B534" s="1252"/>
      <c r="C534" s="1255"/>
      <c r="D534" s="1252"/>
      <c r="E534" s="1252"/>
      <c r="F534" s="1252"/>
      <c r="G534" s="1252"/>
      <c r="H534" s="1252"/>
      <c r="N534" s="1562"/>
    </row>
    <row r="535" spans="1:14" x14ac:dyDescent="0.2">
      <c r="A535" s="1249"/>
      <c r="B535" s="1252"/>
      <c r="C535" s="1255"/>
      <c r="D535" s="1252"/>
      <c r="E535" s="1252"/>
      <c r="F535" s="1252"/>
      <c r="G535" s="1252"/>
      <c r="H535" s="1252"/>
      <c r="N535" s="1562"/>
    </row>
    <row r="536" spans="1:14" x14ac:dyDescent="0.2">
      <c r="A536" s="1249"/>
      <c r="B536" s="1252"/>
      <c r="C536" s="1255"/>
      <c r="D536" s="1252"/>
      <c r="E536" s="1252"/>
      <c r="F536" s="1252"/>
      <c r="G536" s="1252"/>
      <c r="H536" s="1252"/>
      <c r="N536" s="1562"/>
    </row>
    <row r="537" spans="1:14" x14ac:dyDescent="0.2">
      <c r="A537" s="1249"/>
      <c r="B537" s="1252"/>
      <c r="C537" s="1255"/>
      <c r="D537" s="1252"/>
      <c r="E537" s="1252"/>
      <c r="F537" s="1252"/>
      <c r="G537" s="1252"/>
      <c r="H537" s="1252"/>
      <c r="N537" s="1562"/>
    </row>
    <row r="538" spans="1:14" x14ac:dyDescent="0.2">
      <c r="A538" s="1249"/>
      <c r="B538" s="1252"/>
      <c r="C538" s="1255"/>
      <c r="D538" s="1252"/>
      <c r="E538" s="1252"/>
      <c r="F538" s="1252"/>
      <c r="G538" s="1252"/>
      <c r="H538" s="1252"/>
      <c r="N538" s="1562"/>
    </row>
    <row r="539" spans="1:14" x14ac:dyDescent="0.2">
      <c r="A539" s="1249"/>
      <c r="B539" s="1252"/>
      <c r="C539" s="1255"/>
      <c r="D539" s="1252"/>
      <c r="E539" s="1252"/>
      <c r="F539" s="1252"/>
      <c r="G539" s="1252"/>
      <c r="H539" s="1252"/>
      <c r="N539" s="1562"/>
    </row>
    <row r="540" spans="1:14" x14ac:dyDescent="0.2">
      <c r="A540" s="1249"/>
      <c r="B540" s="1252"/>
      <c r="C540" s="1255"/>
      <c r="D540" s="1252"/>
      <c r="E540" s="1252"/>
      <c r="F540" s="1252"/>
      <c r="G540" s="1252"/>
      <c r="H540" s="1252"/>
      <c r="N540" s="1562"/>
    </row>
    <row r="541" spans="1:14" ht="13.5" thickBot="1" x14ac:dyDescent="0.25">
      <c r="A541" s="1249"/>
      <c r="B541" s="1252"/>
      <c r="C541" s="1255"/>
      <c r="D541" s="1252"/>
      <c r="E541" s="1252"/>
      <c r="F541" s="1252"/>
      <c r="G541" s="1252"/>
      <c r="H541" s="1252"/>
      <c r="N541" s="1562"/>
    </row>
    <row r="542" spans="1:14" x14ac:dyDescent="0.2">
      <c r="A542" s="1568"/>
      <c r="B542" s="1571"/>
      <c r="C542" s="1572"/>
      <c r="D542" s="1571"/>
      <c r="E542" s="1571"/>
      <c r="F542" s="1571"/>
      <c r="G542" s="1571"/>
      <c r="H542" s="1571"/>
      <c r="I542" s="1571"/>
      <c r="J542" s="1571"/>
      <c r="K542" s="1571"/>
      <c r="L542" s="1571"/>
      <c r="M542" s="1571"/>
      <c r="N542" s="1573"/>
    </row>
    <row r="543" spans="1:14" x14ac:dyDescent="0.2">
      <c r="A543" s="1569"/>
      <c r="B543" s="1252"/>
      <c r="C543" s="1255"/>
      <c r="D543" s="1252"/>
      <c r="E543" s="1252"/>
      <c r="F543" s="1252"/>
      <c r="G543" s="1252"/>
      <c r="H543" s="1252"/>
      <c r="N543" s="1574"/>
    </row>
    <row r="544" spans="1:14" x14ac:dyDescent="0.2">
      <c r="A544" s="1569"/>
      <c r="B544" s="1252"/>
      <c r="C544" s="1255"/>
      <c r="D544" s="1252"/>
      <c r="E544" s="1252"/>
      <c r="F544" s="1252"/>
      <c r="G544" s="1252"/>
      <c r="H544" s="1252"/>
      <c r="N544" s="1574"/>
    </row>
    <row r="545" spans="1:14" x14ac:dyDescent="0.2">
      <c r="A545" s="1569"/>
      <c r="B545" s="1252"/>
      <c r="C545" s="1255"/>
      <c r="D545" s="1252"/>
      <c r="E545" s="1252"/>
      <c r="F545" s="1252"/>
      <c r="G545" s="1252"/>
      <c r="H545" s="1252"/>
      <c r="N545" s="1574"/>
    </row>
    <row r="546" spans="1:14" x14ac:dyDescent="0.2">
      <c r="A546" s="1569"/>
      <c r="B546" s="1252"/>
      <c r="C546" s="1255"/>
      <c r="D546" s="1252"/>
      <c r="E546" s="1252"/>
      <c r="F546" s="1252"/>
      <c r="G546" s="1252"/>
      <c r="H546" s="1252"/>
      <c r="N546" s="1574"/>
    </row>
    <row r="547" spans="1:14" x14ac:dyDescent="0.2">
      <c r="A547" s="1569"/>
      <c r="B547" s="1252"/>
      <c r="C547" s="1255"/>
      <c r="D547" s="1252"/>
      <c r="E547" s="1252"/>
      <c r="F547" s="1252"/>
      <c r="G547" s="1252"/>
      <c r="H547" s="1252"/>
      <c r="N547" s="1574"/>
    </row>
    <row r="548" spans="1:14" x14ac:dyDescent="0.2">
      <c r="A548" s="1569"/>
      <c r="B548" s="1252"/>
      <c r="C548" s="1255"/>
      <c r="D548" s="1252"/>
      <c r="E548" s="1252"/>
      <c r="F548" s="1252"/>
      <c r="G548" s="1252"/>
      <c r="H548" s="1252"/>
      <c r="N548" s="1574"/>
    </row>
    <row r="549" spans="1:14" ht="13.5" thickBot="1" x14ac:dyDescent="0.25">
      <c r="A549" s="1567"/>
      <c r="B549" s="1575"/>
      <c r="C549" s="1576"/>
      <c r="D549" s="1575"/>
      <c r="E549" s="1575"/>
      <c r="F549" s="1575"/>
      <c r="G549" s="1575"/>
      <c r="H549" s="1575"/>
      <c r="I549" s="1575"/>
      <c r="J549" s="1575"/>
      <c r="K549" s="1575"/>
      <c r="L549" s="1575"/>
      <c r="M549" s="1575"/>
      <c r="N549" s="1577"/>
    </row>
    <row r="550" spans="1:14" x14ac:dyDescent="0.2">
      <c r="A550" s="1568"/>
      <c r="B550" s="1571"/>
      <c r="C550" s="1572"/>
      <c r="D550" s="1571"/>
      <c r="E550" s="1571"/>
      <c r="F550" s="1571"/>
      <c r="G550" s="1571"/>
      <c r="H550" s="1571"/>
      <c r="I550" s="1571"/>
      <c r="J550" s="1571"/>
      <c r="K550" s="1571"/>
      <c r="L550" s="1571"/>
      <c r="M550" s="1571"/>
      <c r="N550" s="1573"/>
    </row>
    <row r="551" spans="1:14" x14ac:dyDescent="0.2">
      <c r="A551" s="1569"/>
      <c r="B551" s="1252"/>
      <c r="C551" s="1255"/>
      <c r="D551" s="1252"/>
      <c r="E551" s="1252"/>
      <c r="F551" s="1252"/>
      <c r="G551" s="1252"/>
      <c r="H551" s="1252"/>
      <c r="N551" s="1574"/>
    </row>
    <row r="552" spans="1:14" x14ac:dyDescent="0.2">
      <c r="A552" s="1569"/>
      <c r="B552" s="1252"/>
      <c r="C552" s="1255"/>
      <c r="D552" s="1252"/>
      <c r="E552" s="1252"/>
      <c r="F552" s="1252"/>
      <c r="G552" s="1252"/>
      <c r="H552" s="1252"/>
      <c r="N552" s="1574"/>
    </row>
    <row r="553" spans="1:14" ht="13.5" thickBot="1" x14ac:dyDescent="0.25">
      <c r="A553" s="1567"/>
      <c r="B553" s="1575"/>
      <c r="C553" s="1576"/>
      <c r="D553" s="1575"/>
      <c r="E553" s="1575"/>
      <c r="F553" s="1575"/>
      <c r="G553" s="1575"/>
      <c r="H553" s="1575"/>
      <c r="I553" s="1575"/>
      <c r="J553" s="1575"/>
      <c r="K553" s="1575"/>
      <c r="L553" s="1575"/>
      <c r="M553" s="1575"/>
      <c r="N553" s="1577"/>
    </row>
    <row r="554" spans="1:14" x14ac:dyDescent="0.2">
      <c r="A554" s="1249"/>
      <c r="B554" s="1252"/>
      <c r="C554" s="1255"/>
      <c r="D554" s="1252"/>
      <c r="E554" s="1252"/>
      <c r="F554" s="1252"/>
      <c r="G554" s="1252"/>
      <c r="H554" s="1252"/>
      <c r="N554" s="1562"/>
    </row>
    <row r="555" spans="1:14" x14ac:dyDescent="0.2">
      <c r="A555" s="1249"/>
      <c r="B555" s="1252"/>
      <c r="C555" s="1255"/>
      <c r="D555" s="1252"/>
      <c r="E555" s="1252"/>
      <c r="F555" s="1252"/>
      <c r="G555" s="1252"/>
      <c r="H555" s="1252"/>
      <c r="N555" s="1562"/>
    </row>
    <row r="556" spans="1:14" x14ac:dyDescent="0.2">
      <c r="A556" s="1249"/>
      <c r="B556" s="1252"/>
      <c r="C556" s="1255"/>
      <c r="D556" s="1252"/>
      <c r="E556" s="1252"/>
      <c r="F556" s="1252"/>
      <c r="G556" s="1252"/>
      <c r="H556" s="1252"/>
      <c r="N556" s="1562"/>
    </row>
    <row r="557" spans="1:14" x14ac:dyDescent="0.2">
      <c r="A557" s="1249"/>
      <c r="B557" s="1252"/>
      <c r="C557" s="1255"/>
      <c r="D557" s="1252"/>
      <c r="E557" s="1252"/>
      <c r="F557" s="1252"/>
      <c r="G557" s="1252"/>
      <c r="H557" s="1252"/>
      <c r="N557" s="1562"/>
    </row>
    <row r="558" spans="1:14" x14ac:dyDescent="0.2">
      <c r="A558" s="1249"/>
      <c r="B558" s="1252"/>
      <c r="C558" s="1255"/>
      <c r="D558" s="1252"/>
      <c r="E558" s="1252"/>
      <c r="F558" s="1252"/>
      <c r="G558" s="1252"/>
      <c r="H558" s="1252"/>
      <c r="N558" s="1562"/>
    </row>
    <row r="559" spans="1:14" x14ac:dyDescent="0.2">
      <c r="A559" s="1249"/>
      <c r="B559" s="1252"/>
      <c r="C559" s="1255"/>
      <c r="D559" s="1252"/>
      <c r="E559" s="1252"/>
      <c r="F559" s="1252"/>
      <c r="G559" s="1252"/>
      <c r="H559" s="1252"/>
      <c r="N559" s="1562"/>
    </row>
    <row r="560" spans="1:14" x14ac:dyDescent="0.2">
      <c r="A560" s="1249"/>
      <c r="B560" s="1252"/>
      <c r="C560" s="1255"/>
      <c r="D560" s="1252"/>
      <c r="E560" s="1252"/>
      <c r="F560" s="1252"/>
      <c r="G560" s="1252"/>
      <c r="H560" s="1252"/>
      <c r="N560" s="1562"/>
    </row>
    <row r="561" spans="1:14" x14ac:dyDescent="0.2">
      <c r="A561" s="1249"/>
      <c r="B561" s="1252"/>
      <c r="C561" s="1255"/>
      <c r="D561" s="1252"/>
      <c r="E561" s="1252"/>
      <c r="F561" s="1252"/>
      <c r="G561" s="1252"/>
      <c r="H561" s="1252"/>
      <c r="N561" s="1562"/>
    </row>
    <row r="562" spans="1:14" x14ac:dyDescent="0.2">
      <c r="A562" s="1249"/>
      <c r="B562" s="1252"/>
      <c r="C562" s="1255"/>
      <c r="D562" s="1252"/>
      <c r="E562" s="1252"/>
      <c r="F562" s="1252"/>
      <c r="G562" s="1252"/>
      <c r="H562" s="1252"/>
      <c r="N562" s="1562"/>
    </row>
    <row r="563" spans="1:14" x14ac:dyDescent="0.2">
      <c r="A563" s="1249"/>
      <c r="B563" s="1252"/>
      <c r="C563" s="1255"/>
      <c r="D563" s="1252"/>
      <c r="E563" s="1252"/>
      <c r="F563" s="1252"/>
      <c r="G563" s="1252"/>
      <c r="H563" s="1252"/>
      <c r="N563" s="1562"/>
    </row>
    <row r="564" spans="1:14" x14ac:dyDescent="0.2">
      <c r="A564" s="1249"/>
      <c r="B564" s="1252"/>
      <c r="C564" s="1255"/>
      <c r="D564" s="1252"/>
      <c r="E564" s="1252"/>
      <c r="F564" s="1252"/>
      <c r="G564" s="1252"/>
      <c r="H564" s="1252"/>
      <c r="N564" s="1562"/>
    </row>
    <row r="565" spans="1:14" x14ac:dyDescent="0.2">
      <c r="A565" s="1249"/>
      <c r="B565" s="1252"/>
      <c r="C565" s="1255"/>
      <c r="D565" s="1252"/>
      <c r="E565" s="1252"/>
      <c r="F565" s="1252"/>
      <c r="G565" s="1252"/>
      <c r="H565" s="1252"/>
      <c r="N565" s="1562"/>
    </row>
    <row r="566" spans="1:14" x14ac:dyDescent="0.2">
      <c r="A566" s="1249"/>
      <c r="B566" s="1252"/>
      <c r="C566" s="1255"/>
      <c r="D566" s="1252"/>
      <c r="E566" s="1252"/>
      <c r="F566" s="1252"/>
      <c r="G566" s="1252"/>
      <c r="H566" s="1252"/>
      <c r="N566" s="1562"/>
    </row>
    <row r="567" spans="1:14" x14ac:dyDescent="0.2">
      <c r="A567" s="1249"/>
      <c r="B567" s="1252"/>
      <c r="C567" s="1255"/>
      <c r="D567" s="1252"/>
      <c r="E567" s="1252"/>
      <c r="F567" s="1252"/>
      <c r="G567" s="1252"/>
      <c r="H567" s="1252"/>
      <c r="N567" s="1562"/>
    </row>
    <row r="568" spans="1:14" x14ac:dyDescent="0.2">
      <c r="A568" s="1249"/>
      <c r="B568" s="1252"/>
      <c r="C568" s="1255"/>
      <c r="D568" s="1252"/>
      <c r="E568" s="1252"/>
      <c r="F568" s="1252"/>
      <c r="G568" s="1252"/>
      <c r="H568" s="1252"/>
      <c r="N568" s="1562"/>
    </row>
    <row r="569" spans="1:14" x14ac:dyDescent="0.2">
      <c r="A569" s="1249"/>
      <c r="B569" s="1252"/>
      <c r="C569" s="1255"/>
      <c r="D569" s="1252"/>
      <c r="E569" s="1252"/>
      <c r="F569" s="1252"/>
      <c r="G569" s="1252"/>
      <c r="H569" s="1252"/>
      <c r="N569" s="1562"/>
    </row>
    <row r="570" spans="1:14" x14ac:dyDescent="0.2">
      <c r="A570" s="1249"/>
      <c r="B570" s="1252"/>
      <c r="C570" s="1255"/>
      <c r="D570" s="1252"/>
      <c r="E570" s="1252"/>
      <c r="F570" s="1252"/>
      <c r="G570" s="1252"/>
      <c r="H570" s="1252"/>
      <c r="N570" s="1562"/>
    </row>
    <row r="571" spans="1:14" x14ac:dyDescent="0.2">
      <c r="A571" s="1249"/>
      <c r="B571" s="1252"/>
      <c r="C571" s="1255"/>
      <c r="D571" s="1252"/>
      <c r="E571" s="1252"/>
      <c r="F571" s="1252"/>
      <c r="G571" s="1252"/>
      <c r="H571" s="1252"/>
      <c r="N571" s="1562"/>
    </row>
    <row r="572" spans="1:14" x14ac:dyDescent="0.2">
      <c r="A572" s="1249"/>
      <c r="B572" s="1252"/>
      <c r="C572" s="1255"/>
      <c r="D572" s="1252"/>
      <c r="E572" s="1252"/>
      <c r="F572" s="1252"/>
      <c r="G572" s="1252"/>
      <c r="H572" s="1252"/>
      <c r="N572" s="1562"/>
    </row>
    <row r="573" spans="1:14" x14ac:dyDescent="0.2">
      <c r="A573" s="1249"/>
      <c r="B573" s="1252"/>
      <c r="C573" s="1255"/>
      <c r="D573" s="1252"/>
      <c r="E573" s="1252"/>
      <c r="F573" s="1252"/>
      <c r="G573" s="1252"/>
      <c r="H573" s="1252"/>
      <c r="N573" s="1562"/>
    </row>
    <row r="574" spans="1:14" x14ac:dyDescent="0.2">
      <c r="A574" s="1249"/>
      <c r="B574" s="1252"/>
      <c r="C574" s="1255"/>
      <c r="D574" s="1252"/>
      <c r="E574" s="1252"/>
      <c r="F574" s="1252"/>
      <c r="G574" s="1252"/>
      <c r="H574" s="1252"/>
      <c r="N574" s="1562"/>
    </row>
    <row r="575" spans="1:14" x14ac:dyDescent="0.2">
      <c r="A575" s="1249"/>
      <c r="B575" s="1252"/>
      <c r="C575" s="1255"/>
      <c r="D575" s="1252"/>
      <c r="E575" s="1252"/>
      <c r="F575" s="1252"/>
      <c r="G575" s="1252"/>
      <c r="H575" s="1252"/>
      <c r="N575" s="1562"/>
    </row>
    <row r="576" spans="1:14" x14ac:dyDescent="0.2">
      <c r="A576" s="1249"/>
      <c r="B576" s="1252"/>
      <c r="C576" s="1255"/>
      <c r="D576" s="1252"/>
      <c r="E576" s="1252"/>
      <c r="F576" s="1252"/>
      <c r="G576" s="1252"/>
      <c r="H576" s="1252"/>
      <c r="N576" s="1562"/>
    </row>
    <row r="577" spans="1:14" x14ac:dyDescent="0.2">
      <c r="A577" s="1249"/>
      <c r="B577" s="1252"/>
      <c r="C577" s="1255"/>
      <c r="D577" s="1252"/>
      <c r="E577" s="1252"/>
      <c r="F577" s="1252"/>
      <c r="G577" s="1252"/>
      <c r="H577" s="1252"/>
      <c r="N577" s="1562"/>
    </row>
    <row r="578" spans="1:14" x14ac:dyDescent="0.2">
      <c r="A578" s="1249"/>
      <c r="B578" s="1252"/>
      <c r="C578" s="1255"/>
      <c r="D578" s="1252"/>
      <c r="E578" s="1252"/>
      <c r="F578" s="1252"/>
      <c r="G578" s="1252"/>
      <c r="H578" s="1252"/>
      <c r="N578" s="1562"/>
    </row>
    <row r="579" spans="1:14" x14ac:dyDescent="0.2">
      <c r="A579" s="1249"/>
      <c r="B579" s="1252"/>
      <c r="C579" s="1255"/>
      <c r="D579" s="1252"/>
      <c r="E579" s="1252"/>
      <c r="F579" s="1252"/>
      <c r="G579" s="1252"/>
      <c r="H579" s="1252"/>
      <c r="N579" s="1562"/>
    </row>
    <row r="580" spans="1:14" x14ac:dyDescent="0.2">
      <c r="A580" s="1249"/>
      <c r="B580" s="1252"/>
      <c r="C580" s="1255"/>
      <c r="D580" s="1252"/>
      <c r="E580" s="1252"/>
      <c r="F580" s="1252"/>
      <c r="G580" s="1252"/>
      <c r="H580" s="1252"/>
      <c r="N580" s="1562"/>
    </row>
    <row r="581" spans="1:14" x14ac:dyDescent="0.2">
      <c r="A581" s="1249"/>
      <c r="B581" s="1252"/>
      <c r="C581" s="1255"/>
      <c r="D581" s="1252"/>
      <c r="E581" s="1252"/>
      <c r="F581" s="1252"/>
      <c r="G581" s="1252"/>
      <c r="H581" s="1252"/>
      <c r="N581" s="1562"/>
    </row>
    <row r="582" spans="1:14" x14ac:dyDescent="0.2">
      <c r="A582" s="1249"/>
      <c r="B582" s="1252"/>
      <c r="C582" s="1255"/>
      <c r="D582" s="1252"/>
      <c r="E582" s="1252"/>
      <c r="F582" s="1252"/>
      <c r="G582" s="1252"/>
      <c r="H582" s="1252"/>
      <c r="N582" s="1562"/>
    </row>
    <row r="583" spans="1:14" x14ac:dyDescent="0.2">
      <c r="A583" s="1249"/>
      <c r="B583" s="1252"/>
      <c r="C583" s="1255"/>
      <c r="D583" s="1252"/>
      <c r="E583" s="1252"/>
      <c r="F583" s="1252"/>
      <c r="G583" s="1252"/>
      <c r="H583" s="1252"/>
      <c r="N583" s="1562"/>
    </row>
    <row r="584" spans="1:14" x14ac:dyDescent="0.2">
      <c r="A584" s="1249"/>
      <c r="B584" s="1252"/>
      <c r="C584" s="1255"/>
      <c r="D584" s="1252"/>
      <c r="E584" s="1252"/>
      <c r="F584" s="1252"/>
      <c r="G584" s="1252"/>
      <c r="H584" s="1252"/>
      <c r="N584" s="1562"/>
    </row>
    <row r="585" spans="1:14" x14ac:dyDescent="0.2">
      <c r="A585" s="1249"/>
      <c r="B585" s="1252"/>
      <c r="C585" s="1255"/>
      <c r="D585" s="1252"/>
      <c r="E585" s="1252"/>
      <c r="F585" s="1252"/>
      <c r="G585" s="1252"/>
      <c r="H585" s="1252"/>
      <c r="N585" s="1562"/>
    </row>
    <row r="586" spans="1:14" x14ac:dyDescent="0.2">
      <c r="A586" s="1249"/>
      <c r="B586" s="1252"/>
      <c r="C586" s="1255"/>
      <c r="D586" s="1252"/>
      <c r="E586" s="1252"/>
      <c r="F586" s="1252"/>
      <c r="G586" s="1252"/>
      <c r="H586" s="1252"/>
      <c r="N586" s="1562"/>
    </row>
    <row r="587" spans="1:14" x14ac:dyDescent="0.2">
      <c r="A587" s="1249"/>
      <c r="B587" s="1252"/>
      <c r="C587" s="1255"/>
      <c r="D587" s="1252"/>
      <c r="E587" s="1252"/>
      <c r="F587" s="1252"/>
      <c r="G587" s="1252"/>
      <c r="H587" s="1252"/>
      <c r="N587" s="1562"/>
    </row>
    <row r="588" spans="1:14" x14ac:dyDescent="0.2">
      <c r="A588" s="1249"/>
      <c r="B588" s="1252"/>
      <c r="C588" s="1255"/>
      <c r="D588" s="1252"/>
      <c r="E588" s="1252"/>
      <c r="F588" s="1252"/>
      <c r="G588" s="1252"/>
      <c r="H588" s="1252"/>
      <c r="N588" s="1562"/>
    </row>
    <row r="589" spans="1:14" x14ac:dyDescent="0.2">
      <c r="A589" s="1249"/>
      <c r="B589" s="1252"/>
      <c r="C589" s="1255"/>
      <c r="D589" s="1252"/>
      <c r="E589" s="1252"/>
      <c r="F589" s="1252"/>
      <c r="G589" s="1252"/>
      <c r="H589" s="1252"/>
      <c r="N589" s="1562"/>
    </row>
    <row r="590" spans="1:14" x14ac:dyDescent="0.2">
      <c r="A590" s="1249"/>
      <c r="B590" s="1252"/>
      <c r="C590" s="1255"/>
      <c r="D590" s="1252"/>
      <c r="E590" s="1252"/>
      <c r="F590" s="1252"/>
      <c r="G590" s="1252"/>
      <c r="H590" s="1252"/>
      <c r="N590" s="1562"/>
    </row>
    <row r="591" spans="1:14" x14ac:dyDescent="0.2">
      <c r="A591" s="1249"/>
      <c r="B591" s="1252"/>
      <c r="C591" s="1255"/>
      <c r="D591" s="1252"/>
      <c r="E591" s="1252"/>
      <c r="F591" s="1252"/>
      <c r="G591" s="1252"/>
      <c r="H591" s="1252"/>
      <c r="N591" s="1562"/>
    </row>
    <row r="592" spans="1:14" x14ac:dyDescent="0.2">
      <c r="A592" s="1249"/>
      <c r="B592" s="1252"/>
      <c r="C592" s="1255"/>
      <c r="D592" s="1252"/>
      <c r="E592" s="1252"/>
      <c r="F592" s="1252"/>
      <c r="G592" s="1252"/>
      <c r="H592" s="1252"/>
      <c r="N592" s="1562"/>
    </row>
    <row r="593" spans="1:14" x14ac:dyDescent="0.2">
      <c r="A593" s="1249"/>
      <c r="B593" s="1252"/>
      <c r="C593" s="1255"/>
      <c r="D593" s="1252"/>
      <c r="E593" s="1252"/>
      <c r="F593" s="1252"/>
      <c r="G593" s="1252"/>
      <c r="H593" s="1252"/>
      <c r="N593" s="1562"/>
    </row>
    <row r="594" spans="1:14" x14ac:dyDescent="0.2">
      <c r="A594" s="1249"/>
      <c r="B594" s="1252"/>
      <c r="C594" s="1255"/>
      <c r="D594" s="1252"/>
      <c r="E594" s="1252"/>
      <c r="F594" s="1252"/>
      <c r="G594" s="1252"/>
      <c r="H594" s="1252"/>
      <c r="N594" s="1562"/>
    </row>
    <row r="595" spans="1:14" x14ac:dyDescent="0.2">
      <c r="A595" s="1249"/>
      <c r="B595" s="1252"/>
      <c r="C595" s="1255"/>
      <c r="D595" s="1252"/>
      <c r="E595" s="1252"/>
      <c r="F595" s="1252"/>
      <c r="G595" s="1252"/>
      <c r="H595" s="1252"/>
      <c r="N595" s="1562"/>
    </row>
    <row r="596" spans="1:14" x14ac:dyDescent="0.2">
      <c r="A596" s="1249"/>
      <c r="B596" s="1252"/>
      <c r="C596" s="1255"/>
      <c r="D596" s="1252"/>
      <c r="E596" s="1252"/>
      <c r="F596" s="1252"/>
      <c r="G596" s="1252"/>
      <c r="H596" s="1252"/>
      <c r="N596" s="1562"/>
    </row>
    <row r="597" spans="1:14" x14ac:dyDescent="0.2">
      <c r="A597" s="1249"/>
      <c r="B597" s="1252"/>
      <c r="C597" s="1255"/>
      <c r="D597" s="1252"/>
      <c r="E597" s="1252"/>
      <c r="F597" s="1252"/>
      <c r="G597" s="1252"/>
      <c r="H597" s="1252"/>
      <c r="N597" s="1562"/>
    </row>
    <row r="598" spans="1:14" x14ac:dyDescent="0.2">
      <c r="A598" s="1249"/>
      <c r="B598" s="1252"/>
      <c r="C598" s="1255"/>
      <c r="D598" s="1252"/>
      <c r="E598" s="1252"/>
      <c r="F598" s="1252"/>
      <c r="G598" s="1252"/>
      <c r="H598" s="1252"/>
      <c r="N598" s="1562"/>
    </row>
    <row r="599" spans="1:14" x14ac:dyDescent="0.2">
      <c r="A599" s="1249"/>
      <c r="B599" s="1252"/>
      <c r="C599" s="1255"/>
      <c r="D599" s="1252"/>
      <c r="E599" s="1252"/>
      <c r="F599" s="1252"/>
      <c r="G599" s="1252"/>
      <c r="H599" s="1252"/>
      <c r="N599" s="1562"/>
    </row>
    <row r="600" spans="1:14" x14ac:dyDescent="0.2">
      <c r="A600" s="1249"/>
      <c r="B600" s="1252"/>
      <c r="C600" s="1255"/>
      <c r="D600" s="1252"/>
      <c r="E600" s="1252"/>
      <c r="F600" s="1252"/>
      <c r="G600" s="1252"/>
      <c r="H600" s="1252"/>
      <c r="N600" s="1562"/>
    </row>
    <row r="601" spans="1:14" x14ac:dyDescent="0.2">
      <c r="A601" s="1249"/>
      <c r="B601" s="1252"/>
      <c r="C601" s="1255"/>
      <c r="D601" s="1252"/>
      <c r="E601" s="1252"/>
      <c r="F601" s="1252"/>
      <c r="G601" s="1252"/>
      <c r="H601" s="1252"/>
      <c r="N601" s="1562"/>
    </row>
    <row r="602" spans="1:14" x14ac:dyDescent="0.2">
      <c r="A602" s="1249"/>
      <c r="B602" s="1252"/>
      <c r="C602" s="1255"/>
      <c r="D602" s="1252"/>
      <c r="E602" s="1252"/>
      <c r="F602" s="1252"/>
      <c r="G602" s="1252"/>
      <c r="H602" s="1252"/>
      <c r="N602" s="1562"/>
    </row>
    <row r="603" spans="1:14" x14ac:dyDescent="0.2">
      <c r="A603" s="1249"/>
      <c r="B603" s="1252"/>
      <c r="C603" s="1255"/>
      <c r="D603" s="1252"/>
      <c r="E603" s="1252"/>
      <c r="F603" s="1252"/>
      <c r="G603" s="1252"/>
      <c r="H603" s="1252"/>
      <c r="N603" s="1562"/>
    </row>
    <row r="604" spans="1:14" x14ac:dyDescent="0.2">
      <c r="A604" s="1249"/>
      <c r="B604" s="1252"/>
      <c r="C604" s="1255"/>
      <c r="D604" s="1252"/>
      <c r="E604" s="1252"/>
      <c r="F604" s="1252"/>
      <c r="G604" s="1252"/>
      <c r="H604" s="1252"/>
      <c r="N604" s="1562"/>
    </row>
    <row r="605" spans="1:14" x14ac:dyDescent="0.2">
      <c r="A605" s="1249"/>
      <c r="B605" s="1252"/>
      <c r="C605" s="1255"/>
      <c r="D605" s="1252"/>
      <c r="E605" s="1252"/>
      <c r="F605" s="1252"/>
      <c r="G605" s="1252"/>
      <c r="H605" s="1252"/>
      <c r="N605" s="1562"/>
    </row>
    <row r="606" spans="1:14" x14ac:dyDescent="0.2">
      <c r="A606" s="1249"/>
      <c r="B606" s="1252"/>
      <c r="C606" s="1255"/>
      <c r="D606" s="1252"/>
      <c r="E606" s="1252"/>
      <c r="F606" s="1252"/>
      <c r="G606" s="1252"/>
      <c r="H606" s="1252"/>
      <c r="N606" s="1562"/>
    </row>
    <row r="607" spans="1:14" x14ac:dyDescent="0.2">
      <c r="A607" s="1249"/>
      <c r="B607" s="1252"/>
      <c r="C607" s="1255"/>
      <c r="D607" s="1252"/>
      <c r="E607" s="1252"/>
      <c r="F607" s="1252"/>
      <c r="G607" s="1252"/>
      <c r="H607" s="1252"/>
      <c r="N607" s="1562"/>
    </row>
    <row r="608" spans="1:14" x14ac:dyDescent="0.2">
      <c r="A608" s="1249"/>
      <c r="B608" s="1252"/>
      <c r="C608" s="1255"/>
      <c r="D608" s="1252"/>
      <c r="E608" s="1252"/>
      <c r="F608" s="1252"/>
      <c r="G608" s="1252"/>
      <c r="H608" s="1252"/>
      <c r="N608" s="1562"/>
    </row>
    <row r="609" spans="1:14" x14ac:dyDescent="0.2">
      <c r="A609" s="1249"/>
      <c r="B609" s="1252"/>
      <c r="C609" s="1255"/>
      <c r="D609" s="1252"/>
      <c r="E609" s="1252"/>
      <c r="F609" s="1252"/>
      <c r="G609" s="1252"/>
      <c r="H609" s="1252"/>
      <c r="N609" s="1562"/>
    </row>
    <row r="610" spans="1:14" x14ac:dyDescent="0.2">
      <c r="A610" s="1249"/>
      <c r="B610" s="1252"/>
      <c r="C610" s="1255"/>
      <c r="D610" s="1252"/>
      <c r="E610" s="1252"/>
      <c r="F610" s="1252"/>
      <c r="G610" s="1252"/>
      <c r="H610" s="1252"/>
      <c r="N610" s="1562"/>
    </row>
    <row r="611" spans="1:14" x14ac:dyDescent="0.2">
      <c r="A611" s="1249"/>
      <c r="B611" s="1252"/>
      <c r="C611" s="1255"/>
      <c r="D611" s="1252"/>
      <c r="E611" s="1252"/>
      <c r="F611" s="1252"/>
      <c r="G611" s="1252"/>
      <c r="H611" s="1252"/>
      <c r="N611" s="1562"/>
    </row>
    <row r="612" spans="1:14" x14ac:dyDescent="0.2">
      <c r="A612" s="1249"/>
      <c r="B612" s="1252"/>
      <c r="C612" s="1255"/>
      <c r="D612" s="1252"/>
      <c r="E612" s="1252"/>
      <c r="F612" s="1252"/>
      <c r="G612" s="1252"/>
      <c r="H612" s="1252"/>
      <c r="N612" s="1562"/>
    </row>
    <row r="613" spans="1:14" x14ac:dyDescent="0.2">
      <c r="A613" s="1249"/>
      <c r="B613" s="1252"/>
      <c r="C613" s="1255"/>
      <c r="D613" s="1252"/>
      <c r="E613" s="1252"/>
      <c r="F613" s="1252"/>
      <c r="G613" s="1252"/>
      <c r="H613" s="1252"/>
      <c r="N613" s="1562"/>
    </row>
    <row r="614" spans="1:14" x14ac:dyDescent="0.2">
      <c r="A614" s="1249"/>
      <c r="B614" s="1252"/>
      <c r="C614" s="1255"/>
      <c r="D614" s="1252"/>
      <c r="E614" s="1252"/>
      <c r="F614" s="1252"/>
      <c r="G614" s="1252"/>
      <c r="H614" s="1252"/>
      <c r="N614" s="1562"/>
    </row>
    <row r="615" spans="1:14" x14ac:dyDescent="0.2">
      <c r="A615" s="1249"/>
      <c r="B615" s="1252"/>
      <c r="C615" s="1255"/>
      <c r="D615" s="1252"/>
      <c r="E615" s="1252"/>
      <c r="F615" s="1252"/>
      <c r="G615" s="1252"/>
      <c r="H615" s="1252"/>
      <c r="N615" s="1562"/>
    </row>
    <row r="616" spans="1:14" x14ac:dyDescent="0.2">
      <c r="A616" s="1249"/>
      <c r="B616" s="1252"/>
      <c r="C616" s="1255"/>
      <c r="D616" s="1252"/>
      <c r="E616" s="1252"/>
      <c r="F616" s="1252"/>
      <c r="G616" s="1252"/>
      <c r="H616" s="1252"/>
      <c r="N616" s="1562"/>
    </row>
    <row r="617" spans="1:14" x14ac:dyDescent="0.2">
      <c r="A617" s="1249"/>
      <c r="B617" s="1252"/>
      <c r="C617" s="1255"/>
      <c r="D617" s="1252"/>
      <c r="E617" s="1252"/>
      <c r="F617" s="1252"/>
      <c r="G617" s="1252"/>
      <c r="H617" s="1252"/>
      <c r="N617" s="1562"/>
    </row>
    <row r="618" spans="1:14" x14ac:dyDescent="0.2">
      <c r="A618" s="1249"/>
      <c r="B618" s="1252"/>
      <c r="C618" s="1255"/>
      <c r="D618" s="1252"/>
      <c r="E618" s="1252"/>
      <c r="F618" s="1252"/>
      <c r="G618" s="1252"/>
      <c r="H618" s="1252"/>
      <c r="N618" s="1562"/>
    </row>
    <row r="619" spans="1:14" x14ac:dyDescent="0.2">
      <c r="A619" s="1249"/>
      <c r="B619" s="1252"/>
      <c r="C619" s="1255"/>
      <c r="D619" s="1252"/>
      <c r="E619" s="1252"/>
      <c r="F619" s="1252"/>
      <c r="G619" s="1252"/>
      <c r="H619" s="1252"/>
      <c r="N619" s="1562"/>
    </row>
    <row r="620" spans="1:14" x14ac:dyDescent="0.2">
      <c r="A620" s="1249"/>
      <c r="B620" s="1252"/>
      <c r="C620" s="1255"/>
      <c r="D620" s="1252"/>
      <c r="E620" s="1252"/>
      <c r="F620" s="1252"/>
      <c r="G620" s="1252"/>
      <c r="H620" s="1252"/>
      <c r="N620" s="1562"/>
    </row>
    <row r="621" spans="1:14" x14ac:dyDescent="0.2">
      <c r="A621" s="1249"/>
      <c r="B621" s="1252"/>
      <c r="C621" s="1255"/>
      <c r="D621" s="1252"/>
      <c r="E621" s="1252"/>
      <c r="F621" s="1252"/>
      <c r="G621" s="1252"/>
      <c r="H621" s="1252"/>
      <c r="N621" s="1562"/>
    </row>
    <row r="622" spans="1:14" x14ac:dyDescent="0.2">
      <c r="A622" s="1249"/>
      <c r="B622" s="1252"/>
      <c r="C622" s="1255"/>
      <c r="D622" s="1252"/>
      <c r="E622" s="1252"/>
      <c r="F622" s="1252"/>
      <c r="G622" s="1252"/>
      <c r="H622" s="1252"/>
      <c r="N622" s="1562"/>
    </row>
    <row r="623" spans="1:14" x14ac:dyDescent="0.2">
      <c r="A623" s="1249"/>
      <c r="B623" s="1252"/>
      <c r="C623" s="1255"/>
      <c r="D623" s="1252"/>
      <c r="E623" s="1252"/>
      <c r="F623" s="1252"/>
      <c r="G623" s="1252"/>
      <c r="H623" s="1252"/>
      <c r="N623" s="1562"/>
    </row>
    <row r="624" spans="1:14" x14ac:dyDescent="0.2">
      <c r="A624" s="1249"/>
      <c r="B624" s="1252"/>
      <c r="C624" s="1255"/>
      <c r="D624" s="1252"/>
      <c r="E624" s="1252"/>
      <c r="F624" s="1252"/>
      <c r="G624" s="1252"/>
      <c r="H624" s="1252"/>
      <c r="N624" s="1562"/>
    </row>
    <row r="625" spans="1:14" x14ac:dyDescent="0.2">
      <c r="A625" s="1249"/>
      <c r="B625" s="1252"/>
      <c r="C625" s="1255"/>
      <c r="D625" s="1252"/>
      <c r="E625" s="1252"/>
      <c r="F625" s="1252"/>
      <c r="G625" s="1252"/>
      <c r="H625" s="1252"/>
      <c r="N625" s="1562"/>
    </row>
    <row r="626" spans="1:14" x14ac:dyDescent="0.2">
      <c r="A626" s="1249"/>
      <c r="B626" s="1252"/>
      <c r="C626" s="1255"/>
      <c r="D626" s="1252"/>
      <c r="E626" s="1252"/>
      <c r="F626" s="1252"/>
      <c r="G626" s="1252"/>
      <c r="H626" s="1252"/>
      <c r="N626" s="1562"/>
    </row>
    <row r="627" spans="1:14" x14ac:dyDescent="0.2">
      <c r="A627" s="1249"/>
      <c r="B627" s="1252"/>
      <c r="C627" s="1255"/>
      <c r="D627" s="1252"/>
      <c r="E627" s="1252"/>
      <c r="F627" s="1252"/>
      <c r="G627" s="1252"/>
      <c r="H627" s="1252"/>
      <c r="N627" s="1562"/>
    </row>
    <row r="628" spans="1:14" x14ac:dyDescent="0.2">
      <c r="A628" s="1249"/>
      <c r="B628" s="1252"/>
      <c r="C628" s="1255"/>
      <c r="D628" s="1252"/>
      <c r="E628" s="1252"/>
      <c r="F628" s="1252"/>
      <c r="G628" s="1252"/>
      <c r="H628" s="1252"/>
      <c r="N628" s="1562"/>
    </row>
    <row r="629" spans="1:14" x14ac:dyDescent="0.2">
      <c r="A629" s="1249"/>
      <c r="B629" s="1252"/>
      <c r="C629" s="1255"/>
      <c r="D629" s="1252"/>
      <c r="E629" s="1252"/>
      <c r="F629" s="1252"/>
      <c r="G629" s="1252"/>
      <c r="H629" s="1252"/>
      <c r="N629" s="1562"/>
    </row>
    <row r="630" spans="1:14" x14ac:dyDescent="0.2">
      <c r="A630" s="1249"/>
      <c r="B630" s="1252"/>
      <c r="C630" s="1255"/>
      <c r="D630" s="1252"/>
      <c r="E630" s="1252"/>
      <c r="F630" s="1252"/>
      <c r="G630" s="1252"/>
      <c r="H630" s="1252"/>
      <c r="N630" s="1562"/>
    </row>
    <row r="631" spans="1:14" x14ac:dyDescent="0.2">
      <c r="A631" s="1249"/>
      <c r="B631" s="1252"/>
      <c r="C631" s="1255"/>
      <c r="D631" s="1252"/>
      <c r="E631" s="1252"/>
      <c r="F631" s="1252"/>
      <c r="G631" s="1252"/>
      <c r="H631" s="1252"/>
      <c r="N631" s="1562"/>
    </row>
    <row r="632" spans="1:14" x14ac:dyDescent="0.2">
      <c r="A632" s="1249"/>
      <c r="B632" s="1252"/>
      <c r="C632" s="1255"/>
      <c r="D632" s="1252"/>
      <c r="E632" s="1252"/>
      <c r="F632" s="1252"/>
      <c r="G632" s="1252"/>
      <c r="H632" s="1252"/>
      <c r="N632" s="1562"/>
    </row>
    <row r="633" spans="1:14" x14ac:dyDescent="0.2">
      <c r="A633" s="1249"/>
      <c r="B633" s="1252"/>
      <c r="C633" s="1255"/>
      <c r="D633" s="1252"/>
      <c r="E633" s="1252"/>
      <c r="F633" s="1252"/>
      <c r="G633" s="1252"/>
      <c r="H633" s="1252"/>
      <c r="N633" s="1562"/>
    </row>
    <row r="634" spans="1:14" x14ac:dyDescent="0.2">
      <c r="A634" s="1249"/>
      <c r="B634" s="1252"/>
      <c r="C634" s="1255"/>
      <c r="D634" s="1252"/>
      <c r="E634" s="1252"/>
      <c r="F634" s="1252"/>
      <c r="G634" s="1252"/>
      <c r="H634" s="1252"/>
      <c r="N634" s="1562"/>
    </row>
    <row r="635" spans="1:14" x14ac:dyDescent="0.2">
      <c r="A635" s="1249"/>
      <c r="B635" s="1252"/>
      <c r="C635" s="1255"/>
      <c r="D635" s="1252"/>
      <c r="E635" s="1252"/>
      <c r="F635" s="1252"/>
      <c r="G635" s="1252"/>
      <c r="H635" s="1252"/>
      <c r="N635" s="1562"/>
    </row>
    <row r="636" spans="1:14" x14ac:dyDescent="0.2">
      <c r="A636" s="1249"/>
      <c r="B636" s="1252"/>
      <c r="C636" s="1255"/>
      <c r="D636" s="1252"/>
      <c r="E636" s="1252"/>
      <c r="F636" s="1252"/>
      <c r="G636" s="1252"/>
      <c r="H636" s="1252"/>
      <c r="N636" s="1562"/>
    </row>
    <row r="637" spans="1:14" x14ac:dyDescent="0.2">
      <c r="A637" s="1249"/>
      <c r="B637" s="1252"/>
      <c r="C637" s="1255"/>
      <c r="D637" s="1252"/>
      <c r="E637" s="1252"/>
      <c r="F637" s="1252"/>
      <c r="G637" s="1252"/>
      <c r="H637" s="1252"/>
      <c r="N637" s="1562"/>
    </row>
    <row r="638" spans="1:14" x14ac:dyDescent="0.2">
      <c r="A638" s="1249"/>
      <c r="B638" s="1252"/>
      <c r="C638" s="1255"/>
      <c r="D638" s="1252"/>
      <c r="E638" s="1252"/>
      <c r="F638" s="1252"/>
      <c r="G638" s="1252"/>
      <c r="H638" s="1252"/>
      <c r="N638" s="1562"/>
    </row>
    <row r="639" spans="1:14" x14ac:dyDescent="0.2">
      <c r="A639" s="1249"/>
      <c r="B639" s="1252"/>
      <c r="C639" s="1255"/>
      <c r="D639" s="1252"/>
      <c r="E639" s="1252"/>
      <c r="F639" s="1252"/>
      <c r="G639" s="1252"/>
      <c r="H639" s="1252"/>
      <c r="N639" s="1562"/>
    </row>
    <row r="640" spans="1:14" x14ac:dyDescent="0.2">
      <c r="A640" s="1249"/>
      <c r="B640" s="1252"/>
      <c r="C640" s="1255"/>
      <c r="D640" s="1252"/>
      <c r="E640" s="1252"/>
      <c r="F640" s="1252"/>
      <c r="G640" s="1252"/>
      <c r="H640" s="1252"/>
      <c r="N640" s="1562"/>
    </row>
    <row r="641" spans="1:14" x14ac:dyDescent="0.2">
      <c r="A641" s="1249"/>
      <c r="B641" s="1252"/>
      <c r="C641" s="1255"/>
      <c r="D641" s="1252"/>
      <c r="E641" s="1252"/>
      <c r="F641" s="1252"/>
      <c r="G641" s="1252"/>
      <c r="H641" s="1252"/>
      <c r="N641" s="1562"/>
    </row>
    <row r="642" spans="1:14" x14ac:dyDescent="0.2">
      <c r="A642" s="1249"/>
      <c r="B642" s="1252"/>
      <c r="C642" s="1255"/>
      <c r="D642" s="1252"/>
      <c r="E642" s="1252"/>
      <c r="F642" s="1252"/>
      <c r="G642" s="1252"/>
      <c r="H642" s="1252"/>
      <c r="N642" s="1562"/>
    </row>
    <row r="643" spans="1:14" x14ac:dyDescent="0.2">
      <c r="A643" s="1249"/>
      <c r="B643" s="1252"/>
      <c r="C643" s="1255"/>
      <c r="D643" s="1252"/>
      <c r="E643" s="1252"/>
      <c r="F643" s="1252"/>
      <c r="G643" s="1252"/>
      <c r="H643" s="1252"/>
      <c r="N643" s="1562"/>
    </row>
    <row r="644" spans="1:14" x14ac:dyDescent="0.2">
      <c r="A644" s="1249"/>
      <c r="B644" s="1252"/>
      <c r="C644" s="1255"/>
      <c r="D644" s="1252"/>
      <c r="E644" s="1252"/>
      <c r="F644" s="1252"/>
      <c r="G644" s="1252"/>
      <c r="H644" s="1252"/>
      <c r="N644" s="1562"/>
    </row>
    <row r="645" spans="1:14" x14ac:dyDescent="0.2">
      <c r="A645" s="1249"/>
      <c r="B645" s="1252"/>
      <c r="C645" s="1255"/>
      <c r="D645" s="1252"/>
      <c r="E645" s="1252"/>
      <c r="F645" s="1252"/>
      <c r="G645" s="1252"/>
      <c r="H645" s="1252"/>
      <c r="N645" s="1562"/>
    </row>
    <row r="646" spans="1:14" x14ac:dyDescent="0.2">
      <c r="A646" s="1249"/>
      <c r="B646" s="1252"/>
      <c r="C646" s="1255"/>
      <c r="D646" s="1252"/>
      <c r="E646" s="1252"/>
      <c r="F646" s="1252"/>
      <c r="G646" s="1252"/>
      <c r="H646" s="1252"/>
      <c r="N646" s="1562"/>
    </row>
    <row r="647" spans="1:14" x14ac:dyDescent="0.2">
      <c r="A647" s="1249"/>
      <c r="B647" s="1252"/>
      <c r="C647" s="1255"/>
      <c r="D647" s="1252"/>
      <c r="E647" s="1252"/>
      <c r="F647" s="1252"/>
      <c r="G647" s="1252"/>
      <c r="H647" s="1252"/>
      <c r="N647" s="1562"/>
    </row>
    <row r="648" spans="1:14" x14ac:dyDescent="0.2">
      <c r="A648" s="1249"/>
      <c r="B648" s="1252"/>
      <c r="C648" s="1255"/>
      <c r="D648" s="1252"/>
      <c r="E648" s="1252"/>
      <c r="F648" s="1252"/>
      <c r="G648" s="1252"/>
      <c r="H648" s="1252"/>
      <c r="N648" s="1562"/>
    </row>
    <row r="649" spans="1:14" x14ac:dyDescent="0.2">
      <c r="A649" s="1249"/>
      <c r="B649" s="1252"/>
      <c r="C649" s="1255"/>
      <c r="D649" s="1252"/>
      <c r="E649" s="1252"/>
      <c r="F649" s="1252"/>
      <c r="G649" s="1252"/>
      <c r="H649" s="1252"/>
      <c r="N649" s="1562"/>
    </row>
    <row r="650" spans="1:14" x14ac:dyDescent="0.2">
      <c r="A650" s="1249"/>
      <c r="B650" s="1252"/>
      <c r="C650" s="1255"/>
      <c r="D650" s="1252"/>
      <c r="E650" s="1252"/>
      <c r="F650" s="1252"/>
      <c r="G650" s="1252"/>
      <c r="H650" s="1252"/>
      <c r="N650" s="1562"/>
    </row>
    <row r="651" spans="1:14" x14ac:dyDescent="0.2">
      <c r="A651" s="1249"/>
      <c r="B651" s="1252"/>
      <c r="C651" s="1255"/>
      <c r="D651" s="1252"/>
      <c r="E651" s="1252"/>
      <c r="F651" s="1252"/>
      <c r="G651" s="1252"/>
      <c r="H651" s="1252"/>
      <c r="N651" s="1562"/>
    </row>
    <row r="652" spans="1:14" x14ac:dyDescent="0.2">
      <c r="A652" s="1249"/>
      <c r="B652" s="1252"/>
      <c r="C652" s="1255"/>
      <c r="D652" s="1252"/>
      <c r="E652" s="1252"/>
      <c r="F652" s="1252"/>
      <c r="G652" s="1252"/>
      <c r="H652" s="1252"/>
      <c r="N652" s="1562"/>
    </row>
    <row r="653" spans="1:14" x14ac:dyDescent="0.2">
      <c r="A653" s="1249"/>
      <c r="B653" s="1252"/>
      <c r="C653" s="1255"/>
      <c r="D653" s="1252"/>
      <c r="E653" s="1252"/>
      <c r="F653" s="1252"/>
      <c r="G653" s="1252"/>
      <c r="H653" s="1252"/>
      <c r="N653" s="1562"/>
    </row>
    <row r="654" spans="1:14" x14ac:dyDescent="0.2">
      <c r="A654" s="1249"/>
      <c r="B654" s="1252"/>
      <c r="C654" s="1255"/>
      <c r="D654" s="1252"/>
      <c r="E654" s="1252"/>
      <c r="F654" s="1252"/>
      <c r="G654" s="1252"/>
      <c r="H654" s="1252"/>
      <c r="N654" s="1562"/>
    </row>
    <row r="655" spans="1:14" x14ac:dyDescent="0.2">
      <c r="A655" s="1249"/>
      <c r="B655" s="1252"/>
      <c r="C655" s="1255"/>
      <c r="D655" s="1252"/>
      <c r="E655" s="1252"/>
      <c r="F655" s="1252"/>
      <c r="G655" s="1252"/>
      <c r="H655" s="1252"/>
      <c r="N655" s="1562"/>
    </row>
    <row r="656" spans="1:14" x14ac:dyDescent="0.2">
      <c r="A656" s="1249"/>
      <c r="B656" s="1252"/>
      <c r="C656" s="1255"/>
      <c r="D656" s="1252"/>
      <c r="E656" s="1252"/>
      <c r="F656" s="1252"/>
      <c r="G656" s="1252"/>
      <c r="H656" s="1252"/>
      <c r="N656" s="1562"/>
    </row>
    <row r="657" spans="1:14" x14ac:dyDescent="0.2">
      <c r="A657" s="1249"/>
      <c r="B657" s="1252"/>
      <c r="C657" s="1255"/>
      <c r="D657" s="1252"/>
      <c r="E657" s="1252"/>
      <c r="F657" s="1252"/>
      <c r="G657" s="1252"/>
      <c r="H657" s="1252"/>
      <c r="N657" s="1562"/>
    </row>
    <row r="658" spans="1:14" x14ac:dyDescent="0.2">
      <c r="A658" s="1249"/>
      <c r="B658" s="1252"/>
      <c r="C658" s="1255"/>
      <c r="D658" s="1252"/>
      <c r="E658" s="1252"/>
      <c r="F658" s="1252"/>
      <c r="G658" s="1252"/>
      <c r="H658" s="1252"/>
      <c r="N658" s="1562"/>
    </row>
    <row r="659" spans="1:14" x14ac:dyDescent="0.2">
      <c r="A659" s="1249"/>
      <c r="B659" s="1252"/>
      <c r="C659" s="1255"/>
      <c r="D659" s="1252"/>
      <c r="E659" s="1252"/>
      <c r="F659" s="1252"/>
      <c r="G659" s="1252"/>
      <c r="H659" s="1252"/>
      <c r="N659" s="1562"/>
    </row>
    <row r="660" spans="1:14" x14ac:dyDescent="0.2">
      <c r="A660" s="1249"/>
      <c r="B660" s="1252"/>
      <c r="C660" s="1255"/>
      <c r="D660" s="1252"/>
      <c r="E660" s="1252"/>
      <c r="F660" s="1252"/>
      <c r="G660" s="1252"/>
      <c r="H660" s="1252"/>
      <c r="N660" s="1562"/>
    </row>
    <row r="661" spans="1:14" x14ac:dyDescent="0.2">
      <c r="A661" s="1249"/>
      <c r="B661" s="1252"/>
      <c r="C661" s="1255"/>
      <c r="D661" s="1252"/>
      <c r="E661" s="1252"/>
      <c r="F661" s="1252"/>
      <c r="G661" s="1252"/>
      <c r="H661" s="1252"/>
      <c r="N661" s="1562"/>
    </row>
    <row r="662" spans="1:14" x14ac:dyDescent="0.2">
      <c r="A662" s="1249"/>
      <c r="B662" s="1252"/>
      <c r="C662" s="1255"/>
      <c r="D662" s="1252"/>
      <c r="E662" s="1252"/>
      <c r="F662" s="1252"/>
      <c r="G662" s="1252"/>
      <c r="H662" s="1252"/>
      <c r="N662" s="1562"/>
    </row>
    <row r="663" spans="1:14" x14ac:dyDescent="0.2">
      <c r="A663" s="1249"/>
      <c r="B663" s="1252"/>
      <c r="C663" s="1255"/>
      <c r="D663" s="1252"/>
      <c r="E663" s="1252"/>
      <c r="F663" s="1252"/>
      <c r="G663" s="1252"/>
      <c r="H663" s="1252"/>
      <c r="N663" s="1562"/>
    </row>
    <row r="664" spans="1:14" x14ac:dyDescent="0.2">
      <c r="A664" s="1249"/>
      <c r="B664" s="1252"/>
      <c r="C664" s="1255"/>
      <c r="D664" s="1252"/>
      <c r="E664" s="1252"/>
      <c r="F664" s="1252"/>
      <c r="G664" s="1252"/>
      <c r="H664" s="1252"/>
      <c r="N664" s="1562"/>
    </row>
    <row r="665" spans="1:14" x14ac:dyDescent="0.2">
      <c r="A665" s="1249"/>
      <c r="B665" s="1252"/>
      <c r="C665" s="1255"/>
      <c r="D665" s="1252"/>
      <c r="E665" s="1252"/>
      <c r="F665" s="1252"/>
      <c r="G665" s="1252"/>
      <c r="H665" s="1252"/>
      <c r="N665" s="1562"/>
    </row>
    <row r="666" spans="1:14" x14ac:dyDescent="0.2">
      <c r="A666" s="1249"/>
      <c r="B666" s="1252"/>
      <c r="C666" s="1255"/>
      <c r="D666" s="1252"/>
      <c r="E666" s="1252"/>
      <c r="F666" s="1252"/>
      <c r="G666" s="1252"/>
      <c r="H666" s="1252"/>
      <c r="N666" s="1562"/>
    </row>
    <row r="667" spans="1:14" x14ac:dyDescent="0.2">
      <c r="A667" s="1249"/>
      <c r="B667" s="1252"/>
      <c r="C667" s="1255"/>
      <c r="D667" s="1252"/>
      <c r="E667" s="1252"/>
      <c r="F667" s="1252"/>
      <c r="G667" s="1252"/>
      <c r="H667" s="1252"/>
      <c r="N667" s="1562"/>
    </row>
    <row r="668" spans="1:14" x14ac:dyDescent="0.2">
      <c r="A668" s="1249"/>
      <c r="B668" s="1252"/>
      <c r="C668" s="1255"/>
      <c r="D668" s="1252"/>
      <c r="E668" s="1252"/>
      <c r="F668" s="1252"/>
      <c r="G668" s="1252"/>
      <c r="H668" s="1252"/>
      <c r="N668" s="1562"/>
    </row>
    <row r="669" spans="1:14" x14ac:dyDescent="0.2">
      <c r="A669" s="1249"/>
      <c r="B669" s="1252"/>
      <c r="C669" s="1255"/>
      <c r="D669" s="1252"/>
      <c r="E669" s="1252"/>
      <c r="F669" s="1252"/>
      <c r="G669" s="1252"/>
      <c r="H669" s="1252"/>
      <c r="N669" s="1562"/>
    </row>
    <row r="670" spans="1:14" x14ac:dyDescent="0.2">
      <c r="A670" s="1249"/>
      <c r="B670" s="1252"/>
      <c r="C670" s="1255"/>
      <c r="D670" s="1252"/>
      <c r="E670" s="1252"/>
      <c r="F670" s="1252"/>
      <c r="G670" s="1252"/>
      <c r="H670" s="1252"/>
      <c r="N670" s="1562"/>
    </row>
    <row r="671" spans="1:14" x14ac:dyDescent="0.2">
      <c r="A671" s="1249"/>
      <c r="B671" s="1252"/>
      <c r="C671" s="1255"/>
      <c r="D671" s="1252"/>
      <c r="E671" s="1252"/>
      <c r="F671" s="1252"/>
      <c r="G671" s="1252"/>
      <c r="H671" s="1252"/>
      <c r="N671" s="1562"/>
    </row>
    <row r="672" spans="1:14" x14ac:dyDescent="0.2">
      <c r="A672" s="1249"/>
      <c r="B672" s="1252"/>
      <c r="C672" s="1255"/>
      <c r="D672" s="1252"/>
      <c r="E672" s="1252"/>
      <c r="F672" s="1252"/>
      <c r="G672" s="1252"/>
      <c r="H672" s="1252"/>
      <c r="N672" s="1562"/>
    </row>
    <row r="673" spans="1:14" x14ac:dyDescent="0.2">
      <c r="A673" s="1249"/>
      <c r="B673" s="1252"/>
      <c r="C673" s="1255"/>
      <c r="D673" s="1252"/>
      <c r="E673" s="1252"/>
      <c r="F673" s="1252"/>
      <c r="G673" s="1252"/>
      <c r="H673" s="1252"/>
      <c r="N673" s="1562"/>
    </row>
    <row r="674" spans="1:14" x14ac:dyDescent="0.2">
      <c r="A674" s="1249"/>
      <c r="B674" s="1252"/>
      <c r="C674" s="1255"/>
      <c r="D674" s="1252"/>
      <c r="E674" s="1252"/>
      <c r="F674" s="1252"/>
      <c r="G674" s="1252"/>
      <c r="H674" s="1252"/>
      <c r="N674" s="1562"/>
    </row>
    <row r="675" spans="1:14" x14ac:dyDescent="0.2">
      <c r="A675" s="1249"/>
      <c r="B675" s="1252"/>
      <c r="C675" s="1255"/>
      <c r="D675" s="1252"/>
      <c r="E675" s="1252"/>
      <c r="F675" s="1252"/>
      <c r="G675" s="1252"/>
      <c r="H675" s="1252"/>
      <c r="N675" s="1562"/>
    </row>
    <row r="676" spans="1:14" x14ac:dyDescent="0.2">
      <c r="A676" s="1249"/>
      <c r="B676" s="1252"/>
      <c r="C676" s="1255"/>
      <c r="D676" s="1252"/>
      <c r="E676" s="1252"/>
      <c r="F676" s="1252"/>
      <c r="G676" s="1252"/>
      <c r="H676" s="1252"/>
      <c r="N676" s="1562"/>
    </row>
    <row r="677" spans="1:14" x14ac:dyDescent="0.2">
      <c r="A677" s="1249"/>
      <c r="B677" s="1252"/>
      <c r="C677" s="1255"/>
      <c r="D677" s="1252"/>
      <c r="E677" s="1252"/>
      <c r="F677" s="1252"/>
      <c r="G677" s="1252"/>
      <c r="H677" s="1252"/>
      <c r="N677" s="1562"/>
    </row>
    <row r="678" spans="1:14" x14ac:dyDescent="0.2">
      <c r="A678" s="1249"/>
      <c r="B678" s="1252"/>
      <c r="C678" s="1255"/>
      <c r="D678" s="1252"/>
      <c r="E678" s="1252"/>
      <c r="F678" s="1252"/>
      <c r="G678" s="1252"/>
      <c r="H678" s="1252"/>
      <c r="N678" s="1562"/>
    </row>
    <row r="679" spans="1:14" x14ac:dyDescent="0.2">
      <c r="A679" s="1249"/>
      <c r="B679" s="1252"/>
      <c r="C679" s="1255"/>
      <c r="D679" s="1252"/>
      <c r="E679" s="1252"/>
      <c r="F679" s="1252"/>
      <c r="G679" s="1252"/>
      <c r="H679" s="1252"/>
      <c r="N679" s="1562"/>
    </row>
    <row r="680" spans="1:14" x14ac:dyDescent="0.2">
      <c r="A680" s="1249"/>
      <c r="B680" s="1252"/>
      <c r="C680" s="1255"/>
      <c r="D680" s="1252"/>
      <c r="E680" s="1252"/>
      <c r="F680" s="1252"/>
      <c r="G680" s="1252"/>
      <c r="H680" s="1252"/>
      <c r="N680" s="1562"/>
    </row>
    <row r="681" spans="1:14" x14ac:dyDescent="0.2">
      <c r="A681" s="1249"/>
      <c r="B681" s="1252"/>
      <c r="C681" s="1255"/>
      <c r="D681" s="1252"/>
      <c r="E681" s="1252"/>
      <c r="F681" s="1252"/>
      <c r="G681" s="1252"/>
      <c r="H681" s="1252"/>
      <c r="N681" s="1562"/>
    </row>
    <row r="682" spans="1:14" x14ac:dyDescent="0.2">
      <c r="A682" s="1249"/>
      <c r="B682" s="1252"/>
      <c r="C682" s="1255"/>
      <c r="D682" s="1252"/>
      <c r="E682" s="1252"/>
      <c r="F682" s="1252"/>
      <c r="G682" s="1252"/>
      <c r="H682" s="1252"/>
      <c r="N682" s="1562"/>
    </row>
    <row r="683" spans="1:14" x14ac:dyDescent="0.2">
      <c r="A683" s="1249"/>
      <c r="B683" s="1252"/>
      <c r="C683" s="1255"/>
      <c r="D683" s="1252"/>
      <c r="E683" s="1252"/>
      <c r="F683" s="1252"/>
      <c r="G683" s="1252"/>
      <c r="H683" s="1252"/>
      <c r="N683" s="1562"/>
    </row>
    <row r="684" spans="1:14" x14ac:dyDescent="0.2">
      <c r="A684" s="1249"/>
      <c r="B684" s="1252"/>
      <c r="C684" s="1255"/>
      <c r="D684" s="1252"/>
      <c r="E684" s="1252"/>
      <c r="F684" s="1252"/>
      <c r="G684" s="1252"/>
      <c r="H684" s="1252"/>
      <c r="N684" s="1562"/>
    </row>
    <row r="685" spans="1:14" x14ac:dyDescent="0.2">
      <c r="A685" s="1249"/>
      <c r="B685" s="1252"/>
      <c r="C685" s="1255"/>
      <c r="D685" s="1252"/>
      <c r="E685" s="1252"/>
      <c r="F685" s="1252"/>
      <c r="G685" s="1252"/>
      <c r="H685" s="1252"/>
      <c r="N685" s="1562"/>
    </row>
    <row r="686" spans="1:14" x14ac:dyDescent="0.2">
      <c r="A686" s="1249"/>
      <c r="B686" s="1252"/>
      <c r="C686" s="1255"/>
      <c r="D686" s="1252"/>
      <c r="E686" s="1252"/>
      <c r="F686" s="1252"/>
      <c r="G686" s="1252"/>
      <c r="H686" s="1252"/>
      <c r="N686" s="1562"/>
    </row>
    <row r="687" spans="1:14" x14ac:dyDescent="0.2">
      <c r="A687" s="1249"/>
      <c r="B687" s="1252"/>
      <c r="C687" s="1255"/>
      <c r="D687" s="1252"/>
      <c r="E687" s="1252"/>
      <c r="F687" s="1252"/>
      <c r="G687" s="1252"/>
      <c r="H687" s="1252"/>
      <c r="N687" s="1562"/>
    </row>
    <row r="688" spans="1:14" x14ac:dyDescent="0.2">
      <c r="A688" s="1249"/>
      <c r="B688" s="1252"/>
      <c r="C688" s="1255"/>
      <c r="D688" s="1252"/>
      <c r="E688" s="1252"/>
      <c r="F688" s="1252"/>
      <c r="G688" s="1252"/>
      <c r="H688" s="1252"/>
      <c r="N688" s="1562"/>
    </row>
    <row r="689" spans="1:14" x14ac:dyDescent="0.2">
      <c r="A689" s="1249"/>
      <c r="B689" s="1252"/>
      <c r="C689" s="1255"/>
      <c r="D689" s="1252"/>
      <c r="E689" s="1252"/>
      <c r="F689" s="1252"/>
      <c r="G689" s="1252"/>
      <c r="H689" s="1252"/>
      <c r="N689" s="1562"/>
    </row>
    <row r="690" spans="1:14" x14ac:dyDescent="0.2">
      <c r="A690" s="1249"/>
      <c r="B690" s="1252"/>
      <c r="C690" s="1255"/>
      <c r="D690" s="1252"/>
      <c r="E690" s="1252"/>
      <c r="F690" s="1252"/>
      <c r="G690" s="1252"/>
      <c r="H690" s="1252"/>
      <c r="N690" s="1562"/>
    </row>
    <row r="691" spans="1:14" x14ac:dyDescent="0.2">
      <c r="A691" s="1249"/>
      <c r="B691" s="1252"/>
      <c r="C691" s="1255"/>
      <c r="D691" s="1252"/>
      <c r="E691" s="1252"/>
      <c r="F691" s="1252"/>
      <c r="G691" s="1252"/>
      <c r="H691" s="1252"/>
      <c r="N691" s="1562"/>
    </row>
    <row r="692" spans="1:14" x14ac:dyDescent="0.2">
      <c r="A692" s="1249"/>
      <c r="B692" s="1252"/>
      <c r="C692" s="1255"/>
      <c r="D692" s="1252"/>
      <c r="E692" s="1252"/>
      <c r="F692" s="1252"/>
      <c r="G692" s="1252"/>
      <c r="H692" s="1252"/>
      <c r="N692" s="1562"/>
    </row>
    <row r="693" spans="1:14" x14ac:dyDescent="0.2">
      <c r="A693" s="1249"/>
      <c r="B693" s="1252"/>
      <c r="C693" s="1255"/>
      <c r="D693" s="1252"/>
      <c r="E693" s="1252"/>
      <c r="F693" s="1252"/>
      <c r="G693" s="1252"/>
      <c r="H693" s="1252"/>
      <c r="N693" s="1562"/>
    </row>
    <row r="694" spans="1:14" x14ac:dyDescent="0.2">
      <c r="A694" s="1249"/>
      <c r="B694" s="1252"/>
      <c r="C694" s="1255"/>
      <c r="D694" s="1252"/>
      <c r="E694" s="1252"/>
      <c r="F694" s="1252"/>
      <c r="G694" s="1252"/>
      <c r="H694" s="1252"/>
      <c r="N694" s="1562"/>
    </row>
    <row r="695" spans="1:14" x14ac:dyDescent="0.2">
      <c r="A695" s="1249"/>
      <c r="B695" s="1252"/>
      <c r="C695" s="1255"/>
      <c r="D695" s="1252"/>
      <c r="E695" s="1252"/>
      <c r="F695" s="1252"/>
      <c r="G695" s="1252"/>
      <c r="H695" s="1252"/>
      <c r="N695" s="1562"/>
    </row>
    <row r="696" spans="1:14" x14ac:dyDescent="0.2">
      <c r="A696" s="1249"/>
      <c r="B696" s="1252"/>
      <c r="C696" s="1255"/>
      <c r="D696" s="1252"/>
      <c r="E696" s="1252"/>
      <c r="F696" s="1252"/>
      <c r="G696" s="1252"/>
      <c r="H696" s="1252"/>
      <c r="N696" s="1562"/>
    </row>
    <row r="697" spans="1:14" x14ac:dyDescent="0.2">
      <c r="A697" s="1249"/>
      <c r="B697" s="1252"/>
      <c r="C697" s="1255"/>
      <c r="D697" s="1252"/>
      <c r="E697" s="1252"/>
      <c r="F697" s="1252"/>
      <c r="G697" s="1252"/>
      <c r="H697" s="1252"/>
      <c r="N697" s="1562"/>
    </row>
    <row r="698" spans="1:14" x14ac:dyDescent="0.2">
      <c r="A698" s="1249"/>
      <c r="B698" s="1252"/>
      <c r="C698" s="1255"/>
      <c r="D698" s="1252"/>
      <c r="E698" s="1252"/>
      <c r="F698" s="1252"/>
      <c r="G698" s="1252"/>
      <c r="H698" s="1252"/>
      <c r="N698" s="1562"/>
    </row>
    <row r="699" spans="1:14" x14ac:dyDescent="0.2">
      <c r="A699" s="1249"/>
      <c r="B699" s="1252"/>
      <c r="C699" s="1255"/>
      <c r="D699" s="1252"/>
      <c r="E699" s="1252"/>
      <c r="F699" s="1252"/>
      <c r="G699" s="1252"/>
      <c r="H699" s="1252"/>
      <c r="N699" s="1562"/>
    </row>
    <row r="700" spans="1:14" x14ac:dyDescent="0.2">
      <c r="A700" s="1249"/>
      <c r="B700" s="1252"/>
      <c r="C700" s="1255"/>
      <c r="D700" s="1252"/>
      <c r="E700" s="1252"/>
      <c r="F700" s="1252"/>
      <c r="G700" s="1252"/>
      <c r="H700" s="1252"/>
      <c r="N700" s="1562"/>
    </row>
    <row r="701" spans="1:14" x14ac:dyDescent="0.2">
      <c r="A701" s="1249"/>
      <c r="B701" s="1252"/>
      <c r="C701" s="1255"/>
      <c r="D701" s="1252"/>
      <c r="E701" s="1252"/>
      <c r="F701" s="1252"/>
      <c r="G701" s="1252"/>
      <c r="H701" s="1252"/>
      <c r="N701" s="1562"/>
    </row>
    <row r="702" spans="1:14" x14ac:dyDescent="0.2">
      <c r="A702" s="1249"/>
      <c r="B702" s="1252"/>
      <c r="C702" s="1255"/>
      <c r="D702" s="1252"/>
      <c r="E702" s="1252"/>
      <c r="F702" s="1252"/>
      <c r="G702" s="1252"/>
      <c r="H702" s="1252"/>
      <c r="N702" s="1562"/>
    </row>
    <row r="703" spans="1:14" x14ac:dyDescent="0.2">
      <c r="A703" s="1249"/>
      <c r="B703" s="1252"/>
      <c r="C703" s="1255"/>
      <c r="D703" s="1252"/>
      <c r="E703" s="1252"/>
      <c r="F703" s="1252"/>
      <c r="G703" s="1252"/>
      <c r="H703" s="1252"/>
      <c r="N703" s="1562"/>
    </row>
    <row r="704" spans="1:14" x14ac:dyDescent="0.2">
      <c r="A704" s="1249"/>
      <c r="B704" s="1252"/>
      <c r="C704" s="1255"/>
      <c r="D704" s="1252"/>
      <c r="E704" s="1252"/>
      <c r="F704" s="1252"/>
      <c r="G704" s="1252"/>
      <c r="H704" s="1252"/>
      <c r="N704" s="1562"/>
    </row>
    <row r="705" spans="1:14" x14ac:dyDescent="0.2">
      <c r="A705" s="1249"/>
      <c r="B705" s="1252"/>
      <c r="C705" s="1255"/>
      <c r="D705" s="1252"/>
      <c r="E705" s="1252"/>
      <c r="F705" s="1252"/>
      <c r="G705" s="1252"/>
      <c r="H705" s="1252"/>
      <c r="N705" s="1562"/>
    </row>
    <row r="706" spans="1:14" x14ac:dyDescent="0.2">
      <c r="A706" s="1249"/>
      <c r="B706" s="1252"/>
      <c r="C706" s="1255"/>
      <c r="D706" s="1252"/>
      <c r="E706" s="1252"/>
      <c r="F706" s="1252"/>
      <c r="G706" s="1252"/>
      <c r="H706" s="1252"/>
      <c r="N706" s="1562"/>
    </row>
    <row r="707" spans="1:14" x14ac:dyDescent="0.2">
      <c r="A707" s="1249"/>
      <c r="B707" s="1252"/>
      <c r="C707" s="1255"/>
      <c r="D707" s="1252"/>
      <c r="E707" s="1252"/>
      <c r="F707" s="1252"/>
      <c r="G707" s="1252"/>
      <c r="H707" s="1252"/>
      <c r="N707" s="1562"/>
    </row>
    <row r="708" spans="1:14" x14ac:dyDescent="0.2">
      <c r="A708" s="1249"/>
      <c r="B708" s="1252"/>
      <c r="C708" s="1255"/>
      <c r="D708" s="1252"/>
      <c r="E708" s="1252"/>
      <c r="F708" s="1252"/>
      <c r="G708" s="1252"/>
      <c r="H708" s="1252"/>
      <c r="N708" s="1562"/>
    </row>
    <row r="709" spans="1:14" x14ac:dyDescent="0.2">
      <c r="A709" s="1249"/>
      <c r="B709" s="1252"/>
      <c r="C709" s="1255"/>
      <c r="D709" s="1252"/>
      <c r="E709" s="1252"/>
      <c r="F709" s="1252"/>
      <c r="G709" s="1252"/>
      <c r="H709" s="1252"/>
      <c r="N709" s="1562"/>
    </row>
    <row r="710" spans="1:14" x14ac:dyDescent="0.2">
      <c r="A710" s="1249"/>
      <c r="B710" s="1252"/>
      <c r="C710" s="1255"/>
      <c r="D710" s="1252"/>
      <c r="E710" s="1252"/>
      <c r="F710" s="1252"/>
      <c r="G710" s="1252"/>
      <c r="H710" s="1252"/>
      <c r="N710" s="1562"/>
    </row>
    <row r="711" spans="1:14" x14ac:dyDescent="0.2">
      <c r="A711" s="1249"/>
      <c r="B711" s="1252"/>
      <c r="C711" s="1255"/>
      <c r="D711" s="1252"/>
      <c r="E711" s="1252"/>
      <c r="F711" s="1252"/>
      <c r="G711" s="1252"/>
      <c r="H711" s="1252"/>
      <c r="N711" s="1562"/>
    </row>
    <row r="712" spans="1:14" x14ac:dyDescent="0.2">
      <c r="A712" s="1249"/>
      <c r="B712" s="1252"/>
      <c r="C712" s="1255"/>
      <c r="D712" s="1252"/>
      <c r="E712" s="1252"/>
      <c r="F712" s="1252"/>
      <c r="G712" s="1252"/>
      <c r="H712" s="1252"/>
      <c r="N712" s="1562"/>
    </row>
    <row r="713" spans="1:14" x14ac:dyDescent="0.2">
      <c r="A713" s="1249"/>
      <c r="B713" s="1252"/>
      <c r="C713" s="1255"/>
      <c r="D713" s="1252"/>
      <c r="E713" s="1252"/>
      <c r="F713" s="1252"/>
      <c r="G713" s="1252"/>
      <c r="H713" s="1252"/>
      <c r="N713" s="1562"/>
    </row>
    <row r="714" spans="1:14" x14ac:dyDescent="0.2">
      <c r="A714" s="1249"/>
      <c r="B714" s="1252"/>
      <c r="C714" s="1255"/>
      <c r="D714" s="1252"/>
      <c r="E714" s="1252"/>
      <c r="F714" s="1252"/>
      <c r="G714" s="1252"/>
      <c r="H714" s="1252"/>
      <c r="N714" s="1562"/>
    </row>
    <row r="715" spans="1:14" x14ac:dyDescent="0.2">
      <c r="A715" s="1249"/>
      <c r="B715" s="1252"/>
      <c r="C715" s="1255"/>
      <c r="D715" s="1252"/>
      <c r="E715" s="1252"/>
      <c r="F715" s="1252"/>
      <c r="G715" s="1252"/>
      <c r="H715" s="1252"/>
      <c r="N715" s="1562"/>
    </row>
    <row r="716" spans="1:14" x14ac:dyDescent="0.2">
      <c r="A716" s="1249"/>
      <c r="B716" s="1252"/>
      <c r="C716" s="1255"/>
      <c r="D716" s="1252"/>
      <c r="E716" s="1252"/>
      <c r="F716" s="1252"/>
      <c r="G716" s="1252"/>
      <c r="H716" s="1252"/>
      <c r="N716" s="1562"/>
    </row>
    <row r="717" spans="1:14" x14ac:dyDescent="0.2">
      <c r="A717" s="1249"/>
      <c r="B717" s="1252"/>
      <c r="C717" s="1255"/>
      <c r="D717" s="1252"/>
      <c r="E717" s="1252"/>
      <c r="F717" s="1252"/>
      <c r="G717" s="1252"/>
      <c r="H717" s="1252"/>
      <c r="N717" s="1562"/>
    </row>
    <row r="718" spans="1:14" x14ac:dyDescent="0.2">
      <c r="A718" s="1249"/>
      <c r="B718" s="1252"/>
      <c r="C718" s="1255"/>
      <c r="D718" s="1252"/>
      <c r="E718" s="1252"/>
      <c r="F718" s="1252"/>
      <c r="G718" s="1252"/>
      <c r="H718" s="1252"/>
      <c r="N718" s="1562"/>
    </row>
    <row r="719" spans="1:14" x14ac:dyDescent="0.2">
      <c r="A719" s="1249"/>
      <c r="B719" s="1252"/>
      <c r="C719" s="1255"/>
      <c r="D719" s="1252"/>
      <c r="E719" s="1252"/>
      <c r="F719" s="1252"/>
      <c r="G719" s="1252"/>
      <c r="H719" s="1252"/>
      <c r="N719" s="1562"/>
    </row>
    <row r="720" spans="1:14" x14ac:dyDescent="0.2">
      <c r="A720" s="1249"/>
      <c r="B720" s="1252"/>
      <c r="C720" s="1255"/>
      <c r="D720" s="1252"/>
      <c r="E720" s="1252"/>
      <c r="F720" s="1252"/>
      <c r="G720" s="1252"/>
      <c r="H720" s="1252"/>
      <c r="N720" s="1562"/>
    </row>
    <row r="721" spans="1:14" x14ac:dyDescent="0.2">
      <c r="A721" s="1249"/>
      <c r="B721" s="1252"/>
      <c r="C721" s="1255"/>
      <c r="D721" s="1252"/>
      <c r="E721" s="1252"/>
      <c r="F721" s="1252"/>
      <c r="G721" s="1252"/>
      <c r="H721" s="1252"/>
      <c r="N721" s="1562"/>
    </row>
    <row r="722" spans="1:14" x14ac:dyDescent="0.2">
      <c r="A722" s="1249"/>
      <c r="B722" s="1252"/>
      <c r="C722" s="1255"/>
      <c r="D722" s="1252"/>
      <c r="E722" s="1252"/>
      <c r="F722" s="1252"/>
      <c r="G722" s="1252"/>
      <c r="H722" s="1252"/>
      <c r="N722" s="1562"/>
    </row>
    <row r="723" spans="1:14" x14ac:dyDescent="0.2">
      <c r="A723" s="1249"/>
      <c r="B723" s="1252"/>
      <c r="C723" s="1255"/>
      <c r="D723" s="1252"/>
      <c r="E723" s="1252"/>
      <c r="F723" s="1252"/>
      <c r="G723" s="1252"/>
      <c r="H723" s="1252"/>
      <c r="N723" s="1562"/>
    </row>
    <row r="724" spans="1:14" x14ac:dyDescent="0.2">
      <c r="A724" s="1249"/>
      <c r="B724" s="1252"/>
      <c r="C724" s="1255"/>
      <c r="D724" s="1252"/>
      <c r="E724" s="1252"/>
      <c r="F724" s="1252"/>
      <c r="G724" s="1252"/>
      <c r="H724" s="1252"/>
      <c r="N724" s="1562"/>
    </row>
    <row r="725" spans="1:14" x14ac:dyDescent="0.2">
      <c r="A725" s="1249"/>
      <c r="B725" s="1252"/>
      <c r="C725" s="1255"/>
      <c r="D725" s="1252"/>
      <c r="E725" s="1252"/>
      <c r="F725" s="1252"/>
      <c r="G725" s="1252"/>
      <c r="H725" s="1252"/>
      <c r="N725" s="1562"/>
    </row>
    <row r="726" spans="1:14" x14ac:dyDescent="0.2">
      <c r="A726" s="1249"/>
      <c r="B726" s="1252"/>
      <c r="C726" s="1255"/>
      <c r="D726" s="1252"/>
      <c r="E726" s="1252"/>
      <c r="F726" s="1252"/>
      <c r="G726" s="1252"/>
      <c r="H726" s="1252"/>
      <c r="N726" s="1562"/>
    </row>
    <row r="727" spans="1:14" x14ac:dyDescent="0.2">
      <c r="A727" s="1249"/>
      <c r="B727" s="1252"/>
      <c r="C727" s="1255"/>
      <c r="D727" s="1252"/>
      <c r="E727" s="1252"/>
      <c r="F727" s="1252"/>
      <c r="G727" s="1252"/>
      <c r="H727" s="1252"/>
      <c r="N727" s="1562"/>
    </row>
    <row r="728" spans="1:14" x14ac:dyDescent="0.2">
      <c r="A728" s="1249"/>
      <c r="B728" s="1252"/>
      <c r="C728" s="1255"/>
      <c r="D728" s="1252"/>
      <c r="E728" s="1252"/>
      <c r="F728" s="1252"/>
      <c r="G728" s="1252"/>
      <c r="H728" s="1252"/>
      <c r="N728" s="1562"/>
    </row>
    <row r="729" spans="1:14" x14ac:dyDescent="0.2">
      <c r="A729" s="1249"/>
      <c r="B729" s="1252"/>
      <c r="C729" s="1255"/>
      <c r="D729" s="1252"/>
      <c r="E729" s="1252"/>
      <c r="F729" s="1252"/>
      <c r="G729" s="1252"/>
      <c r="H729" s="1252"/>
      <c r="N729" s="1562"/>
    </row>
    <row r="730" spans="1:14" x14ac:dyDescent="0.2">
      <c r="A730" s="1249"/>
      <c r="B730" s="1252"/>
      <c r="C730" s="1255"/>
      <c r="D730" s="1252"/>
      <c r="E730" s="1252"/>
      <c r="F730" s="1252"/>
      <c r="G730" s="1252"/>
      <c r="H730" s="1252"/>
      <c r="N730" s="1562"/>
    </row>
    <row r="731" spans="1:14" x14ac:dyDescent="0.2">
      <c r="A731" s="1249"/>
      <c r="B731" s="1252"/>
      <c r="C731" s="1255"/>
      <c r="D731" s="1252"/>
      <c r="E731" s="1252"/>
      <c r="F731" s="1252"/>
      <c r="G731" s="1252"/>
      <c r="H731" s="1252"/>
      <c r="N731" s="1562"/>
    </row>
    <row r="732" spans="1:14" x14ac:dyDescent="0.2">
      <c r="A732" s="1249"/>
      <c r="B732" s="1252"/>
      <c r="C732" s="1255"/>
      <c r="D732" s="1252"/>
      <c r="E732" s="1252"/>
      <c r="F732" s="1252"/>
      <c r="G732" s="1252"/>
      <c r="H732" s="1252"/>
      <c r="N732" s="1562"/>
    </row>
    <row r="733" spans="1:14" x14ac:dyDescent="0.2">
      <c r="A733" s="1249"/>
      <c r="B733" s="1252"/>
      <c r="C733" s="1255"/>
      <c r="D733" s="1252"/>
      <c r="E733" s="1252"/>
      <c r="F733" s="1252"/>
      <c r="G733" s="1252"/>
      <c r="H733" s="1252"/>
      <c r="N733" s="1562"/>
    </row>
    <row r="734" spans="1:14" x14ac:dyDescent="0.2">
      <c r="A734" s="1249"/>
      <c r="B734" s="1252"/>
      <c r="C734" s="1255"/>
      <c r="D734" s="1252"/>
      <c r="E734" s="1252"/>
      <c r="F734" s="1252"/>
      <c r="G734" s="1252"/>
      <c r="H734" s="1252"/>
      <c r="N734" s="1562"/>
    </row>
    <row r="735" spans="1:14" x14ac:dyDescent="0.2">
      <c r="A735" s="1249"/>
      <c r="B735" s="1252"/>
      <c r="C735" s="1255"/>
      <c r="D735" s="1252"/>
      <c r="E735" s="1252"/>
      <c r="F735" s="1252"/>
      <c r="G735" s="1252"/>
      <c r="H735" s="1252"/>
      <c r="N735" s="1562"/>
    </row>
    <row r="736" spans="1:14" x14ac:dyDescent="0.2">
      <c r="A736" s="1249"/>
      <c r="B736" s="1252"/>
      <c r="C736" s="1255"/>
      <c r="D736" s="1252"/>
      <c r="E736" s="1252"/>
      <c r="F736" s="1252"/>
      <c r="G736" s="1252"/>
      <c r="H736" s="1252"/>
      <c r="N736" s="1562"/>
    </row>
    <row r="737" spans="1:14" x14ac:dyDescent="0.2">
      <c r="A737" s="1249"/>
      <c r="B737" s="1252"/>
      <c r="C737" s="1255"/>
      <c r="D737" s="1252"/>
      <c r="E737" s="1252"/>
      <c r="F737" s="1252"/>
      <c r="G737" s="1252"/>
      <c r="H737" s="1252"/>
      <c r="N737" s="1562"/>
    </row>
    <row r="738" spans="1:14" x14ac:dyDescent="0.2">
      <c r="A738" s="1249"/>
      <c r="B738" s="1252"/>
      <c r="C738" s="1255"/>
      <c r="D738" s="1252"/>
      <c r="E738" s="1252"/>
      <c r="F738" s="1252"/>
      <c r="G738" s="1252"/>
      <c r="H738" s="1252"/>
      <c r="N738" s="1562"/>
    </row>
    <row r="739" spans="1:14" x14ac:dyDescent="0.2">
      <c r="A739" s="1249"/>
      <c r="B739" s="1252"/>
      <c r="C739" s="1255"/>
      <c r="D739" s="1252"/>
      <c r="E739" s="1252"/>
      <c r="F739" s="1252"/>
      <c r="G739" s="1252"/>
      <c r="H739" s="1252"/>
      <c r="N739" s="1562"/>
    </row>
    <row r="740" spans="1:14" x14ac:dyDescent="0.2">
      <c r="A740" s="1249"/>
      <c r="B740" s="1252"/>
      <c r="C740" s="1255"/>
      <c r="D740" s="1252"/>
      <c r="E740" s="1252"/>
      <c r="F740" s="1252"/>
      <c r="G740" s="1252"/>
      <c r="H740" s="1252"/>
      <c r="N740" s="1562"/>
    </row>
    <row r="741" spans="1:14" x14ac:dyDescent="0.2">
      <c r="A741" s="1249"/>
      <c r="B741" s="1252"/>
      <c r="C741" s="1255"/>
      <c r="D741" s="1252"/>
      <c r="E741" s="1252"/>
      <c r="F741" s="1252"/>
      <c r="G741" s="1252"/>
      <c r="H741" s="1252"/>
      <c r="N741" s="1562"/>
    </row>
    <row r="742" spans="1:14" x14ac:dyDescent="0.2">
      <c r="A742" s="1249"/>
      <c r="B742" s="1252"/>
      <c r="C742" s="1255"/>
      <c r="D742" s="1252"/>
      <c r="E742" s="1252"/>
      <c r="F742" s="1252"/>
      <c r="G742" s="1252"/>
      <c r="H742" s="1252"/>
      <c r="N742" s="1562"/>
    </row>
    <row r="743" spans="1:14" x14ac:dyDescent="0.2">
      <c r="A743" s="1249"/>
      <c r="B743" s="1252"/>
      <c r="C743" s="1255"/>
      <c r="D743" s="1252"/>
      <c r="E743" s="1252"/>
      <c r="F743" s="1252"/>
      <c r="G743" s="1252"/>
      <c r="H743" s="1252"/>
      <c r="N743" s="1562"/>
    </row>
    <row r="744" spans="1:14" x14ac:dyDescent="0.2">
      <c r="A744" s="1249"/>
      <c r="B744" s="1252"/>
      <c r="C744" s="1255"/>
      <c r="D744" s="1252"/>
      <c r="E744" s="1252"/>
      <c r="F744" s="1252"/>
      <c r="G744" s="1252"/>
      <c r="H744" s="1252"/>
      <c r="N744" s="1562"/>
    </row>
    <row r="745" spans="1:14" x14ac:dyDescent="0.2">
      <c r="A745" s="1249"/>
      <c r="B745" s="1252"/>
      <c r="C745" s="1255"/>
      <c r="D745" s="1252"/>
      <c r="E745" s="1252"/>
      <c r="F745" s="1252"/>
      <c r="G745" s="1252"/>
      <c r="H745" s="1252"/>
      <c r="N745" s="1562"/>
    </row>
    <row r="746" spans="1:14" x14ac:dyDescent="0.2">
      <c r="A746" s="1249"/>
      <c r="B746" s="1252"/>
      <c r="C746" s="1255"/>
      <c r="D746" s="1252"/>
      <c r="E746" s="1252"/>
      <c r="F746" s="1252"/>
      <c r="G746" s="1252"/>
      <c r="H746" s="1252"/>
      <c r="N746" s="1562"/>
    </row>
    <row r="747" spans="1:14" x14ac:dyDescent="0.2">
      <c r="A747" s="1249"/>
      <c r="B747" s="1252"/>
      <c r="C747" s="1255"/>
      <c r="D747" s="1252"/>
      <c r="E747" s="1252"/>
      <c r="F747" s="1252"/>
      <c r="G747" s="1252"/>
      <c r="H747" s="1252"/>
      <c r="N747" s="1562"/>
    </row>
    <row r="748" spans="1:14" x14ac:dyDescent="0.2">
      <c r="A748" s="1249"/>
      <c r="B748" s="1252"/>
      <c r="C748" s="1255"/>
      <c r="D748" s="1252"/>
      <c r="E748" s="1252"/>
      <c r="F748" s="1252"/>
      <c r="G748" s="1252"/>
      <c r="H748" s="1252"/>
      <c r="N748" s="1562"/>
    </row>
    <row r="749" spans="1:14" x14ac:dyDescent="0.2">
      <c r="A749" s="1249"/>
      <c r="B749" s="1252"/>
      <c r="C749" s="1255"/>
      <c r="D749" s="1252"/>
      <c r="E749" s="1252"/>
      <c r="F749" s="1252"/>
      <c r="G749" s="1252"/>
      <c r="H749" s="1252"/>
      <c r="N749" s="1562"/>
    </row>
    <row r="750" spans="1:14" x14ac:dyDescent="0.2">
      <c r="A750" s="1249"/>
      <c r="B750" s="1252"/>
      <c r="C750" s="1255"/>
      <c r="D750" s="1252"/>
      <c r="E750" s="1252"/>
      <c r="F750" s="1252"/>
      <c r="G750" s="1252"/>
      <c r="H750" s="1252"/>
      <c r="N750" s="1562"/>
    </row>
    <row r="751" spans="1:14" x14ac:dyDescent="0.2">
      <c r="A751" s="1249"/>
      <c r="B751" s="1252"/>
      <c r="C751" s="1255"/>
      <c r="D751" s="1252"/>
      <c r="E751" s="1252"/>
      <c r="F751" s="1252"/>
      <c r="G751" s="1252"/>
      <c r="H751" s="1252"/>
      <c r="N751" s="1562"/>
    </row>
    <row r="752" spans="1:14" x14ac:dyDescent="0.2">
      <c r="A752" s="1249"/>
      <c r="B752" s="1252"/>
      <c r="C752" s="1255"/>
      <c r="D752" s="1252"/>
      <c r="E752" s="1252"/>
      <c r="F752" s="1252"/>
      <c r="G752" s="1252"/>
      <c r="H752" s="1252"/>
      <c r="N752" s="1562"/>
    </row>
    <row r="753" spans="1:14" x14ac:dyDescent="0.2">
      <c r="A753" s="1249"/>
      <c r="B753" s="1252"/>
      <c r="C753" s="1255"/>
      <c r="D753" s="1252"/>
      <c r="E753" s="1252"/>
      <c r="F753" s="1252"/>
      <c r="G753" s="1252"/>
      <c r="H753" s="1252"/>
      <c r="N753" s="1562"/>
    </row>
    <row r="754" spans="1:14" x14ac:dyDescent="0.2">
      <c r="A754" s="1249"/>
      <c r="B754" s="1252"/>
      <c r="C754" s="1255"/>
      <c r="D754" s="1252"/>
      <c r="E754" s="1252"/>
      <c r="F754" s="1252"/>
      <c r="G754" s="1252"/>
      <c r="H754" s="1252"/>
      <c r="N754" s="1562"/>
    </row>
    <row r="755" spans="1:14" x14ac:dyDescent="0.2">
      <c r="A755" s="1249"/>
      <c r="B755" s="1252"/>
      <c r="C755" s="1255"/>
      <c r="D755" s="1252"/>
      <c r="E755" s="1252"/>
      <c r="F755" s="1252"/>
      <c r="G755" s="1252"/>
      <c r="H755" s="1252"/>
      <c r="N755" s="1562"/>
    </row>
    <row r="756" spans="1:14" x14ac:dyDescent="0.2">
      <c r="A756" s="1249"/>
      <c r="B756" s="1252"/>
      <c r="C756" s="1255"/>
      <c r="D756" s="1252"/>
      <c r="E756" s="1252"/>
      <c r="F756" s="1252"/>
      <c r="G756" s="1252"/>
      <c r="H756" s="1252"/>
      <c r="N756" s="1562"/>
    </row>
    <row r="757" spans="1:14" x14ac:dyDescent="0.2">
      <c r="A757" s="1249"/>
      <c r="B757" s="1252"/>
      <c r="C757" s="1255"/>
      <c r="D757" s="1252"/>
      <c r="E757" s="1252"/>
      <c r="F757" s="1252"/>
      <c r="G757" s="1252"/>
      <c r="H757" s="1252"/>
      <c r="N757" s="1562"/>
    </row>
    <row r="758" spans="1:14" x14ac:dyDescent="0.2">
      <c r="A758" s="1249"/>
      <c r="B758" s="1252"/>
      <c r="C758" s="1255"/>
      <c r="D758" s="1252"/>
      <c r="E758" s="1252"/>
      <c r="F758" s="1252"/>
      <c r="G758" s="1252"/>
      <c r="H758" s="1252"/>
      <c r="N758" s="1562"/>
    </row>
    <row r="759" spans="1:14" x14ac:dyDescent="0.2">
      <c r="A759" s="1249"/>
      <c r="B759" s="1252"/>
      <c r="C759" s="1255"/>
      <c r="D759" s="1252"/>
      <c r="E759" s="1252"/>
      <c r="F759" s="1252"/>
      <c r="G759" s="1252"/>
      <c r="H759" s="1252"/>
      <c r="N759" s="1562"/>
    </row>
    <row r="760" spans="1:14" x14ac:dyDescent="0.2">
      <c r="A760" s="1249"/>
      <c r="B760" s="1252"/>
      <c r="C760" s="1255"/>
      <c r="D760" s="1252"/>
      <c r="E760" s="1252"/>
      <c r="F760" s="1252"/>
      <c r="G760" s="1252"/>
      <c r="H760" s="1252"/>
      <c r="N760" s="1562"/>
    </row>
    <row r="761" spans="1:14" x14ac:dyDescent="0.2">
      <c r="A761" s="1249"/>
      <c r="B761" s="1252"/>
      <c r="C761" s="1255"/>
      <c r="D761" s="1252"/>
      <c r="E761" s="1252"/>
      <c r="F761" s="1252"/>
      <c r="G761" s="1252"/>
      <c r="H761" s="1252"/>
      <c r="N761" s="1562"/>
    </row>
    <row r="762" spans="1:14" x14ac:dyDescent="0.2">
      <c r="A762" s="1249"/>
      <c r="B762" s="1252"/>
      <c r="C762" s="1255"/>
      <c r="D762" s="1252"/>
      <c r="E762" s="1252"/>
      <c r="F762" s="1252"/>
      <c r="G762" s="1252"/>
      <c r="H762" s="1252"/>
      <c r="N762" s="1562"/>
    </row>
    <row r="763" spans="1:14" x14ac:dyDescent="0.2">
      <c r="A763" s="1249"/>
      <c r="B763" s="1252"/>
      <c r="C763" s="1255"/>
      <c r="D763" s="1252"/>
      <c r="E763" s="1252"/>
      <c r="F763" s="1252"/>
      <c r="G763" s="1252"/>
      <c r="H763" s="1252"/>
      <c r="N763" s="1562"/>
    </row>
    <row r="764" spans="1:14" x14ac:dyDescent="0.2">
      <c r="A764" s="1249"/>
      <c r="B764" s="1252"/>
      <c r="C764" s="1255"/>
      <c r="D764" s="1252"/>
      <c r="E764" s="1252"/>
      <c r="F764" s="1252"/>
      <c r="G764" s="1252"/>
      <c r="H764" s="1252"/>
      <c r="N764" s="1562"/>
    </row>
    <row r="765" spans="1:14" x14ac:dyDescent="0.2">
      <c r="A765" s="1249"/>
      <c r="B765" s="1252"/>
      <c r="C765" s="1255"/>
      <c r="D765" s="1252"/>
      <c r="E765" s="1252"/>
      <c r="F765" s="1252"/>
      <c r="G765" s="1252"/>
      <c r="H765" s="1252"/>
      <c r="N765" s="1562"/>
    </row>
    <row r="766" spans="1:14" x14ac:dyDescent="0.2">
      <c r="A766" s="1249"/>
      <c r="B766" s="1252"/>
      <c r="C766" s="1255"/>
      <c r="D766" s="1252"/>
      <c r="E766" s="1252"/>
      <c r="F766" s="1252"/>
      <c r="G766" s="1252"/>
      <c r="H766" s="1252"/>
      <c r="N766" s="1562"/>
    </row>
    <row r="767" spans="1:14" x14ac:dyDescent="0.2">
      <c r="A767" s="1249"/>
      <c r="B767" s="1252"/>
      <c r="C767" s="1255"/>
      <c r="D767" s="1252"/>
      <c r="E767" s="1252"/>
      <c r="F767" s="1252"/>
      <c r="G767" s="1252"/>
      <c r="H767" s="1252"/>
      <c r="N767" s="1562"/>
    </row>
    <row r="768" spans="1:14" x14ac:dyDescent="0.2">
      <c r="A768" s="1249"/>
      <c r="B768" s="1252"/>
      <c r="C768" s="1255"/>
      <c r="D768" s="1252"/>
      <c r="E768" s="1252"/>
      <c r="F768" s="1252"/>
      <c r="G768" s="1252"/>
      <c r="H768" s="1252"/>
      <c r="N768" s="1562"/>
    </row>
    <row r="769" spans="1:14" x14ac:dyDescent="0.2">
      <c r="A769" s="1249"/>
      <c r="B769" s="1252"/>
      <c r="C769" s="1255"/>
      <c r="D769" s="1252"/>
      <c r="E769" s="1252"/>
      <c r="F769" s="1252"/>
      <c r="G769" s="1252"/>
      <c r="H769" s="1252"/>
      <c r="N769" s="1562"/>
    </row>
    <row r="770" spans="1:14" x14ac:dyDescent="0.2">
      <c r="A770" s="1249"/>
      <c r="B770" s="1252"/>
      <c r="C770" s="1255"/>
      <c r="D770" s="1252"/>
      <c r="E770" s="1252"/>
      <c r="F770" s="1252"/>
      <c r="G770" s="1252"/>
      <c r="H770" s="1252"/>
      <c r="N770" s="1562"/>
    </row>
    <row r="771" spans="1:14" x14ac:dyDescent="0.2">
      <c r="A771" s="1249"/>
      <c r="B771" s="1252"/>
      <c r="C771" s="1255"/>
      <c r="D771" s="1252"/>
      <c r="E771" s="1252"/>
      <c r="F771" s="1252"/>
      <c r="G771" s="1252"/>
      <c r="H771" s="1252"/>
      <c r="N771" s="1562"/>
    </row>
    <row r="772" spans="1:14" x14ac:dyDescent="0.2">
      <c r="A772" s="1249"/>
      <c r="B772" s="1252"/>
      <c r="C772" s="1255"/>
      <c r="D772" s="1252"/>
      <c r="E772" s="1252"/>
      <c r="F772" s="1252"/>
      <c r="G772" s="1252"/>
      <c r="H772" s="1252"/>
      <c r="N772" s="1562"/>
    </row>
    <row r="773" spans="1:14" x14ac:dyDescent="0.2">
      <c r="A773" s="1249"/>
      <c r="B773" s="1252"/>
      <c r="C773" s="1255"/>
      <c r="D773" s="1252"/>
      <c r="E773" s="1252"/>
      <c r="F773" s="1252"/>
      <c r="G773" s="1252"/>
      <c r="H773" s="1252"/>
      <c r="N773" s="1562"/>
    </row>
    <row r="774" spans="1:14" x14ac:dyDescent="0.2">
      <c r="A774" s="1249"/>
      <c r="B774" s="1252"/>
      <c r="C774" s="1255"/>
      <c r="D774" s="1252"/>
      <c r="E774" s="1252"/>
      <c r="F774" s="1252"/>
      <c r="G774" s="1252"/>
      <c r="H774" s="1252"/>
      <c r="N774" s="1562"/>
    </row>
    <row r="775" spans="1:14" x14ac:dyDescent="0.2">
      <c r="A775" s="1249"/>
      <c r="B775" s="1252"/>
      <c r="C775" s="1255"/>
      <c r="D775" s="1252"/>
      <c r="E775" s="1252"/>
      <c r="F775" s="1252"/>
      <c r="G775" s="1252"/>
      <c r="H775" s="1252"/>
      <c r="N775" s="1562"/>
    </row>
    <row r="776" spans="1:14" x14ac:dyDescent="0.2">
      <c r="A776" s="1249"/>
      <c r="B776" s="1252"/>
      <c r="C776" s="1255"/>
      <c r="D776" s="1252"/>
      <c r="E776" s="1252"/>
      <c r="F776" s="1252"/>
      <c r="G776" s="1252"/>
      <c r="H776" s="1252"/>
      <c r="N776" s="1562"/>
    </row>
    <row r="777" spans="1:14" x14ac:dyDescent="0.2">
      <c r="A777" s="1249"/>
      <c r="B777" s="1252"/>
      <c r="C777" s="1255"/>
      <c r="D777" s="1252"/>
      <c r="E777" s="1252"/>
      <c r="F777" s="1252"/>
      <c r="G777" s="1252"/>
      <c r="H777" s="1252"/>
      <c r="N777" s="1562"/>
    </row>
    <row r="778" spans="1:14" x14ac:dyDescent="0.2">
      <c r="A778" s="1249"/>
      <c r="B778" s="1252"/>
      <c r="C778" s="1255"/>
      <c r="D778" s="1252"/>
      <c r="E778" s="1252"/>
      <c r="F778" s="1252"/>
      <c r="G778" s="1252"/>
      <c r="H778" s="1252"/>
      <c r="N778" s="1562"/>
    </row>
    <row r="779" spans="1:14" x14ac:dyDescent="0.2">
      <c r="A779" s="1249"/>
      <c r="B779" s="1252"/>
      <c r="C779" s="1255"/>
      <c r="D779" s="1252"/>
      <c r="E779" s="1252"/>
      <c r="F779" s="1252"/>
      <c r="G779" s="1252"/>
      <c r="H779" s="1252"/>
      <c r="N779" s="1562"/>
    </row>
    <row r="780" spans="1:14" x14ac:dyDescent="0.2">
      <c r="A780" s="1249"/>
      <c r="B780" s="1252"/>
      <c r="C780" s="1255"/>
      <c r="D780" s="1252"/>
      <c r="E780" s="1252"/>
      <c r="F780" s="1252"/>
      <c r="G780" s="1252"/>
      <c r="H780" s="1252"/>
      <c r="N780" s="1562"/>
    </row>
    <row r="781" spans="1:14" x14ac:dyDescent="0.2">
      <c r="A781" s="1249"/>
      <c r="B781" s="1252"/>
      <c r="C781" s="1255"/>
      <c r="D781" s="1252"/>
      <c r="E781" s="1252"/>
      <c r="F781" s="1252"/>
      <c r="G781" s="1252"/>
      <c r="H781" s="1252"/>
      <c r="N781" s="1562"/>
    </row>
    <row r="782" spans="1:14" x14ac:dyDescent="0.2">
      <c r="A782" s="1249"/>
      <c r="B782" s="1252"/>
      <c r="C782" s="1255"/>
      <c r="D782" s="1252"/>
      <c r="E782" s="1252"/>
      <c r="F782" s="1252"/>
      <c r="G782" s="1252"/>
      <c r="H782" s="1252"/>
      <c r="N782" s="1562"/>
    </row>
    <row r="783" spans="1:14" x14ac:dyDescent="0.2">
      <c r="A783" s="1249"/>
      <c r="B783" s="1252"/>
      <c r="C783" s="1255"/>
      <c r="D783" s="1252"/>
      <c r="E783" s="1252"/>
      <c r="F783" s="1252"/>
      <c r="G783" s="1252"/>
      <c r="H783" s="1252"/>
      <c r="N783" s="1562"/>
    </row>
    <row r="784" spans="1:14" x14ac:dyDescent="0.2">
      <c r="A784" s="1249"/>
      <c r="B784" s="1252"/>
      <c r="C784" s="1255"/>
      <c r="D784" s="1252"/>
      <c r="E784" s="1252"/>
      <c r="F784" s="1252"/>
      <c r="G784" s="1252"/>
      <c r="H784" s="1252"/>
      <c r="N784" s="1562"/>
    </row>
    <row r="785" spans="1:14" x14ac:dyDescent="0.2">
      <c r="A785" s="1249"/>
      <c r="B785" s="1252"/>
      <c r="C785" s="1255"/>
      <c r="D785" s="1252"/>
      <c r="E785" s="1252"/>
      <c r="F785" s="1252"/>
      <c r="G785" s="1252"/>
      <c r="H785" s="1252"/>
      <c r="N785" s="1562"/>
    </row>
    <row r="786" spans="1:14" x14ac:dyDescent="0.2">
      <c r="A786" s="1249"/>
      <c r="B786" s="1252"/>
      <c r="C786" s="1255"/>
      <c r="D786" s="1252"/>
      <c r="E786" s="1252"/>
      <c r="F786" s="1252"/>
      <c r="G786" s="1252"/>
      <c r="H786" s="1252"/>
      <c r="N786" s="1562"/>
    </row>
    <row r="787" spans="1:14" x14ac:dyDescent="0.2">
      <c r="A787" s="1249"/>
      <c r="B787" s="1252"/>
      <c r="C787" s="1255"/>
      <c r="D787" s="1252"/>
      <c r="E787" s="1252"/>
      <c r="F787" s="1252"/>
      <c r="G787" s="1252"/>
      <c r="H787" s="1252"/>
      <c r="N787" s="1562"/>
    </row>
    <row r="788" spans="1:14" x14ac:dyDescent="0.2">
      <c r="A788" s="1249"/>
      <c r="B788" s="1252"/>
      <c r="C788" s="1255"/>
      <c r="D788" s="1252"/>
      <c r="E788" s="1252"/>
      <c r="F788" s="1252"/>
      <c r="G788" s="1252"/>
      <c r="H788" s="1252"/>
      <c r="N788" s="1562"/>
    </row>
    <row r="789" spans="1:14" x14ac:dyDescent="0.2">
      <c r="A789" s="1249"/>
      <c r="B789" s="1252"/>
      <c r="C789" s="1255"/>
      <c r="D789" s="1252"/>
      <c r="E789" s="1252"/>
      <c r="F789" s="1252"/>
      <c r="G789" s="1252"/>
      <c r="H789" s="1252"/>
      <c r="N789" s="1562"/>
    </row>
    <row r="790" spans="1:14" x14ac:dyDescent="0.2">
      <c r="A790" s="1249"/>
      <c r="B790" s="1252"/>
      <c r="C790" s="1255"/>
      <c r="D790" s="1252"/>
      <c r="E790" s="1252"/>
      <c r="F790" s="1252"/>
      <c r="G790" s="1252"/>
      <c r="H790" s="1252"/>
      <c r="N790" s="1562"/>
    </row>
    <row r="791" spans="1:14" x14ac:dyDescent="0.2">
      <c r="A791" s="1249"/>
      <c r="B791" s="1252"/>
      <c r="C791" s="1255"/>
      <c r="D791" s="1252"/>
      <c r="E791" s="1252"/>
      <c r="F791" s="1252"/>
      <c r="G791" s="1252"/>
      <c r="H791" s="1252"/>
      <c r="N791" s="1562"/>
    </row>
    <row r="792" spans="1:14" x14ac:dyDescent="0.2">
      <c r="A792" s="1249"/>
      <c r="B792" s="1252"/>
      <c r="C792" s="1255"/>
      <c r="D792" s="1252"/>
      <c r="E792" s="1252"/>
      <c r="F792" s="1252"/>
      <c r="G792" s="1252"/>
      <c r="H792" s="1252"/>
      <c r="N792" s="1562"/>
    </row>
    <row r="793" spans="1:14" x14ac:dyDescent="0.2">
      <c r="A793" s="1249"/>
      <c r="B793" s="1252"/>
      <c r="C793" s="1255"/>
      <c r="D793" s="1252"/>
      <c r="E793" s="1252"/>
      <c r="F793" s="1252"/>
      <c r="G793" s="1252"/>
      <c r="H793" s="1252"/>
      <c r="N793" s="1562"/>
    </row>
    <row r="794" spans="1:14" x14ac:dyDescent="0.2">
      <c r="A794" s="1249"/>
      <c r="B794" s="1252"/>
      <c r="C794" s="1255"/>
      <c r="D794" s="1252"/>
      <c r="E794" s="1252"/>
      <c r="F794" s="1252"/>
      <c r="G794" s="1252"/>
      <c r="H794" s="1252"/>
      <c r="N794" s="1562"/>
    </row>
    <row r="795" spans="1:14" x14ac:dyDescent="0.2">
      <c r="A795" s="1249"/>
      <c r="B795" s="1252"/>
      <c r="C795" s="1255"/>
      <c r="D795" s="1252"/>
      <c r="E795" s="1252"/>
      <c r="F795" s="1252"/>
      <c r="G795" s="1252"/>
      <c r="H795" s="1252"/>
      <c r="N795" s="1562"/>
    </row>
    <row r="796" spans="1:14" x14ac:dyDescent="0.2">
      <c r="A796" s="1249"/>
      <c r="B796" s="1252"/>
      <c r="C796" s="1255"/>
      <c r="D796" s="1252"/>
      <c r="E796" s="1252"/>
      <c r="F796" s="1252"/>
      <c r="G796" s="1252"/>
      <c r="H796" s="1252"/>
      <c r="N796" s="1562"/>
    </row>
    <row r="797" spans="1:14" x14ac:dyDescent="0.2">
      <c r="A797" s="1249"/>
      <c r="B797" s="1252"/>
      <c r="C797" s="1255"/>
      <c r="D797" s="1252"/>
      <c r="E797" s="1252"/>
      <c r="F797" s="1252"/>
      <c r="G797" s="1252"/>
      <c r="H797" s="1252"/>
      <c r="N797" s="1562"/>
    </row>
    <row r="798" spans="1:14" x14ac:dyDescent="0.2">
      <c r="A798" s="1249"/>
      <c r="B798" s="1252"/>
      <c r="C798" s="1255"/>
      <c r="D798" s="1252"/>
      <c r="E798" s="1252"/>
      <c r="F798" s="1252"/>
      <c r="G798" s="1252"/>
      <c r="H798" s="1252"/>
      <c r="N798" s="1562"/>
    </row>
    <row r="799" spans="1:14" x14ac:dyDescent="0.2">
      <c r="A799" s="1249"/>
      <c r="B799" s="1252"/>
      <c r="C799" s="1255"/>
      <c r="D799" s="1252"/>
      <c r="E799" s="1252"/>
      <c r="F799" s="1252"/>
      <c r="G799" s="1252"/>
      <c r="H799" s="1252"/>
      <c r="N799" s="1562"/>
    </row>
    <row r="800" spans="1:14" x14ac:dyDescent="0.2">
      <c r="A800" s="1249"/>
      <c r="B800" s="1252"/>
      <c r="C800" s="1255"/>
      <c r="D800" s="1252"/>
      <c r="E800" s="1252"/>
      <c r="F800" s="1252"/>
      <c r="G800" s="1252"/>
      <c r="H800" s="1252"/>
      <c r="N800" s="1562"/>
    </row>
    <row r="801" spans="1:14" x14ac:dyDescent="0.2">
      <c r="A801" s="1249"/>
      <c r="B801" s="1252"/>
      <c r="C801" s="1255"/>
      <c r="D801" s="1252"/>
      <c r="E801" s="1252"/>
      <c r="F801" s="1252"/>
      <c r="G801" s="1252"/>
      <c r="H801" s="1252"/>
      <c r="N801" s="1562"/>
    </row>
    <row r="802" spans="1:14" x14ac:dyDescent="0.2">
      <c r="A802" s="1249"/>
      <c r="B802" s="1252"/>
      <c r="C802" s="1255"/>
      <c r="D802" s="1252"/>
      <c r="E802" s="1252"/>
      <c r="F802" s="1252"/>
      <c r="G802" s="1252"/>
      <c r="H802" s="1252"/>
      <c r="N802" s="1562"/>
    </row>
    <row r="803" spans="1:14" x14ac:dyDescent="0.2">
      <c r="A803" s="1249"/>
      <c r="B803" s="1252"/>
      <c r="C803" s="1255"/>
      <c r="D803" s="1252"/>
      <c r="E803" s="1252"/>
      <c r="F803" s="1252"/>
      <c r="G803" s="1252"/>
      <c r="H803" s="1252"/>
      <c r="N803" s="1562"/>
    </row>
    <row r="804" spans="1:14" x14ac:dyDescent="0.2">
      <c r="A804" s="1249"/>
      <c r="B804" s="1252"/>
      <c r="C804" s="1255"/>
      <c r="D804" s="1252"/>
      <c r="E804" s="1252"/>
      <c r="F804" s="1252"/>
      <c r="G804" s="1252"/>
      <c r="H804" s="1252"/>
      <c r="N804" s="1562"/>
    </row>
    <row r="805" spans="1:14" x14ac:dyDescent="0.2">
      <c r="A805" s="1249"/>
      <c r="B805" s="1252"/>
      <c r="C805" s="1255"/>
      <c r="D805" s="1252"/>
      <c r="E805" s="1252"/>
      <c r="F805" s="1252"/>
      <c r="G805" s="1252"/>
      <c r="H805" s="1252"/>
      <c r="N805" s="1562"/>
    </row>
    <row r="806" spans="1:14" x14ac:dyDescent="0.2">
      <c r="A806" s="1249"/>
      <c r="B806" s="1252"/>
      <c r="C806" s="1255"/>
      <c r="D806" s="1252"/>
      <c r="E806" s="1252"/>
      <c r="F806" s="1252"/>
      <c r="G806" s="1252"/>
      <c r="H806" s="1252"/>
      <c r="N806" s="1562"/>
    </row>
    <row r="807" spans="1:14" x14ac:dyDescent="0.2">
      <c r="A807" s="1249"/>
      <c r="B807" s="1252"/>
      <c r="C807" s="1255"/>
      <c r="D807" s="1252"/>
      <c r="E807" s="1252"/>
      <c r="F807" s="1252"/>
      <c r="G807" s="1252"/>
      <c r="H807" s="1252"/>
      <c r="N807" s="1562"/>
    </row>
    <row r="808" spans="1:14" x14ac:dyDescent="0.2">
      <c r="A808" s="1249"/>
      <c r="B808" s="1252"/>
      <c r="C808" s="1255"/>
      <c r="D808" s="1252"/>
      <c r="E808" s="1252"/>
      <c r="F808" s="1252"/>
      <c r="G808" s="1252"/>
      <c r="H808" s="1252"/>
      <c r="N808" s="1562"/>
    </row>
    <row r="809" spans="1:14" x14ac:dyDescent="0.2">
      <c r="A809" s="1249"/>
      <c r="B809" s="1252"/>
      <c r="C809" s="1255"/>
      <c r="D809" s="1252"/>
      <c r="E809" s="1252"/>
      <c r="F809" s="1252"/>
      <c r="G809" s="1252"/>
      <c r="H809" s="1252"/>
      <c r="N809" s="1562"/>
    </row>
    <row r="810" spans="1:14" x14ac:dyDescent="0.2">
      <c r="A810" s="1249"/>
      <c r="B810" s="1252"/>
      <c r="C810" s="1255"/>
      <c r="D810" s="1252"/>
      <c r="E810" s="1252"/>
      <c r="F810" s="1252"/>
      <c r="G810" s="1252"/>
      <c r="H810" s="1252"/>
      <c r="N810" s="1562"/>
    </row>
    <row r="811" spans="1:14" x14ac:dyDescent="0.2">
      <c r="A811" s="1249"/>
      <c r="B811" s="1252"/>
      <c r="C811" s="1255"/>
      <c r="D811" s="1252"/>
      <c r="E811" s="1252"/>
      <c r="F811" s="1252"/>
      <c r="G811" s="1252"/>
      <c r="H811" s="1252"/>
      <c r="N811" s="1562"/>
    </row>
    <row r="812" spans="1:14" x14ac:dyDescent="0.2">
      <c r="A812" s="1249"/>
      <c r="B812" s="1252"/>
      <c r="C812" s="1255"/>
      <c r="D812" s="1252"/>
      <c r="E812" s="1252"/>
      <c r="F812" s="1252"/>
      <c r="G812" s="1252"/>
      <c r="H812" s="1252"/>
      <c r="N812" s="1562"/>
    </row>
    <row r="813" spans="1:14" x14ac:dyDescent="0.2">
      <c r="A813" s="1249"/>
      <c r="B813" s="1252"/>
      <c r="C813" s="1255"/>
      <c r="D813" s="1252"/>
      <c r="E813" s="1252"/>
      <c r="F813" s="1252"/>
      <c r="G813" s="1252"/>
      <c r="H813" s="1252"/>
      <c r="N813" s="1562"/>
    </row>
    <row r="814" spans="1:14" x14ac:dyDescent="0.2">
      <c r="A814" s="1249"/>
      <c r="B814" s="1252"/>
      <c r="C814" s="1255"/>
      <c r="D814" s="1252"/>
      <c r="E814" s="1252"/>
      <c r="F814" s="1252"/>
      <c r="G814" s="1252"/>
      <c r="H814" s="1252"/>
      <c r="N814" s="1562"/>
    </row>
    <row r="815" spans="1:14" x14ac:dyDescent="0.2">
      <c r="A815" s="1249"/>
      <c r="B815" s="1252"/>
      <c r="C815" s="1255"/>
      <c r="D815" s="1252"/>
      <c r="E815" s="1252"/>
      <c r="F815" s="1252"/>
      <c r="G815" s="1252"/>
      <c r="H815" s="1252"/>
      <c r="N815" s="1562"/>
    </row>
    <row r="816" spans="1:14" x14ac:dyDescent="0.2">
      <c r="A816" s="1249"/>
      <c r="B816" s="1252"/>
      <c r="C816" s="1255"/>
      <c r="D816" s="1252"/>
      <c r="E816" s="1252"/>
      <c r="F816" s="1252"/>
      <c r="G816" s="1252"/>
      <c r="H816" s="1252"/>
      <c r="N816" s="1562"/>
    </row>
    <row r="817" spans="1:14" x14ac:dyDescent="0.2">
      <c r="A817" s="1249"/>
      <c r="B817" s="1252"/>
      <c r="C817" s="1255"/>
      <c r="D817" s="1252"/>
      <c r="E817" s="1252"/>
      <c r="F817" s="1252"/>
      <c r="G817" s="1252"/>
      <c r="H817" s="1252"/>
      <c r="N817" s="1562"/>
    </row>
    <row r="818" spans="1:14" x14ac:dyDescent="0.2">
      <c r="A818" s="1249"/>
      <c r="B818" s="1252"/>
      <c r="C818" s="1255"/>
      <c r="D818" s="1252"/>
      <c r="E818" s="1252"/>
      <c r="F818" s="1252"/>
      <c r="G818" s="1252"/>
      <c r="H818" s="1252"/>
      <c r="N818" s="1562"/>
    </row>
    <row r="819" spans="1:14" x14ac:dyDescent="0.2">
      <c r="A819" s="1249"/>
      <c r="B819" s="1252"/>
      <c r="C819" s="1255"/>
      <c r="D819" s="1252"/>
      <c r="E819" s="1252"/>
      <c r="F819" s="1252"/>
      <c r="G819" s="1252"/>
      <c r="H819" s="1252"/>
      <c r="N819" s="1562"/>
    </row>
    <row r="820" spans="1:14" x14ac:dyDescent="0.2">
      <c r="A820" s="1249"/>
      <c r="B820" s="1252"/>
      <c r="C820" s="1255"/>
      <c r="D820" s="1252"/>
      <c r="E820" s="1252"/>
      <c r="F820" s="1252"/>
      <c r="G820" s="1252"/>
      <c r="H820" s="1252"/>
      <c r="N820" s="1562"/>
    </row>
    <row r="821" spans="1:14" x14ac:dyDescent="0.2">
      <c r="A821" s="1249"/>
      <c r="B821" s="1252"/>
      <c r="C821" s="1255"/>
      <c r="D821" s="1252"/>
      <c r="E821" s="1252"/>
      <c r="F821" s="1252"/>
      <c r="G821" s="1252"/>
      <c r="H821" s="1252"/>
      <c r="N821" s="1562"/>
    </row>
    <row r="822" spans="1:14" x14ac:dyDescent="0.2">
      <c r="A822" s="1249"/>
      <c r="B822" s="1252"/>
      <c r="C822" s="1255"/>
      <c r="D822" s="1252"/>
      <c r="E822" s="1252"/>
      <c r="F822" s="1252"/>
      <c r="G822" s="1252"/>
      <c r="H822" s="1252"/>
      <c r="N822" s="1562"/>
    </row>
    <row r="823" spans="1:14" x14ac:dyDescent="0.2">
      <c r="A823" s="1249"/>
      <c r="B823" s="1252"/>
      <c r="C823" s="1255"/>
      <c r="D823" s="1252"/>
      <c r="E823" s="1252"/>
      <c r="F823" s="1252"/>
      <c r="G823" s="1252"/>
      <c r="H823" s="1252"/>
      <c r="N823" s="1562"/>
    </row>
    <row r="824" spans="1:14" x14ac:dyDescent="0.2">
      <c r="A824" s="1249"/>
      <c r="B824" s="1252"/>
      <c r="C824" s="1255"/>
      <c r="D824" s="1252"/>
      <c r="E824" s="1252"/>
      <c r="F824" s="1252"/>
      <c r="G824" s="1252"/>
      <c r="H824" s="1252"/>
      <c r="N824" s="1562"/>
    </row>
    <row r="825" spans="1:14" x14ac:dyDescent="0.2">
      <c r="A825" s="1249"/>
      <c r="B825" s="1252"/>
      <c r="C825" s="1255"/>
      <c r="D825" s="1252"/>
      <c r="E825" s="1252"/>
      <c r="F825" s="1252"/>
      <c r="G825" s="1252"/>
      <c r="H825" s="1252"/>
      <c r="N825" s="1562"/>
    </row>
    <row r="826" spans="1:14" x14ac:dyDescent="0.2">
      <c r="A826" s="1249"/>
      <c r="B826" s="1252"/>
      <c r="C826" s="1255"/>
      <c r="D826" s="1252"/>
      <c r="E826" s="1252"/>
      <c r="F826" s="1252"/>
      <c r="G826" s="1252"/>
      <c r="H826" s="1252"/>
      <c r="N826" s="1562"/>
    </row>
    <row r="827" spans="1:14" x14ac:dyDescent="0.2">
      <c r="A827" s="1249"/>
      <c r="B827" s="1252"/>
      <c r="C827" s="1255"/>
      <c r="D827" s="1252"/>
      <c r="E827" s="1252"/>
      <c r="F827" s="1252"/>
      <c r="G827" s="1252"/>
      <c r="H827" s="1252"/>
      <c r="N827" s="1562"/>
    </row>
    <row r="828" spans="1:14" x14ac:dyDescent="0.2">
      <c r="A828" s="1249"/>
      <c r="B828" s="1252"/>
      <c r="C828" s="1255"/>
      <c r="D828" s="1252"/>
      <c r="E828" s="1252"/>
      <c r="F828" s="1252"/>
      <c r="G828" s="1252"/>
      <c r="H828" s="1252"/>
      <c r="N828" s="1562"/>
    </row>
    <row r="829" spans="1:14" x14ac:dyDescent="0.2">
      <c r="A829" s="1249"/>
      <c r="B829" s="1252"/>
      <c r="C829" s="1255"/>
      <c r="D829" s="1252"/>
      <c r="E829" s="1252"/>
      <c r="F829" s="1252"/>
      <c r="G829" s="1252"/>
      <c r="H829" s="1252"/>
      <c r="N829" s="1562"/>
    </row>
    <row r="830" spans="1:14" x14ac:dyDescent="0.2">
      <c r="A830" s="1249"/>
      <c r="B830" s="1252"/>
      <c r="C830" s="1255"/>
      <c r="D830" s="1252"/>
      <c r="E830" s="1252"/>
      <c r="F830" s="1252"/>
      <c r="G830" s="1252"/>
      <c r="H830" s="1252"/>
      <c r="N830" s="1562"/>
    </row>
    <row r="831" spans="1:14" x14ac:dyDescent="0.2">
      <c r="A831" s="1249"/>
      <c r="B831" s="1252"/>
      <c r="C831" s="1255"/>
      <c r="D831" s="1252"/>
      <c r="E831" s="1252"/>
      <c r="F831" s="1252"/>
      <c r="G831" s="1252"/>
      <c r="H831" s="1252"/>
      <c r="N831" s="1562"/>
    </row>
    <row r="832" spans="1:14" x14ac:dyDescent="0.2">
      <c r="A832" s="1249"/>
      <c r="B832" s="1252"/>
      <c r="C832" s="1255"/>
      <c r="D832" s="1252"/>
      <c r="E832" s="1252"/>
      <c r="F832" s="1252"/>
      <c r="G832" s="1252"/>
      <c r="H832" s="1252"/>
      <c r="N832" s="1562"/>
    </row>
    <row r="833" spans="1:14" x14ac:dyDescent="0.2">
      <c r="A833" s="1249"/>
      <c r="B833" s="1252"/>
      <c r="C833" s="1255"/>
      <c r="D833" s="1252"/>
      <c r="E833" s="1252"/>
      <c r="F833" s="1252"/>
      <c r="G833" s="1252"/>
      <c r="H833" s="1252"/>
      <c r="N833" s="1562"/>
    </row>
    <row r="834" spans="1:14" x14ac:dyDescent="0.2">
      <c r="A834" s="1249"/>
      <c r="B834" s="1252"/>
      <c r="C834" s="1255"/>
      <c r="D834" s="1252"/>
      <c r="E834" s="1252"/>
      <c r="F834" s="1252"/>
      <c r="G834" s="1252"/>
      <c r="H834" s="1252"/>
      <c r="N834" s="1562"/>
    </row>
    <row r="835" spans="1:14" x14ac:dyDescent="0.2">
      <c r="A835" s="1249"/>
      <c r="B835" s="1252"/>
      <c r="C835" s="1255"/>
      <c r="D835" s="1252"/>
      <c r="E835" s="1252"/>
      <c r="F835" s="1252"/>
      <c r="G835" s="1252"/>
      <c r="H835" s="1252"/>
      <c r="N835" s="1562"/>
    </row>
    <row r="836" spans="1:14" x14ac:dyDescent="0.2">
      <c r="A836" s="1249"/>
      <c r="B836" s="1252"/>
      <c r="C836" s="1255"/>
      <c r="D836" s="1252"/>
      <c r="E836" s="1252"/>
      <c r="F836" s="1252"/>
      <c r="G836" s="1252"/>
      <c r="H836" s="1252"/>
      <c r="N836" s="1562"/>
    </row>
    <row r="837" spans="1:14" x14ac:dyDescent="0.2">
      <c r="A837" s="1249"/>
      <c r="B837" s="1252"/>
      <c r="C837" s="1255"/>
      <c r="D837" s="1252"/>
      <c r="E837" s="1252"/>
      <c r="F837" s="1252"/>
      <c r="G837" s="1252"/>
      <c r="H837" s="1252"/>
      <c r="N837" s="1562"/>
    </row>
    <row r="838" spans="1:14" x14ac:dyDescent="0.2">
      <c r="A838" s="1249"/>
      <c r="B838" s="1252"/>
      <c r="C838" s="1255"/>
      <c r="D838" s="1252"/>
      <c r="E838" s="1252"/>
      <c r="F838" s="1252"/>
      <c r="G838" s="1252"/>
      <c r="H838" s="1252"/>
      <c r="N838" s="1562"/>
    </row>
    <row r="839" spans="1:14" x14ac:dyDescent="0.2">
      <c r="A839" s="1249"/>
      <c r="B839" s="1252"/>
      <c r="C839" s="1255"/>
      <c r="D839" s="1252"/>
      <c r="E839" s="1252"/>
      <c r="F839" s="1252"/>
      <c r="G839" s="1252"/>
      <c r="H839" s="1252"/>
      <c r="N839" s="1562"/>
    </row>
    <row r="840" spans="1:14" x14ac:dyDescent="0.2">
      <c r="A840" s="1249"/>
      <c r="B840" s="1252"/>
      <c r="C840" s="1255"/>
      <c r="D840" s="1252"/>
      <c r="E840" s="1252"/>
      <c r="F840" s="1252"/>
      <c r="G840" s="1252"/>
      <c r="H840" s="1252"/>
      <c r="N840" s="1562"/>
    </row>
    <row r="841" spans="1:14" x14ac:dyDescent="0.2">
      <c r="A841" s="1249"/>
      <c r="B841" s="1252"/>
      <c r="C841" s="1255"/>
      <c r="D841" s="1252"/>
      <c r="E841" s="1252"/>
      <c r="F841" s="1252"/>
      <c r="G841" s="1252"/>
      <c r="H841" s="1252"/>
      <c r="N841" s="1562"/>
    </row>
    <row r="842" spans="1:14" x14ac:dyDescent="0.2">
      <c r="A842" s="1249"/>
      <c r="B842" s="1252"/>
      <c r="C842" s="1255"/>
      <c r="D842" s="1252"/>
      <c r="E842" s="1252"/>
      <c r="F842" s="1252"/>
      <c r="G842" s="1252"/>
      <c r="H842" s="1252"/>
      <c r="N842" s="1562"/>
    </row>
    <row r="843" spans="1:14" x14ac:dyDescent="0.2">
      <c r="A843" s="1249"/>
      <c r="B843" s="1252"/>
      <c r="C843" s="1255"/>
      <c r="D843" s="1252"/>
      <c r="E843" s="1252"/>
      <c r="F843" s="1252"/>
      <c r="G843" s="1252"/>
      <c r="H843" s="1252"/>
      <c r="N843" s="1562"/>
    </row>
    <row r="844" spans="1:14" x14ac:dyDescent="0.2">
      <c r="A844" s="1249"/>
      <c r="B844" s="1252"/>
      <c r="C844" s="1255"/>
      <c r="D844" s="1252"/>
      <c r="E844" s="1252"/>
      <c r="F844" s="1252"/>
      <c r="G844" s="1252"/>
      <c r="H844" s="1252"/>
      <c r="N844" s="1562"/>
    </row>
    <row r="845" spans="1:14" x14ac:dyDescent="0.2">
      <c r="A845" s="1249"/>
      <c r="B845" s="1252"/>
      <c r="C845" s="1255"/>
      <c r="D845" s="1252"/>
      <c r="E845" s="1252"/>
      <c r="F845" s="1252"/>
      <c r="G845" s="1252"/>
      <c r="H845" s="1252"/>
      <c r="N845" s="1562"/>
    </row>
    <row r="846" spans="1:14" x14ac:dyDescent="0.2">
      <c r="A846" s="1249"/>
      <c r="B846" s="1252"/>
      <c r="C846" s="1255"/>
      <c r="D846" s="1252"/>
      <c r="E846" s="1252"/>
      <c r="F846" s="1252"/>
      <c r="G846" s="1252"/>
      <c r="H846" s="1252"/>
      <c r="N846" s="1562"/>
    </row>
    <row r="847" spans="1:14" x14ac:dyDescent="0.2">
      <c r="A847" s="1249"/>
      <c r="B847" s="1252"/>
      <c r="C847" s="1255"/>
      <c r="D847" s="1252"/>
      <c r="E847" s="1252"/>
      <c r="F847" s="1252"/>
      <c r="G847" s="1252"/>
      <c r="H847" s="1252"/>
      <c r="N847" s="1562"/>
    </row>
    <row r="848" spans="1:14" x14ac:dyDescent="0.2">
      <c r="A848" s="1249"/>
      <c r="B848" s="1252"/>
      <c r="C848" s="1255"/>
      <c r="D848" s="1252"/>
      <c r="E848" s="1252"/>
      <c r="F848" s="1252"/>
      <c r="G848" s="1252"/>
      <c r="H848" s="1252"/>
      <c r="N848" s="1562"/>
    </row>
    <row r="849" spans="1:14" x14ac:dyDescent="0.2">
      <c r="A849" s="1249"/>
      <c r="B849" s="1252"/>
      <c r="C849" s="1255"/>
      <c r="D849" s="1252"/>
      <c r="E849" s="1252"/>
      <c r="F849" s="1252"/>
      <c r="G849" s="1252"/>
      <c r="H849" s="1252"/>
      <c r="N849" s="1562"/>
    </row>
    <row r="850" spans="1:14" x14ac:dyDescent="0.2">
      <c r="A850" s="1249"/>
      <c r="B850" s="1252"/>
      <c r="C850" s="1255"/>
      <c r="D850" s="1252"/>
      <c r="E850" s="1252"/>
      <c r="F850" s="1252"/>
      <c r="G850" s="1252"/>
      <c r="H850" s="1252"/>
      <c r="N850" s="1562"/>
    </row>
    <row r="851" spans="1:14" x14ac:dyDescent="0.2">
      <c r="A851" s="1249"/>
      <c r="B851" s="1252"/>
      <c r="C851" s="1255"/>
      <c r="D851" s="1252"/>
      <c r="E851" s="1252"/>
      <c r="F851" s="1252"/>
      <c r="G851" s="1252"/>
      <c r="H851" s="1252"/>
      <c r="N851" s="1562"/>
    </row>
    <row r="852" spans="1:14" x14ac:dyDescent="0.2">
      <c r="A852" s="1249"/>
      <c r="B852" s="1252"/>
      <c r="C852" s="1255"/>
      <c r="D852" s="1252"/>
      <c r="E852" s="1252"/>
      <c r="F852" s="1252"/>
      <c r="G852" s="1252"/>
      <c r="H852" s="1252"/>
      <c r="N852" s="1562"/>
    </row>
    <row r="853" spans="1:14" x14ac:dyDescent="0.2">
      <c r="A853" s="1249"/>
      <c r="B853" s="1252"/>
      <c r="C853" s="1255"/>
      <c r="D853" s="1252"/>
      <c r="E853" s="1252"/>
      <c r="F853" s="1252"/>
      <c r="G853" s="1252"/>
      <c r="H853" s="1252"/>
      <c r="N853" s="1562"/>
    </row>
    <row r="854" spans="1:14" x14ac:dyDescent="0.2">
      <c r="A854" s="1249"/>
      <c r="B854" s="1252"/>
      <c r="C854" s="1255"/>
      <c r="D854" s="1252"/>
      <c r="E854" s="1252"/>
      <c r="F854" s="1252"/>
      <c r="G854" s="1252"/>
      <c r="H854" s="1252"/>
      <c r="N854" s="1562"/>
    </row>
    <row r="855" spans="1:14" x14ac:dyDescent="0.2">
      <c r="A855" s="1249"/>
      <c r="B855" s="1252"/>
      <c r="C855" s="1255"/>
      <c r="D855" s="1252"/>
      <c r="E855" s="1252"/>
      <c r="F855" s="1252"/>
      <c r="G855" s="1252"/>
      <c r="H855" s="1252"/>
      <c r="N855" s="1562"/>
    </row>
    <row r="856" spans="1:14" x14ac:dyDescent="0.2">
      <c r="A856" s="1249"/>
      <c r="B856" s="1252"/>
      <c r="C856" s="1255"/>
      <c r="D856" s="1252"/>
      <c r="E856" s="1252"/>
      <c r="F856" s="1252"/>
      <c r="G856" s="1252"/>
      <c r="H856" s="1252"/>
      <c r="N856" s="1562"/>
    </row>
    <row r="857" spans="1:14" x14ac:dyDescent="0.2">
      <c r="A857" s="1249"/>
      <c r="B857" s="1252"/>
      <c r="C857" s="1255"/>
      <c r="D857" s="1252"/>
      <c r="E857" s="1252"/>
      <c r="F857" s="1252"/>
      <c r="G857" s="1252"/>
      <c r="H857" s="1252"/>
      <c r="N857" s="1562"/>
    </row>
    <row r="858" spans="1:14" x14ac:dyDescent="0.2">
      <c r="A858" s="1249"/>
      <c r="B858" s="1252"/>
      <c r="C858" s="1255"/>
      <c r="D858" s="1252"/>
      <c r="E858" s="1252"/>
      <c r="F858" s="1252"/>
      <c r="G858" s="1252"/>
      <c r="H858" s="1252"/>
      <c r="N858" s="1562"/>
    </row>
    <row r="859" spans="1:14" x14ac:dyDescent="0.2">
      <c r="A859" s="1249"/>
      <c r="B859" s="1252"/>
      <c r="C859" s="1255"/>
      <c r="D859" s="1252"/>
      <c r="E859" s="1252"/>
      <c r="F859" s="1252"/>
      <c r="G859" s="1252"/>
      <c r="H859" s="1252"/>
      <c r="N859" s="1562"/>
    </row>
    <row r="860" spans="1:14" x14ac:dyDescent="0.2">
      <c r="A860" s="1249"/>
      <c r="B860" s="1252"/>
      <c r="C860" s="1255"/>
      <c r="D860" s="1252"/>
      <c r="E860" s="1252"/>
      <c r="F860" s="1252"/>
      <c r="G860" s="1252"/>
      <c r="H860" s="1252"/>
      <c r="N860" s="1562"/>
    </row>
    <row r="861" spans="1:14" x14ac:dyDescent="0.2">
      <c r="A861" s="1249"/>
      <c r="B861" s="1252"/>
      <c r="C861" s="1255"/>
      <c r="D861" s="1252"/>
      <c r="E861" s="1252"/>
      <c r="F861" s="1252"/>
      <c r="G861" s="1252"/>
      <c r="H861" s="1252"/>
      <c r="N861" s="1562"/>
    </row>
    <row r="862" spans="1:14" x14ac:dyDescent="0.2">
      <c r="A862" s="1249"/>
      <c r="B862" s="1252"/>
      <c r="C862" s="1255"/>
      <c r="D862" s="1252"/>
      <c r="E862" s="1252"/>
      <c r="F862" s="1252"/>
      <c r="G862" s="1252"/>
      <c r="H862" s="1252"/>
      <c r="N862" s="1562"/>
    </row>
    <row r="863" spans="1:14" x14ac:dyDescent="0.2">
      <c r="A863" s="1249"/>
      <c r="B863" s="1252"/>
      <c r="C863" s="1255"/>
      <c r="D863" s="1252"/>
      <c r="E863" s="1252"/>
      <c r="F863" s="1252"/>
      <c r="G863" s="1252"/>
      <c r="H863" s="1252"/>
      <c r="N863" s="1562"/>
    </row>
    <row r="864" spans="1:14" x14ac:dyDescent="0.2">
      <c r="A864" s="1249"/>
      <c r="B864" s="1252"/>
      <c r="C864" s="1255"/>
      <c r="D864" s="1252"/>
      <c r="E864" s="1252"/>
      <c r="F864" s="1252"/>
      <c r="G864" s="1252"/>
      <c r="H864" s="1252"/>
      <c r="N864" s="1562"/>
    </row>
    <row r="865" spans="1:14" x14ac:dyDescent="0.2">
      <c r="A865" s="1249"/>
      <c r="B865" s="1252"/>
      <c r="C865" s="1255"/>
      <c r="D865" s="1252"/>
      <c r="E865" s="1252"/>
      <c r="F865" s="1252"/>
      <c r="G865" s="1252"/>
      <c r="H865" s="1252"/>
      <c r="N865" s="1562"/>
    </row>
    <row r="866" spans="1:14" x14ac:dyDescent="0.2">
      <c r="A866" s="1249"/>
      <c r="B866" s="1252"/>
      <c r="C866" s="1255"/>
      <c r="D866" s="1252"/>
      <c r="E866" s="1252"/>
      <c r="F866" s="1252"/>
      <c r="G866" s="1252"/>
      <c r="H866" s="1252"/>
      <c r="N866" s="1562"/>
    </row>
    <row r="867" spans="1:14" x14ac:dyDescent="0.2">
      <c r="A867" s="1249"/>
      <c r="B867" s="1252"/>
      <c r="C867" s="1255"/>
      <c r="D867" s="1252"/>
      <c r="E867" s="1252"/>
      <c r="F867" s="1252"/>
      <c r="G867" s="1252"/>
      <c r="H867" s="1252"/>
      <c r="N867" s="1562"/>
    </row>
    <row r="868" spans="1:14" x14ac:dyDescent="0.2">
      <c r="A868" s="1249"/>
      <c r="B868" s="1252"/>
      <c r="C868" s="1255"/>
      <c r="D868" s="1252"/>
      <c r="E868" s="1252"/>
      <c r="F868" s="1252"/>
      <c r="G868" s="1252"/>
      <c r="H868" s="1252"/>
      <c r="N868" s="1562"/>
    </row>
    <row r="869" spans="1:14" x14ac:dyDescent="0.2">
      <c r="A869" s="1249"/>
      <c r="B869" s="1252"/>
      <c r="C869" s="1255"/>
      <c r="D869" s="1252"/>
      <c r="E869" s="1252"/>
      <c r="F869" s="1252"/>
      <c r="G869" s="1252"/>
      <c r="H869" s="1252"/>
      <c r="N869" s="1562"/>
    </row>
    <row r="870" spans="1:14" x14ac:dyDescent="0.2">
      <c r="A870" s="1249"/>
      <c r="B870" s="1252"/>
      <c r="C870" s="1255"/>
      <c r="D870" s="1252"/>
      <c r="E870" s="1252"/>
      <c r="F870" s="1252"/>
      <c r="G870" s="1252"/>
      <c r="H870" s="1252"/>
      <c r="N870" s="1562"/>
    </row>
    <row r="871" spans="1:14" x14ac:dyDescent="0.2">
      <c r="A871" s="1249"/>
      <c r="B871" s="1252"/>
      <c r="C871" s="1255"/>
      <c r="D871" s="1252"/>
      <c r="E871" s="1252"/>
      <c r="F871" s="1252"/>
      <c r="G871" s="1252"/>
      <c r="H871" s="1252"/>
      <c r="N871" s="1562"/>
    </row>
    <row r="872" spans="1:14" x14ac:dyDescent="0.2">
      <c r="A872" s="1249"/>
      <c r="B872" s="1252"/>
      <c r="C872" s="1255"/>
      <c r="D872" s="1252"/>
      <c r="E872" s="1252"/>
      <c r="F872" s="1252"/>
      <c r="G872" s="1252"/>
      <c r="H872" s="1252"/>
      <c r="N872" s="1562"/>
    </row>
    <row r="873" spans="1:14" x14ac:dyDescent="0.2">
      <c r="A873" s="1249"/>
      <c r="B873" s="1252"/>
      <c r="C873" s="1255"/>
      <c r="D873" s="1252"/>
      <c r="E873" s="1252"/>
      <c r="F873" s="1252"/>
      <c r="G873" s="1252"/>
      <c r="H873" s="1252"/>
      <c r="N873" s="1562"/>
    </row>
    <row r="874" spans="1:14" x14ac:dyDescent="0.2">
      <c r="A874" s="1249"/>
      <c r="B874" s="1252"/>
      <c r="C874" s="1255"/>
      <c r="D874" s="1252"/>
      <c r="E874" s="1252"/>
      <c r="F874" s="1252"/>
      <c r="G874" s="1252"/>
      <c r="H874" s="1252"/>
      <c r="N874" s="1562"/>
    </row>
    <row r="875" spans="1:14" x14ac:dyDescent="0.2">
      <c r="A875" s="1249"/>
      <c r="B875" s="1252"/>
      <c r="C875" s="1255"/>
      <c r="D875" s="1252"/>
      <c r="E875" s="1252"/>
      <c r="F875" s="1252"/>
      <c r="G875" s="1252"/>
      <c r="H875" s="1252"/>
      <c r="N875" s="1562"/>
    </row>
    <row r="876" spans="1:14" x14ac:dyDescent="0.2">
      <c r="A876" s="1249"/>
      <c r="B876" s="1252"/>
      <c r="C876" s="1255"/>
      <c r="D876" s="1252"/>
      <c r="E876" s="1252"/>
      <c r="F876" s="1252"/>
      <c r="G876" s="1252"/>
      <c r="H876" s="1252"/>
      <c r="N876" s="1562"/>
    </row>
    <row r="877" spans="1:14" x14ac:dyDescent="0.2">
      <c r="A877" s="1249"/>
      <c r="B877" s="1252"/>
      <c r="C877" s="1255"/>
      <c r="D877" s="1252"/>
      <c r="E877" s="1252"/>
      <c r="F877" s="1252"/>
      <c r="G877" s="1252"/>
      <c r="H877" s="1252"/>
      <c r="N877" s="1562"/>
    </row>
    <row r="878" spans="1:14" x14ac:dyDescent="0.2">
      <c r="A878" s="1249"/>
      <c r="B878" s="1252"/>
      <c r="C878" s="1255"/>
      <c r="D878" s="1252"/>
      <c r="E878" s="1252"/>
      <c r="F878" s="1252"/>
      <c r="G878" s="1252"/>
      <c r="H878" s="1252"/>
      <c r="N878" s="1562"/>
    </row>
    <row r="879" spans="1:14" x14ac:dyDescent="0.2">
      <c r="A879" s="1249"/>
      <c r="B879" s="1252"/>
      <c r="C879" s="1255"/>
      <c r="D879" s="1252"/>
      <c r="E879" s="1252"/>
      <c r="F879" s="1252"/>
      <c r="G879" s="1252"/>
      <c r="H879" s="1252"/>
      <c r="N879" s="1562"/>
    </row>
    <row r="880" spans="1:14" x14ac:dyDescent="0.2">
      <c r="A880" s="1249"/>
      <c r="B880" s="1252"/>
      <c r="C880" s="1255"/>
      <c r="D880" s="1252"/>
      <c r="E880" s="1252"/>
      <c r="F880" s="1252"/>
      <c r="G880" s="1252"/>
      <c r="H880" s="1252"/>
      <c r="N880" s="1562"/>
    </row>
    <row r="881" spans="1:14" x14ac:dyDescent="0.2">
      <c r="A881" s="1249"/>
      <c r="B881" s="1252"/>
      <c r="C881" s="1255"/>
      <c r="D881" s="1252"/>
      <c r="E881" s="1252"/>
      <c r="F881" s="1252"/>
      <c r="G881" s="1252"/>
      <c r="H881" s="1252"/>
      <c r="N881" s="1562"/>
    </row>
    <row r="882" spans="1:14" x14ac:dyDescent="0.2">
      <c r="A882" s="1249"/>
      <c r="B882" s="1252"/>
      <c r="C882" s="1255"/>
      <c r="D882" s="1252"/>
      <c r="E882" s="1252"/>
      <c r="F882" s="1252"/>
      <c r="G882" s="1252"/>
      <c r="H882" s="1252"/>
      <c r="N882" s="1562"/>
    </row>
    <row r="883" spans="1:14" x14ac:dyDescent="0.2">
      <c r="A883" s="1249"/>
      <c r="B883" s="1252"/>
      <c r="C883" s="1255"/>
      <c r="D883" s="1252"/>
      <c r="E883" s="1252"/>
      <c r="F883" s="1252"/>
      <c r="G883" s="1252"/>
      <c r="H883" s="1252"/>
      <c r="N883" s="1562"/>
    </row>
    <row r="884" spans="1:14" x14ac:dyDescent="0.2">
      <c r="A884" s="1249"/>
      <c r="B884" s="1252"/>
      <c r="C884" s="1255"/>
      <c r="D884" s="1252"/>
      <c r="E884" s="1252"/>
      <c r="F884" s="1252"/>
      <c r="G884" s="1252"/>
      <c r="H884" s="1252"/>
      <c r="N884" s="1562"/>
    </row>
    <row r="885" spans="1:14" x14ac:dyDescent="0.2">
      <c r="A885" s="1249"/>
      <c r="B885" s="1252"/>
      <c r="C885" s="1255"/>
      <c r="D885" s="1252"/>
      <c r="E885" s="1252"/>
      <c r="F885" s="1252"/>
      <c r="G885" s="1252"/>
      <c r="H885" s="1252"/>
      <c r="N885" s="1562"/>
    </row>
    <row r="886" spans="1:14" x14ac:dyDescent="0.2">
      <c r="A886" s="1249"/>
      <c r="B886" s="1252"/>
      <c r="C886" s="1255"/>
      <c r="D886" s="1252"/>
      <c r="E886" s="1252"/>
      <c r="F886" s="1252"/>
      <c r="G886" s="1252"/>
      <c r="H886" s="1252"/>
      <c r="N886" s="1562"/>
    </row>
    <row r="887" spans="1:14" x14ac:dyDescent="0.2">
      <c r="A887" s="1249"/>
      <c r="B887" s="1252"/>
      <c r="C887" s="1255"/>
      <c r="D887" s="1252"/>
      <c r="E887" s="1252"/>
      <c r="F887" s="1252"/>
      <c r="G887" s="1252"/>
      <c r="H887" s="1252"/>
      <c r="N887" s="1562"/>
    </row>
    <row r="888" spans="1:14" x14ac:dyDescent="0.2">
      <c r="A888" s="1249"/>
      <c r="B888" s="1252"/>
      <c r="C888" s="1255"/>
      <c r="D888" s="1252"/>
      <c r="E888" s="1252"/>
      <c r="F888" s="1252"/>
      <c r="G888" s="1252"/>
      <c r="H888" s="1252"/>
      <c r="N888" s="1562"/>
    </row>
    <row r="889" spans="1:14" x14ac:dyDescent="0.2">
      <c r="A889" s="1249"/>
      <c r="B889" s="1252"/>
      <c r="C889" s="1255"/>
      <c r="D889" s="1252"/>
      <c r="E889" s="1252"/>
      <c r="F889" s="1252"/>
      <c r="G889" s="1252"/>
      <c r="H889" s="1252"/>
      <c r="N889" s="1562"/>
    </row>
    <row r="890" spans="1:14" x14ac:dyDescent="0.2">
      <c r="A890" s="1249"/>
      <c r="B890" s="1252"/>
      <c r="C890" s="1255"/>
      <c r="D890" s="1252"/>
      <c r="E890" s="1252"/>
      <c r="F890" s="1252"/>
      <c r="G890" s="1252"/>
      <c r="H890" s="1252"/>
      <c r="N890" s="1562"/>
    </row>
    <row r="891" spans="1:14" x14ac:dyDescent="0.2">
      <c r="A891" s="1249"/>
      <c r="B891" s="1252"/>
      <c r="C891" s="1255"/>
      <c r="D891" s="1252"/>
      <c r="E891" s="1252"/>
      <c r="F891" s="1252"/>
      <c r="G891" s="1252"/>
      <c r="H891" s="1252"/>
      <c r="N891" s="1562"/>
    </row>
    <row r="892" spans="1:14" x14ac:dyDescent="0.2">
      <c r="A892" s="1249"/>
      <c r="B892" s="1252"/>
      <c r="C892" s="1255"/>
      <c r="D892" s="1252"/>
      <c r="E892" s="1252"/>
      <c r="F892" s="1252"/>
      <c r="G892" s="1252"/>
      <c r="H892" s="1252"/>
      <c r="N892" s="1562"/>
    </row>
    <row r="893" spans="1:14" x14ac:dyDescent="0.2">
      <c r="A893" s="1249"/>
      <c r="B893" s="1252"/>
      <c r="C893" s="1255"/>
      <c r="D893" s="1252"/>
      <c r="E893" s="1252"/>
      <c r="F893" s="1252"/>
      <c r="G893" s="1252"/>
      <c r="H893" s="1252"/>
      <c r="N893" s="1562"/>
    </row>
    <row r="894" spans="1:14" x14ac:dyDescent="0.2">
      <c r="A894" s="1249"/>
      <c r="B894" s="1252"/>
      <c r="C894" s="1255"/>
      <c r="D894" s="1252"/>
      <c r="E894" s="1252"/>
      <c r="F894" s="1252"/>
      <c r="G894" s="1252"/>
      <c r="H894" s="1252"/>
      <c r="N894" s="1562"/>
    </row>
    <row r="895" spans="1:14" x14ac:dyDescent="0.2">
      <c r="A895" s="1249"/>
      <c r="B895" s="1252"/>
      <c r="C895" s="1255"/>
      <c r="D895" s="1252"/>
      <c r="E895" s="1252"/>
      <c r="F895" s="1252"/>
      <c r="G895" s="1252"/>
      <c r="H895" s="1252"/>
      <c r="N895" s="1562"/>
    </row>
    <row r="896" spans="1:14" x14ac:dyDescent="0.2">
      <c r="A896" s="1249"/>
      <c r="B896" s="1252"/>
      <c r="C896" s="1255"/>
      <c r="D896" s="1252"/>
      <c r="E896" s="1252"/>
      <c r="F896" s="1252"/>
      <c r="G896" s="1252"/>
      <c r="H896" s="1252"/>
      <c r="N896" s="1562"/>
    </row>
    <row r="897" spans="1:14" x14ac:dyDescent="0.2">
      <c r="A897" s="1249"/>
      <c r="B897" s="1252"/>
      <c r="C897" s="1255"/>
      <c r="D897" s="1252"/>
      <c r="E897" s="1252"/>
      <c r="F897" s="1252"/>
      <c r="G897" s="1252"/>
      <c r="H897" s="1252"/>
      <c r="N897" s="1562"/>
    </row>
    <row r="898" spans="1:14" x14ac:dyDescent="0.2">
      <c r="A898" s="1249"/>
      <c r="B898" s="1252"/>
      <c r="C898" s="1255"/>
      <c r="D898" s="1252"/>
      <c r="E898" s="1252"/>
      <c r="F898" s="1252"/>
      <c r="G898" s="1252"/>
      <c r="H898" s="1252"/>
      <c r="N898" s="1562"/>
    </row>
    <row r="899" spans="1:14" x14ac:dyDescent="0.2">
      <c r="A899" s="1249"/>
      <c r="B899" s="1252"/>
      <c r="C899" s="1255"/>
      <c r="D899" s="1252"/>
      <c r="E899" s="1252"/>
      <c r="F899" s="1252"/>
      <c r="G899" s="1252"/>
      <c r="H899" s="1252"/>
      <c r="N899" s="1562"/>
    </row>
    <row r="900" spans="1:14" x14ac:dyDescent="0.2">
      <c r="A900" s="1249"/>
      <c r="B900" s="1252"/>
      <c r="C900" s="1255"/>
      <c r="D900" s="1252"/>
      <c r="E900" s="1252"/>
      <c r="F900" s="1252"/>
      <c r="G900" s="1252"/>
      <c r="H900" s="1252"/>
      <c r="N900" s="1562"/>
    </row>
    <row r="901" spans="1:14" x14ac:dyDescent="0.2">
      <c r="A901" s="1249"/>
      <c r="B901" s="1252"/>
      <c r="C901" s="1255"/>
      <c r="D901" s="1252"/>
      <c r="E901" s="1252"/>
      <c r="F901" s="1252"/>
      <c r="G901" s="1252"/>
      <c r="H901" s="1252"/>
      <c r="N901" s="1562"/>
    </row>
    <row r="902" spans="1:14" x14ac:dyDescent="0.2">
      <c r="A902" s="1249"/>
      <c r="B902" s="1252"/>
      <c r="C902" s="1255"/>
      <c r="D902" s="1252"/>
      <c r="E902" s="1252"/>
      <c r="F902" s="1252"/>
      <c r="G902" s="1252"/>
      <c r="H902" s="1252"/>
      <c r="N902" s="1562"/>
    </row>
    <row r="903" spans="1:14" x14ac:dyDescent="0.2">
      <c r="A903" s="1249"/>
      <c r="B903" s="1252"/>
      <c r="C903" s="1255"/>
      <c r="D903" s="1252"/>
      <c r="E903" s="1252"/>
      <c r="F903" s="1252"/>
      <c r="G903" s="1252"/>
      <c r="H903" s="1252"/>
      <c r="N903" s="1562"/>
    </row>
    <row r="904" spans="1:14" x14ac:dyDescent="0.2">
      <c r="A904" s="1249"/>
      <c r="B904" s="1252"/>
      <c r="C904" s="1255"/>
      <c r="D904" s="1252"/>
      <c r="E904" s="1252"/>
      <c r="F904" s="1252"/>
      <c r="G904" s="1252"/>
      <c r="H904" s="1252"/>
      <c r="N904" s="1562"/>
    </row>
    <row r="905" spans="1:14" x14ac:dyDescent="0.2">
      <c r="A905" s="1249"/>
      <c r="B905" s="1252"/>
      <c r="C905" s="1255"/>
      <c r="D905" s="1252"/>
      <c r="E905" s="1252"/>
      <c r="F905" s="1252"/>
      <c r="G905" s="1252"/>
      <c r="H905" s="1252"/>
      <c r="N905" s="1562"/>
    </row>
    <row r="906" spans="1:14" x14ac:dyDescent="0.2">
      <c r="A906" s="1249"/>
      <c r="B906" s="1252"/>
      <c r="C906" s="1255"/>
      <c r="D906" s="1252"/>
      <c r="E906" s="1252"/>
      <c r="F906" s="1252"/>
      <c r="G906" s="1252"/>
      <c r="H906" s="1252"/>
      <c r="N906" s="1562"/>
    </row>
    <row r="907" spans="1:14" x14ac:dyDescent="0.2">
      <c r="A907" s="1249"/>
      <c r="B907" s="1252"/>
      <c r="C907" s="1255"/>
      <c r="D907" s="1252"/>
      <c r="E907" s="1252"/>
      <c r="F907" s="1252"/>
      <c r="G907" s="1252"/>
      <c r="H907" s="1252"/>
      <c r="N907" s="1562"/>
    </row>
    <row r="908" spans="1:14" x14ac:dyDescent="0.2">
      <c r="A908" s="1249"/>
      <c r="B908" s="1252"/>
      <c r="C908" s="1255"/>
      <c r="D908" s="1252"/>
      <c r="E908" s="1252"/>
      <c r="F908" s="1252"/>
      <c r="G908" s="1252"/>
      <c r="H908" s="1252"/>
      <c r="N908" s="1562"/>
    </row>
    <row r="909" spans="1:14" x14ac:dyDescent="0.2">
      <c r="A909" s="1249"/>
      <c r="B909" s="1252"/>
      <c r="C909" s="1255"/>
      <c r="D909" s="1252"/>
      <c r="E909" s="1252"/>
      <c r="F909" s="1252"/>
      <c r="G909" s="1252"/>
      <c r="H909" s="1252"/>
      <c r="N909" s="1562"/>
    </row>
    <row r="910" spans="1:14" x14ac:dyDescent="0.2">
      <c r="A910" s="1249"/>
      <c r="B910" s="1252"/>
      <c r="C910" s="1255"/>
      <c r="D910" s="1252"/>
      <c r="E910" s="1252"/>
      <c r="F910" s="1252"/>
      <c r="G910" s="1252"/>
      <c r="H910" s="1252"/>
      <c r="N910" s="1562"/>
    </row>
    <row r="911" spans="1:14" x14ac:dyDescent="0.2">
      <c r="A911" s="1249"/>
      <c r="B911" s="1252"/>
      <c r="C911" s="1255"/>
      <c r="D911" s="1252"/>
      <c r="E911" s="1252"/>
      <c r="F911" s="1252"/>
      <c r="G911" s="1252"/>
      <c r="H911" s="1252"/>
      <c r="N911" s="1562"/>
    </row>
    <row r="912" spans="1:14" x14ac:dyDescent="0.2">
      <c r="A912" s="1249"/>
      <c r="B912" s="1252"/>
      <c r="C912" s="1255"/>
      <c r="D912" s="1252"/>
      <c r="E912" s="1252"/>
      <c r="F912" s="1252"/>
      <c r="G912" s="1252"/>
      <c r="H912" s="1252"/>
      <c r="N912" s="1562"/>
    </row>
    <row r="913" spans="1:14" x14ac:dyDescent="0.2">
      <c r="A913" s="1249"/>
      <c r="B913" s="1252"/>
      <c r="C913" s="1255"/>
      <c r="D913" s="1252"/>
      <c r="E913" s="1252"/>
      <c r="F913" s="1252"/>
      <c r="G913" s="1252"/>
      <c r="H913" s="1252"/>
      <c r="N913" s="1562"/>
    </row>
    <row r="914" spans="1:14" x14ac:dyDescent="0.2">
      <c r="A914" s="1249"/>
      <c r="B914" s="1252"/>
      <c r="C914" s="1255"/>
      <c r="D914" s="1252"/>
      <c r="E914" s="1252"/>
      <c r="F914" s="1252"/>
      <c r="G914" s="1252"/>
      <c r="H914" s="1252"/>
      <c r="N914" s="1562"/>
    </row>
    <row r="915" spans="1:14" x14ac:dyDescent="0.2">
      <c r="A915" s="1249"/>
      <c r="B915" s="1252"/>
      <c r="C915" s="1255"/>
      <c r="D915" s="1252"/>
      <c r="E915" s="1252"/>
      <c r="F915" s="1252"/>
      <c r="G915" s="1252"/>
      <c r="H915" s="1252"/>
      <c r="N915" s="1562"/>
    </row>
    <row r="916" spans="1:14" x14ac:dyDescent="0.2">
      <c r="A916" s="1249"/>
      <c r="B916" s="1252"/>
      <c r="C916" s="1255"/>
      <c r="D916" s="1252"/>
      <c r="E916" s="1252"/>
      <c r="F916" s="1252"/>
      <c r="G916" s="1252"/>
      <c r="H916" s="1252"/>
      <c r="N916" s="1562"/>
    </row>
    <row r="917" spans="1:14" x14ac:dyDescent="0.2">
      <c r="A917" s="1249"/>
      <c r="B917" s="1252"/>
      <c r="C917" s="1255"/>
      <c r="D917" s="1252"/>
      <c r="E917" s="1252"/>
      <c r="F917" s="1252"/>
      <c r="G917" s="1252"/>
      <c r="H917" s="1252"/>
      <c r="N917" s="1562"/>
    </row>
    <row r="918" spans="1:14" x14ac:dyDescent="0.2">
      <c r="A918" s="1249"/>
      <c r="B918" s="1252"/>
      <c r="C918" s="1255"/>
      <c r="D918" s="1252"/>
      <c r="E918" s="1252"/>
      <c r="F918" s="1252"/>
      <c r="G918" s="1252"/>
      <c r="H918" s="1252"/>
      <c r="N918" s="1562"/>
    </row>
    <row r="919" spans="1:14" x14ac:dyDescent="0.2">
      <c r="A919" s="1249"/>
      <c r="B919" s="1252"/>
      <c r="C919" s="1255"/>
      <c r="D919" s="1252"/>
      <c r="E919" s="1252"/>
      <c r="F919" s="1252"/>
      <c r="G919" s="1252"/>
      <c r="H919" s="1252"/>
      <c r="N919" s="1562"/>
    </row>
    <row r="920" spans="1:14" x14ac:dyDescent="0.2">
      <c r="A920" s="1249"/>
      <c r="B920" s="1252"/>
      <c r="C920" s="1255"/>
      <c r="D920" s="1252"/>
      <c r="E920" s="1252"/>
      <c r="F920" s="1252"/>
      <c r="G920" s="1252"/>
      <c r="H920" s="1252"/>
      <c r="N920" s="1562"/>
    </row>
    <row r="921" spans="1:14" x14ac:dyDescent="0.2">
      <c r="A921" s="1249"/>
      <c r="B921" s="1252"/>
      <c r="C921" s="1255"/>
      <c r="D921" s="1252"/>
      <c r="E921" s="1252"/>
      <c r="F921" s="1252"/>
      <c r="G921" s="1252"/>
      <c r="H921" s="1252"/>
      <c r="N921" s="1562"/>
    </row>
    <row r="922" spans="1:14" x14ac:dyDescent="0.2">
      <c r="A922" s="1249"/>
      <c r="B922" s="1252"/>
      <c r="C922" s="1255"/>
      <c r="D922" s="1252"/>
      <c r="E922" s="1252"/>
      <c r="F922" s="1252"/>
      <c r="G922" s="1252"/>
      <c r="H922" s="1252"/>
      <c r="N922" s="1562"/>
    </row>
    <row r="923" spans="1:14" x14ac:dyDescent="0.2">
      <c r="A923" s="1249"/>
      <c r="B923" s="1252"/>
      <c r="C923" s="1255"/>
      <c r="D923" s="1252"/>
      <c r="E923" s="1252"/>
      <c r="F923" s="1252"/>
      <c r="G923" s="1252"/>
      <c r="H923" s="1252"/>
      <c r="N923" s="1562"/>
    </row>
    <row r="924" spans="1:14" x14ac:dyDescent="0.2">
      <c r="A924" s="1249"/>
      <c r="B924" s="1252"/>
      <c r="C924" s="1255"/>
      <c r="D924" s="1252"/>
      <c r="E924" s="1252"/>
      <c r="F924" s="1252"/>
      <c r="G924" s="1252"/>
      <c r="H924" s="1252"/>
      <c r="N924" s="1562"/>
    </row>
    <row r="925" spans="1:14" x14ac:dyDescent="0.2">
      <c r="A925" s="1249"/>
      <c r="B925" s="1252"/>
      <c r="C925" s="1255"/>
      <c r="D925" s="1252"/>
      <c r="E925" s="1252"/>
      <c r="F925" s="1252"/>
      <c r="G925" s="1252"/>
      <c r="H925" s="1252"/>
      <c r="N925" s="1562"/>
    </row>
    <row r="926" spans="1:14" x14ac:dyDescent="0.2">
      <c r="A926" s="1249"/>
      <c r="B926" s="1252"/>
      <c r="C926" s="1255"/>
      <c r="D926" s="1252"/>
      <c r="E926" s="1252"/>
      <c r="F926" s="1252"/>
      <c r="G926" s="1252"/>
      <c r="H926" s="1252"/>
      <c r="N926" s="1562"/>
    </row>
    <row r="927" spans="1:14" x14ac:dyDescent="0.2">
      <c r="A927" s="1249"/>
      <c r="B927" s="1252"/>
      <c r="C927" s="1255"/>
      <c r="D927" s="1252"/>
      <c r="E927" s="1252"/>
      <c r="F927" s="1252"/>
      <c r="G927" s="1252"/>
      <c r="H927" s="1252"/>
      <c r="N927" s="1562"/>
    </row>
    <row r="928" spans="1:14" x14ac:dyDescent="0.2">
      <c r="A928" s="1249"/>
      <c r="B928" s="1252"/>
      <c r="C928" s="1255"/>
      <c r="D928" s="1252"/>
      <c r="E928" s="1252"/>
      <c r="F928" s="1252"/>
      <c r="G928" s="1252"/>
      <c r="H928" s="1252"/>
      <c r="N928" s="1562"/>
    </row>
    <row r="929" spans="1:14" x14ac:dyDescent="0.2">
      <c r="A929" s="1249"/>
      <c r="B929" s="1252"/>
      <c r="C929" s="1255"/>
      <c r="D929" s="1252"/>
      <c r="E929" s="1252"/>
      <c r="F929" s="1252"/>
      <c r="G929" s="1252"/>
      <c r="H929" s="1252"/>
      <c r="N929" s="1562"/>
    </row>
    <row r="930" spans="1:14" x14ac:dyDescent="0.2">
      <c r="A930" s="1249"/>
      <c r="B930" s="1252"/>
      <c r="C930" s="1255"/>
      <c r="D930" s="1252"/>
      <c r="E930" s="1252"/>
      <c r="F930" s="1252"/>
      <c r="G930" s="1252"/>
      <c r="H930" s="1252"/>
      <c r="N930" s="1562"/>
    </row>
    <row r="931" spans="1:14" x14ac:dyDescent="0.2">
      <c r="A931" s="1249"/>
      <c r="B931" s="1252"/>
      <c r="C931" s="1255"/>
      <c r="D931" s="1252"/>
      <c r="E931" s="1252"/>
      <c r="F931" s="1252"/>
      <c r="G931" s="1252"/>
      <c r="H931" s="1252"/>
      <c r="N931" s="1562"/>
    </row>
    <row r="932" spans="1:14" x14ac:dyDescent="0.2">
      <c r="A932" s="1249"/>
      <c r="B932" s="1252"/>
      <c r="C932" s="1255"/>
      <c r="D932" s="1252"/>
      <c r="E932" s="1252"/>
      <c r="F932" s="1252"/>
      <c r="G932" s="1252"/>
      <c r="H932" s="1252"/>
      <c r="N932" s="1562"/>
    </row>
    <row r="933" spans="1:14" x14ac:dyDescent="0.2">
      <c r="A933" s="1249"/>
      <c r="B933" s="1252"/>
      <c r="C933" s="1255"/>
      <c r="D933" s="1252"/>
      <c r="E933" s="1252"/>
      <c r="F933" s="1252"/>
      <c r="G933" s="1252"/>
      <c r="H933" s="1252"/>
      <c r="N933" s="1562"/>
    </row>
    <row r="934" spans="1:14" x14ac:dyDescent="0.2">
      <c r="A934" s="1249"/>
      <c r="B934" s="1252"/>
      <c r="C934" s="1255"/>
      <c r="D934" s="1252"/>
      <c r="E934" s="1252"/>
      <c r="F934" s="1252"/>
      <c r="G934" s="1252"/>
      <c r="H934" s="1252"/>
      <c r="N934" s="1562"/>
    </row>
    <row r="935" spans="1:14" x14ac:dyDescent="0.2">
      <c r="A935" s="1249"/>
      <c r="B935" s="1252"/>
      <c r="C935" s="1255"/>
      <c r="D935" s="1252"/>
      <c r="E935" s="1252"/>
      <c r="F935" s="1252"/>
      <c r="G935" s="1252"/>
      <c r="H935" s="1252"/>
      <c r="N935" s="1562"/>
    </row>
    <row r="936" spans="1:14" x14ac:dyDescent="0.2">
      <c r="A936" s="1249"/>
      <c r="B936" s="1252"/>
      <c r="C936" s="1255"/>
      <c r="D936" s="1252"/>
      <c r="E936" s="1252"/>
      <c r="F936" s="1252"/>
      <c r="G936" s="1252"/>
      <c r="H936" s="1252"/>
      <c r="N936" s="1562"/>
    </row>
    <row r="937" spans="1:14" x14ac:dyDescent="0.2">
      <c r="A937" s="1249"/>
      <c r="B937" s="1252"/>
      <c r="C937" s="1255"/>
      <c r="D937" s="1252"/>
      <c r="E937" s="1252"/>
      <c r="F937" s="1252"/>
      <c r="G937" s="1252"/>
      <c r="H937" s="1252"/>
      <c r="N937" s="1562"/>
    </row>
    <row r="938" spans="1:14" x14ac:dyDescent="0.2">
      <c r="A938" s="1249"/>
      <c r="B938" s="1252"/>
      <c r="C938" s="1255"/>
      <c r="D938" s="1252"/>
      <c r="E938" s="1252"/>
      <c r="F938" s="1252"/>
      <c r="G938" s="1252"/>
      <c r="H938" s="1252"/>
      <c r="N938" s="1562"/>
    </row>
    <row r="939" spans="1:14" x14ac:dyDescent="0.2">
      <c r="A939" s="1249"/>
      <c r="B939" s="1252"/>
      <c r="C939" s="1255"/>
      <c r="D939" s="1252"/>
      <c r="E939" s="1252"/>
      <c r="F939" s="1252"/>
      <c r="G939" s="1252"/>
      <c r="H939" s="1252"/>
      <c r="N939" s="1562"/>
    </row>
    <row r="940" spans="1:14" x14ac:dyDescent="0.2">
      <c r="A940" s="1249"/>
      <c r="B940" s="1252"/>
      <c r="C940" s="1255"/>
      <c r="D940" s="1252"/>
      <c r="E940" s="1252"/>
      <c r="F940" s="1252"/>
      <c r="G940" s="1252"/>
      <c r="H940" s="1252"/>
      <c r="N940" s="1562"/>
    </row>
    <row r="941" spans="1:14" x14ac:dyDescent="0.2">
      <c r="A941" s="1249"/>
      <c r="B941" s="1252"/>
      <c r="C941" s="1255"/>
      <c r="D941" s="1252"/>
      <c r="E941" s="1252"/>
      <c r="F941" s="1252"/>
      <c r="G941" s="1252"/>
      <c r="H941" s="1252"/>
      <c r="N941" s="1562"/>
    </row>
    <row r="942" spans="1:14" x14ac:dyDescent="0.2">
      <c r="A942" s="1249"/>
      <c r="B942" s="1252"/>
      <c r="C942" s="1255"/>
      <c r="D942" s="1252"/>
      <c r="E942" s="1252"/>
      <c r="F942" s="1252"/>
      <c r="G942" s="1252"/>
      <c r="H942" s="1252"/>
      <c r="N942" s="1562"/>
    </row>
    <row r="943" spans="1:14" x14ac:dyDescent="0.2">
      <c r="A943" s="1249"/>
      <c r="B943" s="1252"/>
      <c r="C943" s="1255"/>
      <c r="D943" s="1252"/>
      <c r="E943" s="1252"/>
      <c r="F943" s="1252"/>
      <c r="G943" s="1252"/>
      <c r="H943" s="1252"/>
      <c r="N943" s="1562"/>
    </row>
    <row r="944" spans="1:14" x14ac:dyDescent="0.2">
      <c r="A944" s="1249"/>
      <c r="B944" s="1252"/>
      <c r="C944" s="1255"/>
      <c r="D944" s="1252"/>
      <c r="E944" s="1252"/>
      <c r="F944" s="1252"/>
      <c r="G944" s="1252"/>
      <c r="H944" s="1252"/>
      <c r="N944" s="1562"/>
    </row>
    <row r="945" spans="1:14" x14ac:dyDescent="0.2">
      <c r="A945" s="1249"/>
      <c r="B945" s="1252"/>
      <c r="C945" s="1255"/>
      <c r="D945" s="1252"/>
      <c r="E945" s="1252"/>
      <c r="F945" s="1252"/>
      <c r="G945" s="1252"/>
      <c r="H945" s="1252"/>
      <c r="N945" s="1562"/>
    </row>
    <row r="946" spans="1:14" x14ac:dyDescent="0.2">
      <c r="A946" s="1249"/>
      <c r="B946" s="1252"/>
      <c r="C946" s="1255"/>
      <c r="D946" s="1252"/>
      <c r="E946" s="1252"/>
      <c r="F946" s="1252"/>
      <c r="G946" s="1252"/>
      <c r="H946" s="1252"/>
      <c r="N946" s="1562"/>
    </row>
    <row r="947" spans="1:14" x14ac:dyDescent="0.2">
      <c r="A947" s="1249"/>
      <c r="B947" s="1252"/>
      <c r="C947" s="1255"/>
      <c r="D947" s="1252"/>
      <c r="E947" s="1252"/>
      <c r="F947" s="1252"/>
      <c r="G947" s="1252"/>
      <c r="H947" s="1252"/>
      <c r="N947" s="1562"/>
    </row>
    <row r="948" spans="1:14" x14ac:dyDescent="0.2">
      <c r="A948" s="1249"/>
      <c r="B948" s="1252"/>
      <c r="C948" s="1255"/>
      <c r="D948" s="1252"/>
      <c r="E948" s="1252"/>
      <c r="F948" s="1252"/>
      <c r="G948" s="1252"/>
      <c r="H948" s="1252"/>
      <c r="N948" s="1562"/>
    </row>
    <row r="949" spans="1:14" x14ac:dyDescent="0.2">
      <c r="A949" s="1249"/>
      <c r="B949" s="1252"/>
      <c r="C949" s="1255"/>
      <c r="D949" s="1252"/>
      <c r="E949" s="1252"/>
      <c r="F949" s="1252"/>
      <c r="G949" s="1252"/>
      <c r="H949" s="1252"/>
      <c r="N949" s="1562"/>
    </row>
    <row r="950" spans="1:14" x14ac:dyDescent="0.2">
      <c r="A950" s="1249"/>
      <c r="B950" s="1252"/>
      <c r="C950" s="1255"/>
      <c r="D950" s="1252"/>
      <c r="E950" s="1252"/>
      <c r="F950" s="1252"/>
      <c r="G950" s="1252"/>
      <c r="H950" s="1252"/>
      <c r="N950" s="1562"/>
    </row>
    <row r="951" spans="1:14" x14ac:dyDescent="0.2">
      <c r="A951" s="1249"/>
      <c r="B951" s="1252"/>
      <c r="C951" s="1255"/>
      <c r="D951" s="1252"/>
      <c r="E951" s="1252"/>
      <c r="F951" s="1252"/>
      <c r="G951" s="1252"/>
      <c r="H951" s="1252"/>
      <c r="N951" s="1562"/>
    </row>
    <row r="952" spans="1:14" x14ac:dyDescent="0.2">
      <c r="A952" s="1249"/>
      <c r="B952" s="1252"/>
      <c r="C952" s="1255"/>
      <c r="D952" s="1252"/>
      <c r="E952" s="1252"/>
      <c r="F952" s="1252"/>
      <c r="G952" s="1252"/>
      <c r="H952" s="1252"/>
      <c r="N952" s="1562"/>
    </row>
    <row r="953" spans="1:14" x14ac:dyDescent="0.2">
      <c r="A953" s="1249"/>
      <c r="B953" s="1252"/>
      <c r="C953" s="1255"/>
      <c r="D953" s="1252"/>
      <c r="E953" s="1252"/>
      <c r="F953" s="1252"/>
      <c r="G953" s="1252"/>
      <c r="H953" s="1252"/>
      <c r="N953" s="1562"/>
    </row>
    <row r="954" spans="1:14" x14ac:dyDescent="0.2">
      <c r="A954" s="1249"/>
      <c r="B954" s="1252"/>
      <c r="C954" s="1255"/>
      <c r="D954" s="1252"/>
      <c r="E954" s="1252"/>
      <c r="F954" s="1252"/>
      <c r="G954" s="1252"/>
      <c r="H954" s="1252"/>
      <c r="N954" s="1562"/>
    </row>
    <row r="955" spans="1:14" x14ac:dyDescent="0.2">
      <c r="A955" s="1249"/>
      <c r="B955" s="1252"/>
      <c r="C955" s="1255"/>
      <c r="D955" s="1252"/>
      <c r="E955" s="1252"/>
      <c r="F955" s="1252"/>
      <c r="G955" s="1252"/>
      <c r="H955" s="1252"/>
      <c r="N955" s="1562"/>
    </row>
    <row r="956" spans="1:14" x14ac:dyDescent="0.2">
      <c r="A956" s="1249"/>
      <c r="B956" s="1252"/>
      <c r="C956" s="1255"/>
      <c r="D956" s="1252"/>
      <c r="E956" s="1252"/>
      <c r="F956" s="1252"/>
      <c r="G956" s="1252"/>
      <c r="H956" s="1252"/>
      <c r="N956" s="1562"/>
    </row>
    <row r="957" spans="1:14" x14ac:dyDescent="0.2">
      <c r="A957" s="1249"/>
      <c r="B957" s="1252"/>
      <c r="C957" s="1255"/>
      <c r="D957" s="1252"/>
      <c r="E957" s="1252"/>
      <c r="F957" s="1252"/>
      <c r="G957" s="1252"/>
      <c r="H957" s="1252"/>
      <c r="N957" s="1562"/>
    </row>
    <row r="958" spans="1:14" x14ac:dyDescent="0.2">
      <c r="A958" s="1249"/>
      <c r="B958" s="1252"/>
      <c r="C958" s="1255"/>
      <c r="D958" s="1252"/>
      <c r="E958" s="1252"/>
      <c r="F958" s="1252"/>
      <c r="G958" s="1252"/>
      <c r="H958" s="1252"/>
      <c r="N958" s="1562"/>
    </row>
    <row r="959" spans="1:14" x14ac:dyDescent="0.2">
      <c r="A959" s="1249"/>
      <c r="B959" s="1252"/>
      <c r="C959" s="1255"/>
      <c r="D959" s="1252"/>
      <c r="E959" s="1252"/>
      <c r="F959" s="1252"/>
      <c r="G959" s="1252"/>
      <c r="H959" s="1252"/>
      <c r="N959" s="1562"/>
    </row>
    <row r="960" spans="1:14" x14ac:dyDescent="0.2">
      <c r="A960" s="1249"/>
      <c r="B960" s="1252"/>
      <c r="C960" s="1255"/>
      <c r="D960" s="1252"/>
      <c r="E960" s="1252"/>
      <c r="F960" s="1252"/>
      <c r="G960" s="1252"/>
      <c r="H960" s="1252"/>
      <c r="N960" s="1562"/>
    </row>
    <row r="961" spans="1:14" x14ac:dyDescent="0.2">
      <c r="A961" s="1249"/>
      <c r="B961" s="1252"/>
      <c r="C961" s="1255"/>
      <c r="D961" s="1252"/>
      <c r="E961" s="1252"/>
      <c r="F961" s="1252"/>
      <c r="G961" s="1252"/>
      <c r="H961" s="1252"/>
      <c r="N961" s="1562"/>
    </row>
    <row r="962" spans="1:14" x14ac:dyDescent="0.2">
      <c r="A962" s="1249"/>
      <c r="B962" s="1252"/>
      <c r="C962" s="1255"/>
      <c r="D962" s="1252"/>
      <c r="E962" s="1252"/>
      <c r="F962" s="1252"/>
      <c r="G962" s="1252"/>
      <c r="H962" s="1252"/>
      <c r="N962" s="1562"/>
    </row>
    <row r="963" spans="1:14" x14ac:dyDescent="0.2">
      <c r="A963" s="1249"/>
      <c r="B963" s="1252"/>
      <c r="C963" s="1255"/>
      <c r="D963" s="1252"/>
      <c r="E963" s="1252"/>
      <c r="F963" s="1252"/>
      <c r="G963" s="1252"/>
      <c r="H963" s="1252"/>
      <c r="N963" s="1562"/>
    </row>
    <row r="964" spans="1:14" x14ac:dyDescent="0.2">
      <c r="A964" s="1249"/>
      <c r="B964" s="1252"/>
      <c r="C964" s="1255"/>
      <c r="D964" s="1252"/>
      <c r="E964" s="1252"/>
      <c r="F964" s="1252"/>
      <c r="G964" s="1252"/>
      <c r="H964" s="1252"/>
      <c r="N964" s="1562"/>
    </row>
    <row r="965" spans="1:14" x14ac:dyDescent="0.2">
      <c r="A965" s="1249"/>
      <c r="B965" s="1252"/>
      <c r="C965" s="1255"/>
      <c r="D965" s="1252"/>
      <c r="E965" s="1252"/>
      <c r="F965" s="1252"/>
      <c r="G965" s="1252"/>
      <c r="H965" s="1252"/>
      <c r="N965" s="1562"/>
    </row>
    <row r="966" spans="1:14" x14ac:dyDescent="0.2">
      <c r="A966" s="1249"/>
      <c r="B966" s="1252"/>
      <c r="C966" s="1255"/>
      <c r="D966" s="1252"/>
      <c r="E966" s="1252"/>
      <c r="F966" s="1252"/>
      <c r="G966" s="1252"/>
      <c r="H966" s="1252"/>
      <c r="N966" s="1562"/>
    </row>
    <row r="967" spans="1:14" x14ac:dyDescent="0.2">
      <c r="A967" s="1249"/>
      <c r="B967" s="1252"/>
      <c r="C967" s="1255"/>
      <c r="D967" s="1252"/>
      <c r="E967" s="1252"/>
      <c r="F967" s="1252"/>
      <c r="G967" s="1252"/>
      <c r="H967" s="1252"/>
      <c r="N967" s="1562"/>
    </row>
    <row r="968" spans="1:14" x14ac:dyDescent="0.2">
      <c r="A968" s="1249"/>
      <c r="B968" s="1252"/>
      <c r="C968" s="1255"/>
      <c r="D968" s="1252"/>
      <c r="E968" s="1252"/>
      <c r="F968" s="1252"/>
      <c r="G968" s="1252"/>
      <c r="H968" s="1252"/>
      <c r="N968" s="1562"/>
    </row>
    <row r="969" spans="1:14" x14ac:dyDescent="0.2">
      <c r="A969" s="1249"/>
      <c r="B969" s="1252"/>
      <c r="C969" s="1255"/>
      <c r="D969" s="1252"/>
      <c r="E969" s="1252"/>
      <c r="F969" s="1252"/>
      <c r="G969" s="1252"/>
      <c r="H969" s="1252"/>
      <c r="N969" s="1562"/>
    </row>
    <row r="970" spans="1:14" x14ac:dyDescent="0.2">
      <c r="A970" s="1249"/>
      <c r="B970" s="1252"/>
      <c r="C970" s="1255"/>
      <c r="D970" s="1252"/>
      <c r="E970" s="1252"/>
      <c r="F970" s="1252"/>
      <c r="G970" s="1252"/>
      <c r="H970" s="1252"/>
      <c r="N970" s="1562"/>
    </row>
    <row r="971" spans="1:14" x14ac:dyDescent="0.2">
      <c r="A971" s="1249"/>
      <c r="B971" s="1252"/>
      <c r="C971" s="1255"/>
      <c r="D971" s="1252"/>
      <c r="E971" s="1252"/>
      <c r="F971" s="1252"/>
      <c r="G971" s="1252"/>
      <c r="H971" s="1252"/>
      <c r="N971" s="1562"/>
    </row>
    <row r="972" spans="1:14" x14ac:dyDescent="0.2">
      <c r="A972" s="1249"/>
      <c r="B972" s="1252"/>
      <c r="C972" s="1255"/>
      <c r="D972" s="1252"/>
      <c r="E972" s="1252"/>
      <c r="F972" s="1252"/>
      <c r="G972" s="1252"/>
      <c r="H972" s="1252"/>
      <c r="N972" s="1562"/>
    </row>
    <row r="973" spans="1:14" x14ac:dyDescent="0.2">
      <c r="A973" s="1249"/>
      <c r="B973" s="1252"/>
      <c r="C973" s="1255"/>
      <c r="D973" s="1252"/>
      <c r="E973" s="1252"/>
      <c r="F973" s="1252"/>
      <c r="G973" s="1252"/>
      <c r="H973" s="1252"/>
      <c r="N973" s="1562"/>
    </row>
    <row r="974" spans="1:14" x14ac:dyDescent="0.2">
      <c r="A974" s="1249"/>
      <c r="B974" s="1252"/>
      <c r="C974" s="1255"/>
      <c r="D974" s="1252"/>
      <c r="E974" s="1252"/>
      <c r="F974" s="1252"/>
      <c r="G974" s="1252"/>
      <c r="H974" s="1252"/>
      <c r="N974" s="1562"/>
    </row>
    <row r="975" spans="1:14" x14ac:dyDescent="0.2">
      <c r="A975" s="1249"/>
      <c r="B975" s="1252"/>
      <c r="C975" s="1255"/>
      <c r="D975" s="1252"/>
      <c r="E975" s="1252"/>
      <c r="F975" s="1252"/>
      <c r="G975" s="1252"/>
      <c r="H975" s="1252"/>
      <c r="N975" s="1562"/>
    </row>
    <row r="976" spans="1:14" x14ac:dyDescent="0.2">
      <c r="A976" s="1249"/>
      <c r="B976" s="1252"/>
      <c r="C976" s="1255"/>
      <c r="D976" s="1252"/>
      <c r="E976" s="1252"/>
      <c r="F976" s="1252"/>
      <c r="G976" s="1252"/>
      <c r="H976" s="1252"/>
      <c r="N976" s="1562"/>
    </row>
    <row r="977" spans="1:14" x14ac:dyDescent="0.2">
      <c r="A977" s="1249"/>
      <c r="B977" s="1252"/>
      <c r="C977" s="1255"/>
      <c r="D977" s="1252"/>
      <c r="E977" s="1252"/>
      <c r="F977" s="1252"/>
      <c r="G977" s="1252"/>
      <c r="H977" s="1252"/>
      <c r="N977" s="1562"/>
    </row>
    <row r="978" spans="1:14" x14ac:dyDescent="0.2">
      <c r="A978" s="1249"/>
      <c r="B978" s="1252"/>
      <c r="C978" s="1255"/>
      <c r="D978" s="1252"/>
      <c r="E978" s="1252"/>
      <c r="F978" s="1252"/>
      <c r="G978" s="1252"/>
      <c r="H978" s="1252"/>
      <c r="N978" s="1562"/>
    </row>
    <row r="979" spans="1:14" x14ac:dyDescent="0.2">
      <c r="A979" s="1249"/>
      <c r="B979" s="1252"/>
      <c r="C979" s="1255"/>
      <c r="D979" s="1252"/>
      <c r="E979" s="1252"/>
      <c r="F979" s="1252"/>
      <c r="G979" s="1252"/>
      <c r="H979" s="1252"/>
      <c r="N979" s="1562"/>
    </row>
    <row r="980" spans="1:14" x14ac:dyDescent="0.2">
      <c r="A980" s="1249"/>
      <c r="B980" s="1252"/>
      <c r="C980" s="1255"/>
      <c r="D980" s="1252"/>
      <c r="E980" s="1252"/>
      <c r="F980" s="1252"/>
      <c r="G980" s="1252"/>
      <c r="H980" s="1252"/>
      <c r="N980" s="1562"/>
    </row>
    <row r="981" spans="1:14" x14ac:dyDescent="0.2">
      <c r="A981" s="1249"/>
      <c r="B981" s="1252"/>
      <c r="C981" s="1255"/>
      <c r="D981" s="1252"/>
      <c r="E981" s="1252"/>
      <c r="F981" s="1252"/>
      <c r="G981" s="1252"/>
      <c r="H981" s="1252"/>
      <c r="N981" s="1562"/>
    </row>
    <row r="982" spans="1:14" x14ac:dyDescent="0.2">
      <c r="A982" s="1249"/>
      <c r="B982" s="1252"/>
      <c r="C982" s="1255"/>
      <c r="D982" s="1252"/>
      <c r="E982" s="1252"/>
      <c r="F982" s="1252"/>
      <c r="G982" s="1252"/>
      <c r="H982" s="1252"/>
      <c r="N982" s="1562"/>
    </row>
    <row r="983" spans="1:14" x14ac:dyDescent="0.2">
      <c r="A983" s="1249"/>
      <c r="B983" s="1252"/>
      <c r="C983" s="1255"/>
      <c r="D983" s="1252"/>
      <c r="E983" s="1252"/>
      <c r="F983" s="1252"/>
      <c r="G983" s="1252"/>
      <c r="H983" s="1252"/>
      <c r="N983" s="1562"/>
    </row>
    <row r="984" spans="1:14" x14ac:dyDescent="0.2">
      <c r="A984" s="1249"/>
      <c r="B984" s="1252"/>
      <c r="C984" s="1255"/>
      <c r="D984" s="1252"/>
      <c r="E984" s="1252"/>
      <c r="F984" s="1252"/>
      <c r="G984" s="1252"/>
      <c r="H984" s="1252"/>
      <c r="N984" s="1562"/>
    </row>
    <row r="985" spans="1:14" x14ac:dyDescent="0.2">
      <c r="A985" s="1249"/>
      <c r="B985" s="1252"/>
      <c r="C985" s="1255"/>
      <c r="D985" s="1252"/>
      <c r="E985" s="1252"/>
      <c r="F985" s="1252"/>
      <c r="G985" s="1252"/>
      <c r="H985" s="1252"/>
      <c r="N985" s="1562"/>
    </row>
    <row r="986" spans="1:14" x14ac:dyDescent="0.2">
      <c r="A986" s="1249"/>
      <c r="B986" s="1252"/>
      <c r="C986" s="1255"/>
      <c r="D986" s="1252"/>
      <c r="E986" s="1252"/>
      <c r="F986" s="1252"/>
      <c r="G986" s="1252"/>
      <c r="H986" s="1252"/>
      <c r="N986" s="1562"/>
    </row>
    <row r="987" spans="1:14" x14ac:dyDescent="0.2">
      <c r="A987" s="1249"/>
      <c r="B987" s="1252"/>
      <c r="C987" s="1255"/>
      <c r="D987" s="1252"/>
      <c r="E987" s="1252"/>
      <c r="F987" s="1252"/>
      <c r="G987" s="1252"/>
      <c r="H987" s="1252"/>
      <c r="N987" s="1562"/>
    </row>
    <row r="988" spans="1:14" x14ac:dyDescent="0.2">
      <c r="A988" s="1249"/>
      <c r="B988" s="1252"/>
      <c r="C988" s="1255"/>
      <c r="D988" s="1252"/>
      <c r="E988" s="1252"/>
      <c r="F988" s="1252"/>
      <c r="G988" s="1252"/>
      <c r="H988" s="1252"/>
      <c r="N988" s="1562"/>
    </row>
    <row r="989" spans="1:14" x14ac:dyDescent="0.2">
      <c r="A989" s="1249"/>
      <c r="B989" s="1252"/>
      <c r="C989" s="1255"/>
      <c r="D989" s="1252"/>
      <c r="E989" s="1252"/>
      <c r="F989" s="1252"/>
      <c r="G989" s="1252"/>
      <c r="H989" s="1252"/>
      <c r="N989" s="1562"/>
    </row>
    <row r="990" spans="1:14" x14ac:dyDescent="0.2">
      <c r="A990" s="1249"/>
      <c r="B990" s="1252"/>
      <c r="C990" s="1255"/>
      <c r="D990" s="1252"/>
      <c r="E990" s="1252"/>
      <c r="F990" s="1252"/>
      <c r="G990" s="1252"/>
      <c r="H990" s="1252"/>
      <c r="N990" s="1562"/>
    </row>
    <row r="991" spans="1:14" x14ac:dyDescent="0.2">
      <c r="A991" s="1249"/>
      <c r="B991" s="1252"/>
      <c r="C991" s="1255"/>
      <c r="D991" s="1252"/>
      <c r="E991" s="1252"/>
      <c r="F991" s="1252"/>
      <c r="G991" s="1252"/>
      <c r="H991" s="1252"/>
      <c r="N991" s="1562"/>
    </row>
    <row r="992" spans="1:14" x14ac:dyDescent="0.2">
      <c r="A992" s="1249"/>
      <c r="B992" s="1252"/>
      <c r="C992" s="1255"/>
      <c r="D992" s="1252"/>
      <c r="E992" s="1252"/>
      <c r="F992" s="1252"/>
      <c r="G992" s="1252"/>
      <c r="H992" s="1252"/>
      <c r="N992" s="1562"/>
    </row>
    <row r="993" spans="1:14" x14ac:dyDescent="0.2">
      <c r="A993" s="1249"/>
      <c r="B993" s="1252"/>
      <c r="C993" s="1255"/>
      <c r="D993" s="1252"/>
      <c r="E993" s="1252"/>
      <c r="F993" s="1252"/>
      <c r="G993" s="1252"/>
      <c r="H993" s="1252"/>
      <c r="N993" s="1562"/>
    </row>
    <row r="994" spans="1:14" x14ac:dyDescent="0.2">
      <c r="A994" s="1249"/>
      <c r="B994" s="1252"/>
      <c r="C994" s="1255"/>
      <c r="D994" s="1252"/>
      <c r="E994" s="1252"/>
      <c r="F994" s="1252"/>
      <c r="G994" s="1252"/>
      <c r="H994" s="1252"/>
      <c r="N994" s="1562"/>
    </row>
    <row r="995" spans="1:14" x14ac:dyDescent="0.2">
      <c r="A995" s="1249"/>
      <c r="B995" s="1252"/>
      <c r="C995" s="1255"/>
      <c r="D995" s="1252"/>
      <c r="E995" s="1252"/>
      <c r="F995" s="1252"/>
      <c r="G995" s="1252"/>
      <c r="H995" s="1252"/>
      <c r="N995" s="1562"/>
    </row>
    <row r="996" spans="1:14" x14ac:dyDescent="0.2">
      <c r="A996" s="1249"/>
      <c r="B996" s="1252"/>
      <c r="C996" s="1255"/>
      <c r="D996" s="1252"/>
      <c r="E996" s="1252"/>
      <c r="F996" s="1252"/>
      <c r="G996" s="1252"/>
      <c r="H996" s="1252"/>
      <c r="N996" s="1562"/>
    </row>
    <row r="997" spans="1:14" x14ac:dyDescent="0.2">
      <c r="A997" s="1249"/>
      <c r="B997" s="1252"/>
      <c r="C997" s="1255"/>
      <c r="D997" s="1252"/>
      <c r="E997" s="1252"/>
      <c r="F997" s="1252"/>
      <c r="G997" s="1252"/>
      <c r="H997" s="1252"/>
      <c r="N997" s="1562"/>
    </row>
    <row r="998" spans="1:14" x14ac:dyDescent="0.2">
      <c r="A998" s="1249"/>
      <c r="B998" s="1252"/>
      <c r="C998" s="1255"/>
      <c r="D998" s="1252"/>
      <c r="E998" s="1252"/>
      <c r="F998" s="1252"/>
      <c r="G998" s="1252"/>
      <c r="H998" s="1252"/>
      <c r="N998" s="1562"/>
    </row>
    <row r="999" spans="1:14" x14ac:dyDescent="0.2">
      <c r="A999" s="1249"/>
      <c r="B999" s="1252"/>
      <c r="C999" s="1255"/>
      <c r="D999" s="1252"/>
      <c r="E999" s="1252"/>
      <c r="F999" s="1252"/>
      <c r="G999" s="1252"/>
      <c r="H999" s="1252"/>
      <c r="N999" s="1562"/>
    </row>
    <row r="1000" spans="1:14" x14ac:dyDescent="0.2">
      <c r="A1000" s="1249"/>
      <c r="B1000" s="1252"/>
      <c r="C1000" s="1255"/>
      <c r="D1000" s="1252"/>
      <c r="E1000" s="1252"/>
      <c r="F1000" s="1252"/>
      <c r="G1000" s="1252"/>
      <c r="H1000" s="1252"/>
      <c r="N1000" s="1562"/>
    </row>
    <row r="1001" spans="1:14" x14ac:dyDescent="0.2">
      <c r="A1001" s="1249"/>
      <c r="B1001" s="1252"/>
      <c r="C1001" s="1255"/>
      <c r="D1001" s="1252"/>
      <c r="E1001" s="1252"/>
      <c r="F1001" s="1252"/>
      <c r="G1001" s="1252"/>
      <c r="H1001" s="1252"/>
      <c r="N1001" s="1562"/>
    </row>
    <row r="1002" spans="1:14" x14ac:dyDescent="0.2">
      <c r="A1002" s="1249"/>
      <c r="B1002" s="1252"/>
      <c r="C1002" s="1255"/>
      <c r="D1002" s="1252"/>
      <c r="E1002" s="1252"/>
      <c r="F1002" s="1252"/>
      <c r="G1002" s="1252"/>
      <c r="H1002" s="1252"/>
      <c r="N1002" s="1562"/>
    </row>
    <row r="1003" spans="1:14" x14ac:dyDescent="0.2">
      <c r="A1003" s="1249"/>
      <c r="B1003" s="1252"/>
      <c r="C1003" s="1255"/>
      <c r="D1003" s="1252"/>
      <c r="E1003" s="1252"/>
      <c r="F1003" s="1252"/>
      <c r="G1003" s="1252"/>
      <c r="H1003" s="1252"/>
      <c r="N1003" s="1562"/>
    </row>
    <row r="1004" spans="1:14" x14ac:dyDescent="0.2">
      <c r="A1004" s="1249"/>
      <c r="B1004" s="1252"/>
      <c r="C1004" s="1255"/>
      <c r="D1004" s="1252"/>
      <c r="E1004" s="1252"/>
      <c r="F1004" s="1252"/>
      <c r="G1004" s="1252"/>
      <c r="H1004" s="1252"/>
      <c r="N1004" s="1562"/>
    </row>
    <row r="1005" spans="1:14" x14ac:dyDescent="0.2">
      <c r="A1005" s="1249"/>
      <c r="B1005" s="1252"/>
      <c r="C1005" s="1255"/>
      <c r="D1005" s="1252"/>
      <c r="E1005" s="1252"/>
      <c r="F1005" s="1252"/>
      <c r="G1005" s="1252"/>
      <c r="H1005" s="1252"/>
      <c r="N1005" s="1562"/>
    </row>
    <row r="1006" spans="1:14" x14ac:dyDescent="0.2">
      <c r="A1006" s="1249"/>
      <c r="B1006" s="1252"/>
      <c r="C1006" s="1255"/>
      <c r="D1006" s="1252"/>
      <c r="E1006" s="1252"/>
      <c r="F1006" s="1252"/>
      <c r="G1006" s="1252"/>
      <c r="H1006" s="1252"/>
      <c r="N1006" s="1562"/>
    </row>
    <row r="1007" spans="1:14" x14ac:dyDescent="0.2">
      <c r="A1007" s="1249"/>
      <c r="B1007" s="1252"/>
      <c r="C1007" s="1255"/>
      <c r="D1007" s="1252"/>
      <c r="E1007" s="1252"/>
      <c r="F1007" s="1252"/>
      <c r="G1007" s="1252"/>
      <c r="H1007" s="1252"/>
      <c r="N1007" s="1562"/>
    </row>
    <row r="1008" spans="1:14" x14ac:dyDescent="0.2">
      <c r="A1008" s="1249"/>
      <c r="B1008" s="1252"/>
      <c r="C1008" s="1255"/>
      <c r="D1008" s="1252"/>
      <c r="E1008" s="1252"/>
      <c r="F1008" s="1252"/>
      <c r="G1008" s="1252"/>
      <c r="H1008" s="1252"/>
      <c r="N1008" s="1562"/>
    </row>
    <row r="1009" spans="1:14" x14ac:dyDescent="0.2">
      <c r="A1009" s="1249"/>
      <c r="B1009" s="1252"/>
      <c r="C1009" s="1255"/>
      <c r="D1009" s="1252"/>
      <c r="E1009" s="1252"/>
      <c r="F1009" s="1252"/>
      <c r="G1009" s="1252"/>
      <c r="H1009" s="1252"/>
      <c r="N1009" s="1562"/>
    </row>
    <row r="1010" spans="1:14" x14ac:dyDescent="0.2">
      <c r="A1010" s="1249"/>
      <c r="B1010" s="1252"/>
      <c r="C1010" s="1255"/>
      <c r="D1010" s="1252"/>
      <c r="E1010" s="1252"/>
      <c r="F1010" s="1252"/>
      <c r="G1010" s="1252"/>
      <c r="H1010" s="1252"/>
      <c r="N1010" s="1562"/>
    </row>
    <row r="1011" spans="1:14" x14ac:dyDescent="0.2">
      <c r="A1011" s="1249"/>
      <c r="B1011" s="1252"/>
      <c r="C1011" s="1255"/>
      <c r="D1011" s="1252"/>
      <c r="E1011" s="1252"/>
      <c r="F1011" s="1252"/>
      <c r="G1011" s="1252"/>
      <c r="H1011" s="1252"/>
      <c r="N1011" s="1562"/>
    </row>
    <row r="1012" spans="1:14" x14ac:dyDescent="0.2">
      <c r="A1012" s="1249"/>
      <c r="B1012" s="1252"/>
      <c r="C1012" s="1255"/>
      <c r="D1012" s="1252"/>
      <c r="E1012" s="1252"/>
      <c r="F1012" s="1252"/>
      <c r="G1012" s="1252"/>
      <c r="H1012" s="1252"/>
      <c r="N1012" s="1562"/>
    </row>
    <row r="1013" spans="1:14" x14ac:dyDescent="0.2">
      <c r="A1013" s="1249"/>
      <c r="B1013" s="1252"/>
      <c r="C1013" s="1255"/>
      <c r="D1013" s="1252"/>
      <c r="E1013" s="1252"/>
      <c r="F1013" s="1252"/>
      <c r="G1013" s="1252"/>
      <c r="H1013" s="1252"/>
      <c r="N1013" s="1562"/>
    </row>
    <row r="1014" spans="1:14" x14ac:dyDescent="0.2">
      <c r="A1014" s="1249"/>
      <c r="B1014" s="1252"/>
      <c r="C1014" s="1255"/>
      <c r="D1014" s="1252"/>
      <c r="E1014" s="1252"/>
      <c r="F1014" s="1252"/>
      <c r="G1014" s="1252"/>
      <c r="H1014" s="1252"/>
      <c r="N1014" s="1562"/>
    </row>
    <row r="1015" spans="1:14" x14ac:dyDescent="0.2">
      <c r="A1015" s="1249"/>
      <c r="B1015" s="1252"/>
      <c r="C1015" s="1255"/>
      <c r="D1015" s="1252"/>
      <c r="E1015" s="1252"/>
      <c r="F1015" s="1252"/>
      <c r="G1015" s="1252"/>
      <c r="H1015" s="1252"/>
      <c r="N1015" s="1562"/>
    </row>
    <row r="1016" spans="1:14" x14ac:dyDescent="0.2">
      <c r="A1016" s="1249"/>
      <c r="B1016" s="1252"/>
      <c r="C1016" s="1255"/>
      <c r="D1016" s="1252"/>
      <c r="E1016" s="1252"/>
      <c r="F1016" s="1252"/>
      <c r="G1016" s="1252"/>
      <c r="H1016" s="1252"/>
      <c r="N1016" s="1562"/>
    </row>
    <row r="1017" spans="1:14" x14ac:dyDescent="0.2">
      <c r="A1017" s="1249"/>
      <c r="B1017" s="1252"/>
      <c r="C1017" s="1255"/>
      <c r="D1017" s="1252"/>
      <c r="E1017" s="1252"/>
      <c r="F1017" s="1252"/>
      <c r="G1017" s="1252"/>
      <c r="H1017" s="1252"/>
      <c r="N1017" s="1562"/>
    </row>
    <row r="1018" spans="1:14" x14ac:dyDescent="0.2">
      <c r="A1018" s="1249"/>
      <c r="B1018" s="1252"/>
      <c r="C1018" s="1255"/>
      <c r="D1018" s="1252"/>
      <c r="E1018" s="1252"/>
      <c r="F1018" s="1252"/>
      <c r="G1018" s="1252"/>
      <c r="H1018" s="1252"/>
      <c r="N1018" s="1562"/>
    </row>
    <row r="1019" spans="1:14" x14ac:dyDescent="0.2">
      <c r="A1019" s="1249"/>
      <c r="B1019" s="1252"/>
      <c r="C1019" s="1255"/>
      <c r="D1019" s="1252"/>
      <c r="E1019" s="1252"/>
      <c r="F1019" s="1252"/>
      <c r="G1019" s="1252"/>
      <c r="H1019" s="1252"/>
      <c r="N1019" s="1562"/>
    </row>
    <row r="1020" spans="1:14" x14ac:dyDescent="0.2">
      <c r="A1020" s="1249"/>
      <c r="B1020" s="1252"/>
      <c r="C1020" s="1255"/>
      <c r="D1020" s="1252"/>
      <c r="E1020" s="1252"/>
      <c r="F1020" s="1252"/>
      <c r="G1020" s="1252"/>
      <c r="H1020" s="1252"/>
      <c r="N1020" s="1562"/>
    </row>
    <row r="1021" spans="1:14" x14ac:dyDescent="0.2">
      <c r="A1021" s="1249"/>
      <c r="B1021" s="1252"/>
      <c r="C1021" s="1255"/>
      <c r="D1021" s="1252"/>
      <c r="E1021" s="1252"/>
      <c r="F1021" s="1252"/>
      <c r="G1021" s="1252"/>
      <c r="H1021" s="1252"/>
      <c r="N1021" s="1562"/>
    </row>
    <row r="1022" spans="1:14" x14ac:dyDescent="0.2">
      <c r="A1022" s="1249"/>
      <c r="B1022" s="1252"/>
      <c r="C1022" s="1255"/>
      <c r="D1022" s="1252"/>
      <c r="E1022" s="1252"/>
      <c r="F1022" s="1252"/>
      <c r="G1022" s="1252"/>
      <c r="H1022" s="1252"/>
      <c r="N1022" s="1562"/>
    </row>
    <row r="1023" spans="1:14" x14ac:dyDescent="0.2">
      <c r="A1023" s="1249"/>
      <c r="B1023" s="1252"/>
      <c r="C1023" s="1255"/>
      <c r="D1023" s="1252"/>
      <c r="E1023" s="1252"/>
      <c r="F1023" s="1252"/>
      <c r="G1023" s="1252"/>
      <c r="H1023" s="1252"/>
      <c r="N1023" s="1562"/>
    </row>
    <row r="1024" spans="1:14" x14ac:dyDescent="0.2">
      <c r="A1024" s="1249"/>
      <c r="B1024" s="1252"/>
      <c r="C1024" s="1255"/>
      <c r="D1024" s="1252"/>
      <c r="E1024" s="1252"/>
      <c r="F1024" s="1252"/>
      <c r="G1024" s="1252"/>
      <c r="H1024" s="1252"/>
      <c r="N1024" s="1562"/>
    </row>
    <row r="1025" spans="1:14" x14ac:dyDescent="0.2">
      <c r="A1025" s="1249"/>
      <c r="B1025" s="1252"/>
      <c r="C1025" s="1255"/>
      <c r="D1025" s="1252"/>
      <c r="E1025" s="1252"/>
      <c r="F1025" s="1252"/>
      <c r="G1025" s="1252"/>
      <c r="H1025" s="1252"/>
      <c r="N1025" s="1562"/>
    </row>
    <row r="1026" spans="1:14" x14ac:dyDescent="0.2">
      <c r="A1026" s="1249"/>
      <c r="B1026" s="1252"/>
      <c r="C1026" s="1255"/>
      <c r="D1026" s="1252"/>
      <c r="E1026" s="1252"/>
      <c r="F1026" s="1252"/>
      <c r="G1026" s="1252"/>
      <c r="H1026" s="1252"/>
      <c r="N1026" s="1562"/>
    </row>
    <row r="1027" spans="1:14" x14ac:dyDescent="0.2">
      <c r="A1027" s="1249"/>
      <c r="B1027" s="1252"/>
      <c r="C1027" s="1255"/>
      <c r="D1027" s="1252"/>
      <c r="E1027" s="1252"/>
      <c r="F1027" s="1252"/>
      <c r="G1027" s="1252"/>
      <c r="H1027" s="1252"/>
      <c r="N1027" s="1562"/>
    </row>
    <row r="1028" spans="1:14" x14ac:dyDescent="0.2">
      <c r="A1028" s="1249"/>
      <c r="B1028" s="1252"/>
      <c r="C1028" s="1255"/>
      <c r="D1028" s="1252"/>
      <c r="E1028" s="1252"/>
      <c r="F1028" s="1252"/>
      <c r="G1028" s="1252"/>
      <c r="H1028" s="1252"/>
      <c r="N1028" s="1562"/>
    </row>
    <row r="1029" spans="1:14" x14ac:dyDescent="0.2">
      <c r="A1029" s="1249"/>
      <c r="B1029" s="1252"/>
      <c r="C1029" s="1255"/>
      <c r="D1029" s="1252"/>
      <c r="E1029" s="1252"/>
      <c r="F1029" s="1252"/>
      <c r="G1029" s="1252"/>
      <c r="H1029" s="1252"/>
      <c r="N1029" s="1562"/>
    </row>
    <row r="1030" spans="1:14" x14ac:dyDescent="0.2">
      <c r="A1030" s="1249"/>
      <c r="B1030" s="1252"/>
      <c r="C1030" s="1255"/>
      <c r="D1030" s="1252"/>
      <c r="E1030" s="1252"/>
      <c r="F1030" s="1252"/>
      <c r="G1030" s="1252"/>
      <c r="H1030" s="1252"/>
      <c r="N1030" s="1562"/>
    </row>
    <row r="1031" spans="1:14" x14ac:dyDescent="0.2">
      <c r="A1031" s="1249"/>
      <c r="B1031" s="1252"/>
      <c r="C1031" s="1255"/>
      <c r="D1031" s="1252"/>
      <c r="E1031" s="1252"/>
      <c r="F1031" s="1252"/>
      <c r="G1031" s="1252"/>
      <c r="H1031" s="1252"/>
      <c r="N1031" s="1562"/>
    </row>
    <row r="1032" spans="1:14" x14ac:dyDescent="0.2">
      <c r="A1032" s="1249"/>
      <c r="B1032" s="1252"/>
      <c r="C1032" s="1255"/>
      <c r="D1032" s="1252"/>
      <c r="E1032" s="1252"/>
      <c r="F1032" s="1252"/>
      <c r="G1032" s="1252"/>
      <c r="H1032" s="1252"/>
      <c r="N1032" s="1562"/>
    </row>
    <row r="1033" spans="1:14" x14ac:dyDescent="0.2">
      <c r="A1033" s="1249"/>
      <c r="B1033" s="1252"/>
      <c r="C1033" s="1255"/>
      <c r="D1033" s="1252"/>
      <c r="E1033" s="1252"/>
      <c r="F1033" s="1252"/>
      <c r="G1033" s="1252"/>
      <c r="H1033" s="1252"/>
      <c r="N1033" s="1562"/>
    </row>
    <row r="1034" spans="1:14" x14ac:dyDescent="0.2">
      <c r="A1034" s="1249"/>
      <c r="B1034" s="1252"/>
      <c r="C1034" s="1255"/>
      <c r="D1034" s="1252"/>
      <c r="E1034" s="1252"/>
      <c r="F1034" s="1252"/>
      <c r="G1034" s="1252"/>
      <c r="H1034" s="1252"/>
      <c r="N1034" s="1562"/>
    </row>
    <row r="1035" spans="1:14" x14ac:dyDescent="0.2">
      <c r="A1035" s="1249"/>
      <c r="B1035" s="1252"/>
      <c r="C1035" s="1255"/>
      <c r="D1035" s="1252"/>
      <c r="E1035" s="1252"/>
      <c r="F1035" s="1252"/>
      <c r="G1035" s="1252"/>
      <c r="H1035" s="1252"/>
      <c r="N1035" s="1562"/>
    </row>
    <row r="1036" spans="1:14" x14ac:dyDescent="0.2">
      <c r="A1036" s="1249"/>
      <c r="B1036" s="1252"/>
      <c r="C1036" s="1255"/>
      <c r="D1036" s="1252"/>
      <c r="E1036" s="1252"/>
      <c r="F1036" s="1252"/>
      <c r="G1036" s="1252"/>
      <c r="H1036" s="1252"/>
      <c r="N1036" s="1562"/>
    </row>
    <row r="1037" spans="1:14" x14ac:dyDescent="0.2">
      <c r="A1037" s="1249"/>
      <c r="B1037" s="1252"/>
      <c r="C1037" s="1255"/>
      <c r="D1037" s="1252"/>
      <c r="E1037" s="1252"/>
      <c r="F1037" s="1252"/>
      <c r="G1037" s="1252"/>
      <c r="H1037" s="1252"/>
      <c r="N1037" s="1562"/>
    </row>
    <row r="1038" spans="1:14" x14ac:dyDescent="0.2">
      <c r="A1038" s="1249"/>
      <c r="B1038" s="1252"/>
      <c r="C1038" s="1255"/>
      <c r="D1038" s="1252"/>
      <c r="E1038" s="1252"/>
      <c r="F1038" s="1252"/>
      <c r="G1038" s="1252"/>
      <c r="H1038" s="1252"/>
      <c r="N1038" s="1562"/>
    </row>
    <row r="1039" spans="1:14" x14ac:dyDescent="0.2">
      <c r="A1039" s="1249"/>
      <c r="B1039" s="1252"/>
      <c r="C1039" s="1255"/>
      <c r="D1039" s="1252"/>
      <c r="E1039" s="1252"/>
      <c r="F1039" s="1252"/>
      <c r="G1039" s="1252"/>
      <c r="H1039" s="1252"/>
      <c r="N1039" s="1562"/>
    </row>
    <row r="1040" spans="1:14" x14ac:dyDescent="0.2">
      <c r="A1040" s="1249"/>
      <c r="B1040" s="1252"/>
      <c r="C1040" s="1255"/>
      <c r="D1040" s="1252"/>
      <c r="E1040" s="1252"/>
      <c r="F1040" s="1252"/>
      <c r="G1040" s="1252"/>
      <c r="H1040" s="1252"/>
      <c r="N1040" s="1562"/>
    </row>
    <row r="1041" spans="1:14" x14ac:dyDescent="0.2">
      <c r="A1041" s="1249"/>
      <c r="B1041" s="1252"/>
      <c r="C1041" s="1255"/>
      <c r="D1041" s="1252"/>
      <c r="E1041" s="1252"/>
      <c r="F1041" s="1252"/>
      <c r="G1041" s="1252"/>
      <c r="H1041" s="1252"/>
      <c r="N1041" s="1562"/>
    </row>
    <row r="1042" spans="1:14" x14ac:dyDescent="0.2">
      <c r="A1042" s="1249"/>
      <c r="B1042" s="1252"/>
      <c r="C1042" s="1255"/>
      <c r="D1042" s="1252"/>
      <c r="E1042" s="1252"/>
      <c r="F1042" s="1252"/>
      <c r="G1042" s="1252"/>
      <c r="H1042" s="1252"/>
      <c r="N1042" s="1562"/>
    </row>
    <row r="1043" spans="1:14" x14ac:dyDescent="0.2">
      <c r="A1043" s="1249"/>
      <c r="B1043" s="1252"/>
      <c r="C1043" s="1255"/>
      <c r="D1043" s="1252"/>
      <c r="E1043" s="1252"/>
      <c r="F1043" s="1252"/>
      <c r="G1043" s="1252"/>
      <c r="H1043" s="1252"/>
      <c r="N1043" s="1562"/>
    </row>
    <row r="1044" spans="1:14" x14ac:dyDescent="0.2">
      <c r="A1044" s="1249"/>
      <c r="B1044" s="1252"/>
      <c r="C1044" s="1255"/>
      <c r="D1044" s="1252"/>
      <c r="E1044" s="1252"/>
      <c r="F1044" s="1252"/>
      <c r="G1044" s="1252"/>
      <c r="H1044" s="1252"/>
      <c r="N1044" s="1562"/>
    </row>
    <row r="1045" spans="1:14" x14ac:dyDescent="0.2">
      <c r="A1045" s="1249"/>
      <c r="B1045" s="1252"/>
      <c r="C1045" s="1255"/>
      <c r="D1045" s="1252"/>
      <c r="E1045" s="1252"/>
      <c r="F1045" s="1252"/>
      <c r="G1045" s="1252"/>
      <c r="H1045" s="1252"/>
      <c r="N1045" s="1562"/>
    </row>
    <row r="1046" spans="1:14" x14ac:dyDescent="0.2">
      <c r="A1046" s="1249"/>
      <c r="B1046" s="1252"/>
      <c r="C1046" s="1255"/>
      <c r="D1046" s="1252"/>
      <c r="E1046" s="1252"/>
      <c r="F1046" s="1252"/>
      <c r="G1046" s="1252"/>
      <c r="H1046" s="1252"/>
      <c r="N1046" s="1562"/>
    </row>
    <row r="1047" spans="1:14" x14ac:dyDescent="0.2">
      <c r="A1047" s="1249"/>
      <c r="B1047" s="1252"/>
      <c r="C1047" s="1255"/>
      <c r="D1047" s="1252"/>
      <c r="E1047" s="1252"/>
      <c r="F1047" s="1252"/>
      <c r="G1047" s="1252"/>
      <c r="H1047" s="1252"/>
      <c r="N1047" s="1562"/>
    </row>
    <row r="1048" spans="1:14" x14ac:dyDescent="0.2">
      <c r="A1048" s="1249"/>
      <c r="B1048" s="1252"/>
      <c r="C1048" s="1255"/>
      <c r="D1048" s="1252"/>
      <c r="E1048" s="1252"/>
      <c r="F1048" s="1252"/>
      <c r="G1048" s="1252"/>
      <c r="H1048" s="1252"/>
      <c r="N1048" s="1562"/>
    </row>
    <row r="1049" spans="1:14" x14ac:dyDescent="0.2">
      <c r="A1049" s="1249"/>
      <c r="B1049" s="1252"/>
      <c r="C1049" s="1255"/>
      <c r="D1049" s="1252"/>
      <c r="E1049" s="1252"/>
      <c r="F1049" s="1252"/>
      <c r="G1049" s="1252"/>
      <c r="H1049" s="1252"/>
      <c r="N1049" s="1562"/>
    </row>
    <row r="1050" spans="1:14" x14ac:dyDescent="0.2">
      <c r="A1050" s="1249"/>
      <c r="B1050" s="1252"/>
      <c r="C1050" s="1255"/>
      <c r="D1050" s="1252"/>
      <c r="E1050" s="1252"/>
      <c r="F1050" s="1252"/>
      <c r="G1050" s="1252"/>
      <c r="H1050" s="1252"/>
      <c r="N1050" s="1562"/>
    </row>
    <row r="1051" spans="1:14" x14ac:dyDescent="0.2">
      <c r="A1051" s="1249"/>
      <c r="B1051" s="1252"/>
      <c r="C1051" s="1255"/>
      <c r="D1051" s="1252"/>
      <c r="E1051" s="1252"/>
      <c r="F1051" s="1252"/>
      <c r="G1051" s="1252"/>
      <c r="H1051" s="1252"/>
      <c r="N1051" s="1562"/>
    </row>
    <row r="1052" spans="1:14" x14ac:dyDescent="0.2">
      <c r="A1052" s="1249"/>
      <c r="B1052" s="1252"/>
      <c r="C1052" s="1255"/>
      <c r="D1052" s="1252"/>
      <c r="E1052" s="1252"/>
      <c r="F1052" s="1252"/>
      <c r="G1052" s="1252"/>
      <c r="H1052" s="1252"/>
      <c r="N1052" s="1562"/>
    </row>
    <row r="1053" spans="1:14" x14ac:dyDescent="0.2">
      <c r="A1053" s="1249"/>
      <c r="B1053" s="1252"/>
      <c r="C1053" s="1255"/>
      <c r="D1053" s="1252"/>
      <c r="E1053" s="1252"/>
      <c r="F1053" s="1252"/>
      <c r="G1053" s="1252"/>
      <c r="H1053" s="1252"/>
      <c r="N1053" s="1562"/>
    </row>
    <row r="1054" spans="1:14" x14ac:dyDescent="0.2">
      <c r="A1054" s="1249"/>
      <c r="B1054" s="1252"/>
      <c r="C1054" s="1255"/>
      <c r="D1054" s="1252"/>
      <c r="E1054" s="1252"/>
      <c r="F1054" s="1252"/>
      <c r="G1054" s="1252"/>
      <c r="H1054" s="1252"/>
      <c r="N1054" s="1562"/>
    </row>
    <row r="1055" spans="1:14" x14ac:dyDescent="0.2">
      <c r="A1055" s="1249"/>
      <c r="B1055" s="1252"/>
      <c r="C1055" s="1255"/>
      <c r="D1055" s="1252"/>
      <c r="E1055" s="1252"/>
      <c r="F1055" s="1252"/>
      <c r="G1055" s="1252"/>
      <c r="H1055" s="1252"/>
      <c r="N1055" s="1562"/>
    </row>
    <row r="1056" spans="1:14" x14ac:dyDescent="0.2">
      <c r="A1056" s="1249"/>
      <c r="B1056" s="1252"/>
      <c r="C1056" s="1255"/>
      <c r="D1056" s="1252"/>
      <c r="E1056" s="1252"/>
      <c r="F1056" s="1252"/>
      <c r="G1056" s="1252"/>
      <c r="H1056" s="1252"/>
      <c r="N1056" s="1562"/>
    </row>
    <row r="1057" spans="1:14" x14ac:dyDescent="0.2">
      <c r="A1057" s="1249"/>
      <c r="B1057" s="1252"/>
      <c r="C1057" s="1255"/>
      <c r="D1057" s="1252"/>
      <c r="E1057" s="1252"/>
      <c r="F1057" s="1252"/>
      <c r="G1057" s="1252"/>
      <c r="H1057" s="1252"/>
      <c r="N1057" s="1562"/>
    </row>
    <row r="1058" spans="1:14" x14ac:dyDescent="0.2">
      <c r="A1058" s="1249"/>
      <c r="B1058" s="1252"/>
      <c r="C1058" s="1255"/>
      <c r="D1058" s="1252"/>
      <c r="E1058" s="1252"/>
      <c r="F1058" s="1252"/>
      <c r="G1058" s="1252"/>
      <c r="H1058" s="1252"/>
      <c r="N1058" s="1562"/>
    </row>
    <row r="1059" spans="1:14" x14ac:dyDescent="0.2">
      <c r="A1059" s="1249"/>
      <c r="B1059" s="1252"/>
      <c r="C1059" s="1255"/>
      <c r="D1059" s="1252"/>
      <c r="E1059" s="1252"/>
      <c r="F1059" s="1252"/>
      <c r="G1059" s="1252"/>
      <c r="H1059" s="1252"/>
      <c r="N1059" s="1562"/>
    </row>
    <row r="1060" spans="1:14" x14ac:dyDescent="0.2">
      <c r="A1060" s="1249"/>
      <c r="B1060" s="1252"/>
      <c r="C1060" s="1255"/>
      <c r="D1060" s="1252"/>
      <c r="E1060" s="1252"/>
      <c r="F1060" s="1252"/>
      <c r="G1060" s="1252"/>
      <c r="H1060" s="1252"/>
      <c r="N1060" s="1562"/>
    </row>
    <row r="1061" spans="1:14" x14ac:dyDescent="0.2">
      <c r="A1061" s="1249"/>
      <c r="B1061" s="1252"/>
      <c r="C1061" s="1255"/>
      <c r="D1061" s="1252"/>
      <c r="E1061" s="1252"/>
      <c r="F1061" s="1252"/>
      <c r="G1061" s="1252"/>
      <c r="H1061" s="1252"/>
      <c r="N1061" s="1562"/>
    </row>
    <row r="1062" spans="1:14" x14ac:dyDescent="0.2">
      <c r="A1062" s="1249"/>
      <c r="B1062" s="1252"/>
      <c r="C1062" s="1255"/>
      <c r="D1062" s="1252"/>
      <c r="E1062" s="1252"/>
      <c r="F1062" s="1252"/>
      <c r="G1062" s="1252"/>
      <c r="H1062" s="1252"/>
      <c r="N1062" s="1562"/>
    </row>
    <row r="1063" spans="1:14" x14ac:dyDescent="0.2">
      <c r="A1063" s="1249"/>
      <c r="B1063" s="1252"/>
      <c r="C1063" s="1255"/>
      <c r="D1063" s="1252"/>
      <c r="E1063" s="1252"/>
      <c r="F1063" s="1252"/>
      <c r="G1063" s="1252"/>
      <c r="H1063" s="1252"/>
      <c r="N1063" s="1562"/>
    </row>
    <row r="1064" spans="1:14" x14ac:dyDescent="0.2">
      <c r="A1064" s="1249"/>
      <c r="B1064" s="1252"/>
      <c r="C1064" s="1255"/>
      <c r="D1064" s="1252"/>
      <c r="E1064" s="1252"/>
      <c r="F1064" s="1252"/>
      <c r="G1064" s="1252"/>
      <c r="H1064" s="1252"/>
      <c r="N1064" s="1562"/>
    </row>
    <row r="1065" spans="1:14" x14ac:dyDescent="0.2">
      <c r="A1065" s="1249"/>
      <c r="B1065" s="1252"/>
      <c r="C1065" s="1255"/>
      <c r="D1065" s="1252"/>
      <c r="E1065" s="1252"/>
      <c r="F1065" s="1252"/>
      <c r="G1065" s="1252"/>
      <c r="H1065" s="1252"/>
      <c r="N1065" s="1562"/>
    </row>
    <row r="1066" spans="1:14" x14ac:dyDescent="0.2">
      <c r="A1066" s="1249"/>
      <c r="B1066" s="1252"/>
      <c r="C1066" s="1255"/>
      <c r="D1066" s="1252"/>
      <c r="E1066" s="1252"/>
      <c r="F1066" s="1252"/>
      <c r="G1066" s="1252"/>
      <c r="H1066" s="1252"/>
      <c r="N1066" s="1562"/>
    </row>
    <row r="1067" spans="1:14" x14ac:dyDescent="0.2">
      <c r="A1067" s="1249"/>
      <c r="B1067" s="1252"/>
      <c r="C1067" s="1255"/>
      <c r="D1067" s="1252"/>
      <c r="E1067" s="1252"/>
      <c r="F1067" s="1252"/>
      <c r="G1067" s="1252"/>
      <c r="H1067" s="1252"/>
      <c r="N1067" s="1562"/>
    </row>
    <row r="1068" spans="1:14" x14ac:dyDescent="0.2">
      <c r="A1068" s="1249"/>
      <c r="B1068" s="1252"/>
      <c r="C1068" s="1255"/>
      <c r="D1068" s="1252"/>
      <c r="E1068" s="1252"/>
      <c r="F1068" s="1252"/>
      <c r="G1068" s="1252"/>
      <c r="H1068" s="1252"/>
      <c r="N1068" s="1562"/>
    </row>
    <row r="1069" spans="1:14" x14ac:dyDescent="0.2">
      <c r="A1069" s="1249"/>
      <c r="B1069" s="1252"/>
      <c r="C1069" s="1255"/>
      <c r="D1069" s="1252"/>
      <c r="E1069" s="1252"/>
      <c r="F1069" s="1252"/>
      <c r="G1069" s="1252"/>
      <c r="H1069" s="1252"/>
      <c r="N1069" s="1562"/>
    </row>
    <row r="1070" spans="1:14" x14ac:dyDescent="0.2">
      <c r="A1070" s="1249"/>
      <c r="B1070" s="1252"/>
      <c r="C1070" s="1255"/>
      <c r="D1070" s="1252"/>
      <c r="E1070" s="1252"/>
      <c r="F1070" s="1252"/>
      <c r="G1070" s="1252"/>
      <c r="H1070" s="1252"/>
      <c r="N1070" s="1562"/>
    </row>
    <row r="1071" spans="1:14" x14ac:dyDescent="0.2">
      <c r="A1071" s="1249"/>
      <c r="B1071" s="1252"/>
      <c r="C1071" s="1255"/>
      <c r="D1071" s="1252"/>
      <c r="E1071" s="1252"/>
      <c r="F1071" s="1252"/>
      <c r="G1071" s="1252"/>
      <c r="H1071" s="1252"/>
      <c r="N1071" s="1562"/>
    </row>
    <row r="1072" spans="1:14" x14ac:dyDescent="0.2">
      <c r="A1072" s="1249"/>
      <c r="B1072" s="1252"/>
      <c r="C1072" s="1255"/>
      <c r="D1072" s="1252"/>
      <c r="E1072" s="1252"/>
      <c r="F1072" s="1252"/>
      <c r="G1072" s="1252"/>
      <c r="H1072" s="1252"/>
      <c r="N1072" s="1562"/>
    </row>
    <row r="1073" spans="1:14" x14ac:dyDescent="0.2">
      <c r="A1073" s="1249"/>
      <c r="B1073" s="1252"/>
      <c r="C1073" s="1255"/>
      <c r="D1073" s="1252"/>
      <c r="E1073" s="1252"/>
      <c r="F1073" s="1252"/>
      <c r="G1073" s="1252"/>
      <c r="H1073" s="1252"/>
      <c r="N1073" s="1562"/>
    </row>
    <row r="1074" spans="1:14" x14ac:dyDescent="0.2">
      <c r="A1074" s="1249"/>
      <c r="B1074" s="1252"/>
      <c r="C1074" s="1255"/>
      <c r="D1074" s="1252"/>
      <c r="E1074" s="1252"/>
      <c r="F1074" s="1252"/>
      <c r="G1074" s="1252"/>
      <c r="H1074" s="1252"/>
      <c r="N1074" s="1562"/>
    </row>
    <row r="1075" spans="1:14" x14ac:dyDescent="0.2">
      <c r="A1075" s="1249"/>
      <c r="B1075" s="1252"/>
      <c r="C1075" s="1255"/>
      <c r="D1075" s="1252"/>
      <c r="E1075" s="1252"/>
      <c r="F1075" s="1252"/>
      <c r="G1075" s="1252"/>
      <c r="H1075" s="1252"/>
      <c r="N1075" s="1562"/>
    </row>
    <row r="1076" spans="1:14" x14ac:dyDescent="0.2">
      <c r="A1076" s="1249"/>
      <c r="B1076" s="1252"/>
      <c r="C1076" s="1255"/>
      <c r="D1076" s="1252"/>
      <c r="E1076" s="1252"/>
      <c r="F1076" s="1252"/>
      <c r="G1076" s="1252"/>
      <c r="H1076" s="1252"/>
      <c r="N1076" s="1562"/>
    </row>
    <row r="1077" spans="1:14" x14ac:dyDescent="0.2">
      <c r="A1077" s="1249"/>
      <c r="B1077" s="1252"/>
      <c r="C1077" s="1255"/>
      <c r="D1077" s="1252"/>
      <c r="E1077" s="1252"/>
      <c r="F1077" s="1252"/>
      <c r="G1077" s="1252"/>
      <c r="H1077" s="1252"/>
      <c r="N1077" s="1562"/>
    </row>
    <row r="1078" spans="1:14" x14ac:dyDescent="0.2">
      <c r="A1078" s="1249"/>
      <c r="B1078" s="1252"/>
      <c r="C1078" s="1255"/>
      <c r="D1078" s="1252"/>
      <c r="E1078" s="1252"/>
      <c r="F1078" s="1252"/>
      <c r="G1078" s="1252"/>
      <c r="H1078" s="1252"/>
      <c r="N1078" s="1562"/>
    </row>
    <row r="1079" spans="1:14" x14ac:dyDescent="0.2">
      <c r="A1079" s="1249"/>
      <c r="B1079" s="1252"/>
      <c r="C1079" s="1255"/>
      <c r="D1079" s="1252"/>
      <c r="E1079" s="1252"/>
      <c r="F1079" s="1252"/>
      <c r="G1079" s="1252"/>
      <c r="H1079" s="1252"/>
      <c r="N1079" s="1562"/>
    </row>
    <row r="1080" spans="1:14" x14ac:dyDescent="0.2">
      <c r="A1080" s="1249"/>
      <c r="B1080" s="1252"/>
      <c r="C1080" s="1255"/>
      <c r="D1080" s="1252"/>
      <c r="E1080" s="1252"/>
      <c r="F1080" s="1252"/>
      <c r="G1080" s="1252"/>
      <c r="H1080" s="1252"/>
      <c r="N1080" s="1562"/>
    </row>
    <row r="1081" spans="1:14" x14ac:dyDescent="0.2">
      <c r="A1081" s="1249"/>
      <c r="B1081" s="1252"/>
      <c r="C1081" s="1255"/>
      <c r="D1081" s="1252"/>
      <c r="E1081" s="1252"/>
      <c r="F1081" s="1252"/>
      <c r="G1081" s="1252"/>
      <c r="H1081" s="1252"/>
      <c r="N1081" s="1562"/>
    </row>
    <row r="1082" spans="1:14" x14ac:dyDescent="0.2">
      <c r="A1082" s="1249"/>
      <c r="B1082" s="1252"/>
      <c r="C1082" s="1255"/>
      <c r="D1082" s="1252"/>
      <c r="E1082" s="1252"/>
      <c r="F1082" s="1252"/>
      <c r="G1082" s="1252"/>
      <c r="H1082" s="1252"/>
      <c r="N1082" s="1562"/>
    </row>
    <row r="1083" spans="1:14" x14ac:dyDescent="0.2">
      <c r="A1083" s="1249"/>
      <c r="B1083" s="1252"/>
      <c r="C1083" s="1255"/>
      <c r="D1083" s="1252"/>
      <c r="E1083" s="1252"/>
      <c r="F1083" s="1252"/>
      <c r="G1083" s="1252"/>
      <c r="H1083" s="1252"/>
      <c r="N1083" s="1562"/>
    </row>
    <row r="1084" spans="1:14" x14ac:dyDescent="0.2">
      <c r="A1084" s="1249"/>
      <c r="B1084" s="1252"/>
      <c r="C1084" s="1255"/>
      <c r="D1084" s="1252"/>
      <c r="E1084" s="1252"/>
      <c r="F1084" s="1252"/>
      <c r="G1084" s="1252"/>
      <c r="H1084" s="1252"/>
      <c r="N1084" s="1562"/>
    </row>
    <row r="1085" spans="1:14" x14ac:dyDescent="0.2">
      <c r="A1085" s="1249"/>
      <c r="B1085" s="1252"/>
      <c r="C1085" s="1255"/>
      <c r="D1085" s="1252"/>
      <c r="E1085" s="1252"/>
      <c r="F1085" s="1252"/>
      <c r="G1085" s="1252"/>
      <c r="H1085" s="1252"/>
      <c r="N1085" s="1562"/>
    </row>
    <row r="1086" spans="1:14" x14ac:dyDescent="0.2">
      <c r="A1086" s="1249"/>
      <c r="B1086" s="1252"/>
      <c r="C1086" s="1255"/>
      <c r="D1086" s="1252"/>
      <c r="E1086" s="1252"/>
      <c r="F1086" s="1252"/>
      <c r="G1086" s="1252"/>
      <c r="H1086" s="1252"/>
      <c r="N1086" s="1562"/>
    </row>
    <row r="1087" spans="1:14" x14ac:dyDescent="0.2">
      <c r="A1087" s="1249"/>
      <c r="B1087" s="1252"/>
      <c r="C1087" s="1255"/>
      <c r="D1087" s="1252"/>
      <c r="E1087" s="1252"/>
      <c r="F1087" s="1252"/>
      <c r="G1087" s="1252"/>
      <c r="H1087" s="1252"/>
      <c r="N1087" s="1562"/>
    </row>
    <row r="1088" spans="1:14" x14ac:dyDescent="0.2">
      <c r="A1088" s="1249"/>
      <c r="B1088" s="1252"/>
      <c r="C1088" s="1255"/>
      <c r="D1088" s="1252"/>
      <c r="E1088" s="1252"/>
      <c r="F1088" s="1252"/>
      <c r="G1088" s="1252"/>
      <c r="H1088" s="1252"/>
      <c r="N1088" s="1562"/>
    </row>
    <row r="1089" spans="1:14" x14ac:dyDescent="0.2">
      <c r="A1089" s="1249"/>
      <c r="B1089" s="1252"/>
      <c r="C1089" s="1255"/>
      <c r="D1089" s="1252"/>
      <c r="E1089" s="1252"/>
      <c r="F1089" s="1252"/>
      <c r="G1089" s="1252"/>
      <c r="H1089" s="1252"/>
      <c r="N1089" s="1562"/>
    </row>
    <row r="1090" spans="1:14" x14ac:dyDescent="0.2">
      <c r="A1090" s="1249"/>
      <c r="B1090" s="1252"/>
      <c r="C1090" s="1255"/>
      <c r="D1090" s="1252"/>
      <c r="E1090" s="1252"/>
      <c r="F1090" s="1252"/>
      <c r="G1090" s="1252"/>
      <c r="H1090" s="1252"/>
      <c r="N1090" s="1562"/>
    </row>
    <row r="1091" spans="1:14" x14ac:dyDescent="0.2">
      <c r="A1091" s="1249"/>
      <c r="B1091" s="1252"/>
      <c r="C1091" s="1255"/>
      <c r="D1091" s="1252"/>
      <c r="E1091" s="1252"/>
      <c r="F1091" s="1252"/>
      <c r="G1091" s="1252"/>
      <c r="H1091" s="1252"/>
      <c r="N1091" s="1562"/>
    </row>
    <row r="1092" spans="1:14" x14ac:dyDescent="0.2">
      <c r="A1092" s="1249"/>
      <c r="B1092" s="1252"/>
      <c r="C1092" s="1255"/>
      <c r="D1092" s="1252"/>
      <c r="E1092" s="1252"/>
      <c r="F1092" s="1252"/>
      <c r="G1092" s="1252"/>
      <c r="H1092" s="1252"/>
      <c r="N1092" s="1562"/>
    </row>
    <row r="1093" spans="1:14" x14ac:dyDescent="0.2">
      <c r="A1093" s="1249"/>
      <c r="B1093" s="1252"/>
      <c r="C1093" s="1255"/>
      <c r="D1093" s="1252"/>
      <c r="E1093" s="1252"/>
      <c r="F1093" s="1252"/>
      <c r="G1093" s="1252"/>
      <c r="H1093" s="1252"/>
      <c r="N1093" s="1562"/>
    </row>
    <row r="1094" spans="1:14" x14ac:dyDescent="0.2">
      <c r="A1094" s="1249"/>
      <c r="B1094" s="1252"/>
      <c r="C1094" s="1255"/>
      <c r="D1094" s="1252"/>
      <c r="E1094" s="1252"/>
      <c r="F1094" s="1252"/>
      <c r="G1094" s="1252"/>
      <c r="H1094" s="1252"/>
      <c r="N1094" s="1562"/>
    </row>
    <row r="1095" spans="1:14" x14ac:dyDescent="0.2">
      <c r="A1095" s="1249"/>
      <c r="B1095" s="1252"/>
      <c r="C1095" s="1255"/>
      <c r="D1095" s="1252"/>
      <c r="E1095" s="1252"/>
      <c r="F1095" s="1252"/>
      <c r="G1095" s="1252"/>
      <c r="H1095" s="1252"/>
      <c r="N1095" s="1562"/>
    </row>
    <row r="1096" spans="1:14" x14ac:dyDescent="0.2">
      <c r="A1096" s="1249"/>
      <c r="B1096" s="1252"/>
      <c r="C1096" s="1255"/>
      <c r="D1096" s="1252"/>
      <c r="E1096" s="1252"/>
      <c r="F1096" s="1252"/>
      <c r="G1096" s="1252"/>
      <c r="H1096" s="1252"/>
      <c r="N1096" s="1562"/>
    </row>
    <row r="1097" spans="1:14" x14ac:dyDescent="0.2">
      <c r="A1097" s="1249"/>
      <c r="B1097" s="1252"/>
      <c r="C1097" s="1255"/>
      <c r="D1097" s="1252"/>
      <c r="E1097" s="1252"/>
      <c r="F1097" s="1252"/>
      <c r="G1097" s="1252"/>
      <c r="H1097" s="1252"/>
      <c r="N1097" s="1562"/>
    </row>
    <row r="1098" spans="1:14" x14ac:dyDescent="0.2">
      <c r="A1098" s="1249"/>
      <c r="B1098" s="1252"/>
      <c r="C1098" s="1255"/>
      <c r="D1098" s="1252"/>
      <c r="E1098" s="1252"/>
      <c r="F1098" s="1252"/>
      <c r="G1098" s="1252"/>
      <c r="H1098" s="1252"/>
      <c r="N1098" s="1562"/>
    </row>
    <row r="1099" spans="1:14" x14ac:dyDescent="0.2">
      <c r="A1099" s="1249"/>
      <c r="B1099" s="1252"/>
      <c r="C1099" s="1255"/>
      <c r="D1099" s="1252"/>
      <c r="E1099" s="1252"/>
      <c r="F1099" s="1252"/>
      <c r="G1099" s="1252"/>
      <c r="H1099" s="1252"/>
      <c r="N1099" s="1562"/>
    </row>
    <row r="1100" spans="1:14" x14ac:dyDescent="0.2">
      <c r="A1100" s="1249"/>
      <c r="B1100" s="1252"/>
      <c r="C1100" s="1255"/>
      <c r="D1100" s="1252"/>
      <c r="E1100" s="1252"/>
      <c r="F1100" s="1252"/>
      <c r="G1100" s="1252"/>
      <c r="H1100" s="1252"/>
      <c r="N1100" s="1562"/>
    </row>
    <row r="1101" spans="1:14" x14ac:dyDescent="0.2">
      <c r="A1101" s="1249"/>
      <c r="B1101" s="1252"/>
      <c r="C1101" s="1255"/>
      <c r="D1101" s="1252"/>
      <c r="E1101" s="1252"/>
      <c r="F1101" s="1252"/>
      <c r="G1101" s="1252"/>
      <c r="H1101" s="1252"/>
      <c r="N1101" s="1562"/>
    </row>
    <row r="1102" spans="1:14" x14ac:dyDescent="0.2">
      <c r="A1102" s="1249"/>
      <c r="B1102" s="1252"/>
      <c r="C1102" s="1255"/>
      <c r="D1102" s="1252"/>
      <c r="E1102" s="1252"/>
      <c r="F1102" s="1252"/>
      <c r="G1102" s="1252"/>
      <c r="H1102" s="1252"/>
      <c r="N1102" s="1562"/>
    </row>
    <row r="1103" spans="1:14" x14ac:dyDescent="0.2">
      <c r="A1103" s="1249"/>
      <c r="B1103" s="1252"/>
      <c r="C1103" s="1255"/>
      <c r="D1103" s="1252"/>
      <c r="E1103" s="1252"/>
      <c r="F1103" s="1252"/>
      <c r="G1103" s="1252"/>
      <c r="H1103" s="1252"/>
      <c r="N1103" s="1562"/>
    </row>
    <row r="1104" spans="1:14" x14ac:dyDescent="0.2">
      <c r="A1104" s="1249"/>
      <c r="B1104" s="1252"/>
      <c r="C1104" s="1255"/>
      <c r="D1104" s="1252"/>
      <c r="E1104" s="1252"/>
      <c r="F1104" s="1252"/>
      <c r="G1104" s="1252"/>
      <c r="H1104" s="1252"/>
      <c r="N1104" s="1562"/>
    </row>
    <row r="1105" spans="1:14" x14ac:dyDescent="0.2">
      <c r="A1105" s="1249"/>
      <c r="B1105" s="1252"/>
      <c r="C1105" s="1255"/>
      <c r="D1105" s="1252"/>
      <c r="E1105" s="1252"/>
      <c r="F1105" s="1252"/>
      <c r="G1105" s="1252"/>
      <c r="H1105" s="1252"/>
      <c r="N1105" s="1562"/>
    </row>
    <row r="1106" spans="1:14" x14ac:dyDescent="0.2">
      <c r="A1106" s="1249"/>
      <c r="B1106" s="1252"/>
      <c r="C1106" s="1255"/>
      <c r="D1106" s="1252"/>
      <c r="E1106" s="1252"/>
      <c r="F1106" s="1252"/>
      <c r="G1106" s="1252"/>
      <c r="H1106" s="1252"/>
      <c r="N1106" s="1562"/>
    </row>
    <row r="1107" spans="1:14" x14ac:dyDescent="0.2">
      <c r="A1107" s="1249"/>
      <c r="B1107" s="1252"/>
      <c r="C1107" s="1255"/>
      <c r="D1107" s="1252"/>
      <c r="E1107" s="1252"/>
      <c r="F1107" s="1252"/>
      <c r="G1107" s="1252"/>
      <c r="H1107" s="1252"/>
      <c r="N1107" s="1562"/>
    </row>
    <row r="1108" spans="1:14" x14ac:dyDescent="0.2">
      <c r="A1108" s="1249"/>
      <c r="B1108" s="1252"/>
      <c r="C1108" s="1255"/>
      <c r="D1108" s="1252"/>
      <c r="E1108" s="1252"/>
      <c r="F1108" s="1252"/>
      <c r="G1108" s="1252"/>
      <c r="H1108" s="1252"/>
      <c r="N1108" s="1562"/>
    </row>
    <row r="1109" spans="1:14" x14ac:dyDescent="0.2">
      <c r="A1109" s="1249"/>
      <c r="B1109" s="1252"/>
      <c r="C1109" s="1255"/>
      <c r="D1109" s="1252"/>
      <c r="E1109" s="1252"/>
      <c r="F1109" s="1252"/>
      <c r="G1109" s="1252"/>
      <c r="H1109" s="1252"/>
      <c r="N1109" s="1562"/>
    </row>
    <row r="1110" spans="1:14" x14ac:dyDescent="0.2">
      <c r="A1110" s="1249"/>
      <c r="B1110" s="1252"/>
      <c r="C1110" s="1255"/>
      <c r="D1110" s="1252"/>
      <c r="E1110" s="1252"/>
      <c r="F1110" s="1252"/>
      <c r="G1110" s="1252"/>
      <c r="H1110" s="1252"/>
      <c r="N1110" s="1562"/>
    </row>
    <row r="1111" spans="1:14" x14ac:dyDescent="0.2">
      <c r="A1111" s="1249"/>
      <c r="B1111" s="1252"/>
      <c r="C1111" s="1255"/>
      <c r="D1111" s="1252"/>
      <c r="E1111" s="1252"/>
      <c r="F1111" s="1252"/>
      <c r="G1111" s="1252"/>
      <c r="H1111" s="1252"/>
      <c r="N1111" s="1562"/>
    </row>
    <row r="1112" spans="1:14" x14ac:dyDescent="0.2">
      <c r="A1112" s="1249"/>
      <c r="B1112" s="1252"/>
      <c r="C1112" s="1255"/>
      <c r="D1112" s="1252"/>
      <c r="E1112" s="1252"/>
      <c r="F1112" s="1252"/>
      <c r="G1112" s="1252"/>
      <c r="H1112" s="1252"/>
      <c r="N1112" s="1562"/>
    </row>
    <row r="1113" spans="1:14" x14ac:dyDescent="0.2">
      <c r="A1113" s="1249"/>
      <c r="B1113" s="1252"/>
      <c r="C1113" s="1255"/>
      <c r="D1113" s="1252"/>
      <c r="E1113" s="1252"/>
      <c r="F1113" s="1252"/>
      <c r="G1113" s="1252"/>
      <c r="H1113" s="1252"/>
      <c r="N1113" s="1562"/>
    </row>
    <row r="1114" spans="1:14" x14ac:dyDescent="0.2">
      <c r="A1114" s="1249"/>
      <c r="B1114" s="1252"/>
      <c r="C1114" s="1255"/>
      <c r="D1114" s="1252"/>
      <c r="E1114" s="1252"/>
      <c r="F1114" s="1252"/>
      <c r="G1114" s="1252"/>
      <c r="H1114" s="1252"/>
      <c r="N1114" s="1562"/>
    </row>
    <row r="1115" spans="1:14" x14ac:dyDescent="0.2">
      <c r="A1115" s="1249"/>
      <c r="B1115" s="1252"/>
      <c r="C1115" s="1255"/>
      <c r="D1115" s="1252"/>
      <c r="E1115" s="1252"/>
      <c r="F1115" s="1252"/>
      <c r="G1115" s="1252"/>
      <c r="H1115" s="1252"/>
      <c r="N1115" s="1562"/>
    </row>
    <row r="1116" spans="1:14" x14ac:dyDescent="0.2">
      <c r="A1116" s="1249"/>
      <c r="B1116" s="1252"/>
      <c r="C1116" s="1255"/>
      <c r="D1116" s="1252"/>
      <c r="E1116" s="1252"/>
      <c r="F1116" s="1252"/>
      <c r="G1116" s="1252"/>
      <c r="H1116" s="1252"/>
      <c r="N1116" s="1562"/>
    </row>
    <row r="1117" spans="1:14" x14ac:dyDescent="0.2">
      <c r="A1117" s="1249"/>
      <c r="B1117" s="1252"/>
      <c r="C1117" s="1255"/>
      <c r="D1117" s="1252"/>
      <c r="E1117" s="1252"/>
      <c r="F1117" s="1252"/>
      <c r="G1117" s="1252"/>
      <c r="H1117" s="1252"/>
      <c r="N1117" s="1562"/>
    </row>
    <row r="1118" spans="1:14" x14ac:dyDescent="0.2">
      <c r="A1118" s="1249"/>
      <c r="B1118" s="1252"/>
      <c r="C1118" s="1255"/>
      <c r="D1118" s="1252"/>
      <c r="E1118" s="1252"/>
      <c r="F1118" s="1252"/>
      <c r="G1118" s="1252"/>
      <c r="H1118" s="1252"/>
      <c r="N1118" s="1562"/>
    </row>
    <row r="1119" spans="1:14" x14ac:dyDescent="0.2">
      <c r="A1119" s="1249"/>
      <c r="B1119" s="1252"/>
      <c r="C1119" s="1255"/>
      <c r="D1119" s="1252"/>
      <c r="E1119" s="1252"/>
      <c r="F1119" s="1252"/>
      <c r="G1119" s="1252"/>
      <c r="H1119" s="1252"/>
      <c r="N1119" s="1562"/>
    </row>
    <row r="1120" spans="1:14" x14ac:dyDescent="0.2">
      <c r="A1120" s="1249"/>
      <c r="B1120" s="1252"/>
      <c r="C1120" s="1255"/>
      <c r="D1120" s="1252"/>
      <c r="E1120" s="1252"/>
      <c r="F1120" s="1252"/>
      <c r="G1120" s="1252"/>
      <c r="H1120" s="1252"/>
      <c r="N1120" s="1562"/>
    </row>
    <row r="1121" spans="1:14" x14ac:dyDescent="0.2">
      <c r="A1121" s="1249"/>
      <c r="B1121" s="1252"/>
      <c r="C1121" s="1255"/>
      <c r="D1121" s="1252"/>
      <c r="E1121" s="1252"/>
      <c r="F1121" s="1252"/>
      <c r="G1121" s="1252"/>
      <c r="H1121" s="1252"/>
      <c r="N1121" s="1562"/>
    </row>
    <row r="1122" spans="1:14" x14ac:dyDescent="0.2">
      <c r="A1122" s="1249"/>
      <c r="B1122" s="1252"/>
      <c r="C1122" s="1255"/>
      <c r="D1122" s="1252"/>
      <c r="E1122" s="1252"/>
      <c r="F1122" s="1252"/>
      <c r="G1122" s="1252"/>
      <c r="H1122" s="1252"/>
      <c r="N1122" s="1562"/>
    </row>
    <row r="1123" spans="1:14" x14ac:dyDescent="0.2">
      <c r="A1123" s="1249"/>
      <c r="B1123" s="1252"/>
      <c r="C1123" s="1255"/>
      <c r="D1123" s="1252"/>
      <c r="E1123" s="1252"/>
      <c r="F1123" s="1252"/>
      <c r="G1123" s="1252"/>
      <c r="H1123" s="1252"/>
      <c r="N1123" s="1562"/>
    </row>
    <row r="1124" spans="1:14" x14ac:dyDescent="0.2">
      <c r="A1124" s="1249"/>
      <c r="B1124" s="1252"/>
      <c r="C1124" s="1255"/>
      <c r="D1124" s="1252"/>
      <c r="E1124" s="1252"/>
      <c r="F1124" s="1252"/>
      <c r="G1124" s="1252"/>
      <c r="H1124" s="1252"/>
      <c r="N1124" s="1562"/>
    </row>
    <row r="1125" spans="1:14" x14ac:dyDescent="0.2">
      <c r="A1125" s="1249"/>
      <c r="B1125" s="1252"/>
      <c r="C1125" s="1255"/>
      <c r="D1125" s="1252"/>
      <c r="E1125" s="1252"/>
      <c r="F1125" s="1252"/>
      <c r="G1125" s="1252"/>
      <c r="H1125" s="1252"/>
      <c r="N1125" s="1562"/>
    </row>
    <row r="1126" spans="1:14" x14ac:dyDescent="0.2">
      <c r="A1126" s="1249"/>
      <c r="B1126" s="1252"/>
      <c r="C1126" s="1255"/>
      <c r="D1126" s="1252"/>
      <c r="E1126" s="1252"/>
      <c r="F1126" s="1252"/>
      <c r="G1126" s="1252"/>
      <c r="H1126" s="1252"/>
      <c r="N1126" s="1562"/>
    </row>
    <row r="1127" spans="1:14" x14ac:dyDescent="0.2">
      <c r="A1127" s="1249"/>
      <c r="B1127" s="1252"/>
      <c r="C1127" s="1255"/>
      <c r="D1127" s="1252"/>
      <c r="E1127" s="1252"/>
      <c r="F1127" s="1252"/>
      <c r="G1127" s="1252"/>
      <c r="H1127" s="1252"/>
      <c r="N1127" s="1562"/>
    </row>
    <row r="1128" spans="1:14" x14ac:dyDescent="0.2">
      <c r="A1128" s="1249"/>
      <c r="B1128" s="1252"/>
      <c r="C1128" s="1255"/>
      <c r="D1128" s="1252"/>
      <c r="E1128" s="1252"/>
      <c r="F1128" s="1252"/>
      <c r="G1128" s="1252"/>
      <c r="H1128" s="1252"/>
      <c r="N1128" s="1562"/>
    </row>
    <row r="1129" spans="1:14" x14ac:dyDescent="0.2">
      <c r="A1129" s="1249"/>
      <c r="B1129" s="1252"/>
      <c r="C1129" s="1255"/>
      <c r="D1129" s="1252"/>
      <c r="E1129" s="1252"/>
      <c r="F1129" s="1252"/>
      <c r="G1129" s="1252"/>
      <c r="H1129" s="1252"/>
      <c r="N1129" s="1562"/>
    </row>
    <row r="1130" spans="1:14" x14ac:dyDescent="0.2">
      <c r="A1130" s="1249"/>
      <c r="B1130" s="1252"/>
      <c r="C1130" s="1255"/>
      <c r="D1130" s="1252"/>
      <c r="E1130" s="1252"/>
      <c r="F1130" s="1252"/>
      <c r="G1130" s="1252"/>
      <c r="H1130" s="1252"/>
      <c r="N1130" s="1562"/>
    </row>
    <row r="1131" spans="1:14" x14ac:dyDescent="0.2">
      <c r="A1131" s="1249"/>
      <c r="B1131" s="1252"/>
      <c r="C1131" s="1255"/>
      <c r="D1131" s="1252"/>
      <c r="E1131" s="1252"/>
      <c r="F1131" s="1252"/>
      <c r="G1131" s="1252"/>
      <c r="H1131" s="1252"/>
      <c r="N1131" s="1562"/>
    </row>
    <row r="1132" spans="1:14" x14ac:dyDescent="0.2">
      <c r="A1132" s="1249"/>
      <c r="B1132" s="1252"/>
      <c r="C1132" s="1255"/>
      <c r="D1132" s="1252"/>
      <c r="E1132" s="1252"/>
      <c r="F1132" s="1252"/>
      <c r="G1132" s="1252"/>
      <c r="H1132" s="1252"/>
      <c r="N1132" s="1562"/>
    </row>
    <row r="1133" spans="1:14" x14ac:dyDescent="0.2">
      <c r="A1133" s="1249"/>
      <c r="B1133" s="1252"/>
      <c r="C1133" s="1255"/>
      <c r="D1133" s="1252"/>
      <c r="E1133" s="1252"/>
      <c r="F1133" s="1252"/>
      <c r="G1133" s="1252"/>
      <c r="H1133" s="1252"/>
      <c r="N1133" s="1562"/>
    </row>
    <row r="1134" spans="1:14" x14ac:dyDescent="0.2">
      <c r="A1134" s="1249"/>
      <c r="B1134" s="1252"/>
      <c r="C1134" s="1255"/>
      <c r="D1134" s="1252"/>
      <c r="E1134" s="1252"/>
      <c r="F1134" s="1252"/>
      <c r="G1134" s="1252"/>
      <c r="H1134" s="1252"/>
      <c r="N1134" s="1562"/>
    </row>
    <row r="1135" spans="1:14" x14ac:dyDescent="0.2">
      <c r="A1135" s="1249"/>
      <c r="B1135" s="1252"/>
      <c r="C1135" s="1255"/>
      <c r="D1135" s="1252"/>
      <c r="E1135" s="1252"/>
      <c r="F1135" s="1252"/>
      <c r="G1135" s="1252"/>
      <c r="H1135" s="1252"/>
      <c r="N1135" s="1562"/>
    </row>
    <row r="1136" spans="1:14" x14ac:dyDescent="0.2">
      <c r="A1136" s="1249"/>
      <c r="B1136" s="1252"/>
      <c r="C1136" s="1255"/>
      <c r="D1136" s="1252"/>
      <c r="E1136" s="1252"/>
      <c r="F1136" s="1252"/>
      <c r="G1136" s="1252"/>
      <c r="H1136" s="1252"/>
      <c r="N1136" s="1562"/>
    </row>
    <row r="1137" spans="1:14" x14ac:dyDescent="0.2">
      <c r="A1137" s="1249"/>
      <c r="B1137" s="1252"/>
      <c r="C1137" s="1255"/>
      <c r="D1137" s="1252"/>
      <c r="E1137" s="1252"/>
      <c r="F1137" s="1252"/>
      <c r="G1137" s="1252"/>
      <c r="H1137" s="1252"/>
      <c r="N1137" s="1562"/>
    </row>
    <row r="1138" spans="1:14" x14ac:dyDescent="0.2">
      <c r="A1138" s="1249"/>
      <c r="B1138" s="1252"/>
      <c r="C1138" s="1255"/>
      <c r="D1138" s="1252"/>
      <c r="E1138" s="1252"/>
      <c r="F1138" s="1252"/>
      <c r="G1138" s="1252"/>
      <c r="H1138" s="1252"/>
      <c r="N1138" s="1562"/>
    </row>
    <row r="1139" spans="1:14" x14ac:dyDescent="0.2">
      <c r="A1139" s="1249"/>
      <c r="B1139" s="1252"/>
      <c r="C1139" s="1255"/>
      <c r="D1139" s="1252"/>
      <c r="E1139" s="1252"/>
      <c r="F1139" s="1252"/>
      <c r="G1139" s="1252"/>
      <c r="H1139" s="1252"/>
      <c r="N1139" s="1562"/>
    </row>
    <row r="1140" spans="1:14" x14ac:dyDescent="0.2">
      <c r="A1140" s="1249"/>
      <c r="B1140" s="1252"/>
      <c r="C1140" s="1255"/>
      <c r="D1140" s="1252"/>
      <c r="E1140" s="1252"/>
      <c r="F1140" s="1252"/>
      <c r="G1140" s="1252"/>
      <c r="H1140" s="1252"/>
      <c r="N1140" s="1562"/>
    </row>
    <row r="1141" spans="1:14" x14ac:dyDescent="0.2">
      <c r="A1141" s="1249"/>
      <c r="B1141" s="1252"/>
      <c r="C1141" s="1255"/>
      <c r="D1141" s="1252"/>
      <c r="E1141" s="1252"/>
      <c r="F1141" s="1252"/>
      <c r="G1141" s="1252"/>
      <c r="H1141" s="1252"/>
      <c r="N1141" s="1562"/>
    </row>
    <row r="1142" spans="1:14" x14ac:dyDescent="0.2">
      <c r="A1142" s="1249"/>
      <c r="B1142" s="1252"/>
      <c r="C1142" s="1255"/>
      <c r="D1142" s="1252"/>
      <c r="E1142" s="1252"/>
      <c r="F1142" s="1252"/>
      <c r="G1142" s="1252"/>
      <c r="H1142" s="1252"/>
      <c r="N1142" s="1562"/>
    </row>
    <row r="1143" spans="1:14" x14ac:dyDescent="0.2">
      <c r="A1143" s="1249"/>
      <c r="B1143" s="1252"/>
      <c r="C1143" s="1255"/>
      <c r="D1143" s="1252"/>
      <c r="E1143" s="1252"/>
      <c r="F1143" s="1252"/>
      <c r="G1143" s="1252"/>
      <c r="H1143" s="1252"/>
      <c r="N1143" s="1562"/>
    </row>
    <row r="1144" spans="1:14" x14ac:dyDescent="0.2">
      <c r="A1144" s="1249"/>
      <c r="B1144" s="1252"/>
      <c r="C1144" s="1255"/>
      <c r="D1144" s="1252"/>
      <c r="E1144" s="1252"/>
      <c r="F1144" s="1252"/>
      <c r="G1144" s="1252"/>
      <c r="H1144" s="1252"/>
      <c r="N1144" s="1562"/>
    </row>
    <row r="1145" spans="1:14" x14ac:dyDescent="0.2">
      <c r="A1145" s="1249"/>
      <c r="B1145" s="1252"/>
      <c r="C1145" s="1255"/>
      <c r="D1145" s="1252"/>
      <c r="E1145" s="1252"/>
      <c r="F1145" s="1252"/>
      <c r="G1145" s="1252"/>
      <c r="H1145" s="1252"/>
      <c r="N1145" s="1562"/>
    </row>
    <row r="1146" spans="1:14" x14ac:dyDescent="0.2">
      <c r="A1146" s="1249"/>
      <c r="B1146" s="1252"/>
      <c r="C1146" s="1255"/>
      <c r="D1146" s="1252"/>
      <c r="E1146" s="1252"/>
      <c r="F1146" s="1252"/>
      <c r="G1146" s="1252"/>
      <c r="H1146" s="1252"/>
      <c r="N1146" s="1562"/>
    </row>
    <row r="1147" spans="1:14" x14ac:dyDescent="0.2">
      <c r="A1147" s="1249"/>
      <c r="B1147" s="1252"/>
      <c r="C1147" s="1255"/>
      <c r="D1147" s="1252"/>
      <c r="E1147" s="1252"/>
      <c r="F1147" s="1252"/>
      <c r="G1147" s="1252"/>
      <c r="H1147" s="1252"/>
      <c r="N1147" s="1562"/>
    </row>
    <row r="1148" spans="1:14" x14ac:dyDescent="0.2">
      <c r="A1148" s="1249"/>
      <c r="B1148" s="1252"/>
      <c r="C1148" s="1255"/>
      <c r="D1148" s="1252"/>
      <c r="E1148" s="1252"/>
      <c r="F1148" s="1252"/>
      <c r="G1148" s="1252"/>
      <c r="H1148" s="1252"/>
      <c r="N1148" s="1562"/>
    </row>
    <row r="1149" spans="1:14" x14ac:dyDescent="0.2">
      <c r="A1149" s="1249"/>
      <c r="B1149" s="1252"/>
      <c r="C1149" s="1255"/>
      <c r="D1149" s="1252"/>
      <c r="E1149" s="1252"/>
      <c r="F1149" s="1252"/>
      <c r="G1149" s="1252"/>
      <c r="H1149" s="1252"/>
      <c r="N1149" s="1562"/>
    </row>
    <row r="1150" spans="1:14" x14ac:dyDescent="0.2">
      <c r="A1150" s="1249"/>
      <c r="B1150" s="1252"/>
      <c r="C1150" s="1255"/>
      <c r="D1150" s="1252"/>
      <c r="E1150" s="1252"/>
      <c r="F1150" s="1252"/>
      <c r="G1150" s="1252"/>
      <c r="H1150" s="1252"/>
      <c r="N1150" s="1562"/>
    </row>
    <row r="1151" spans="1:14" x14ac:dyDescent="0.2">
      <c r="A1151" s="1249"/>
      <c r="B1151" s="1252"/>
      <c r="C1151" s="1255"/>
      <c r="D1151" s="1252"/>
      <c r="E1151" s="1252"/>
      <c r="F1151" s="1252"/>
      <c r="G1151" s="1252"/>
      <c r="H1151" s="1252"/>
      <c r="N1151" s="1562"/>
    </row>
    <row r="1152" spans="1:14" x14ac:dyDescent="0.2">
      <c r="A1152" s="1249"/>
      <c r="B1152" s="1252"/>
      <c r="C1152" s="1255"/>
      <c r="D1152" s="1252"/>
      <c r="E1152" s="1252"/>
      <c r="F1152" s="1252"/>
      <c r="G1152" s="1252"/>
      <c r="H1152" s="1252"/>
      <c r="N1152" s="1562"/>
    </row>
    <row r="1153" spans="1:14" x14ac:dyDescent="0.2">
      <c r="A1153" s="1249"/>
      <c r="B1153" s="1252"/>
      <c r="C1153" s="1255"/>
      <c r="D1153" s="1252"/>
      <c r="E1153" s="1252"/>
      <c r="F1153" s="1252"/>
      <c r="G1153" s="1252"/>
      <c r="H1153" s="1252"/>
      <c r="N1153" s="1562"/>
    </row>
    <row r="1154" spans="1:14" x14ac:dyDescent="0.2">
      <c r="A1154" s="1249"/>
      <c r="B1154" s="1252"/>
      <c r="C1154" s="1255"/>
      <c r="D1154" s="1252"/>
      <c r="E1154" s="1252"/>
      <c r="F1154" s="1252"/>
      <c r="G1154" s="1252"/>
      <c r="H1154" s="1252"/>
      <c r="N1154" s="1562"/>
    </row>
    <row r="1155" spans="1:14" x14ac:dyDescent="0.2">
      <c r="A1155" s="1249"/>
      <c r="B1155" s="1252"/>
      <c r="C1155" s="1255"/>
      <c r="D1155" s="1252"/>
      <c r="E1155" s="1252"/>
      <c r="F1155" s="1252"/>
      <c r="G1155" s="1252"/>
      <c r="H1155" s="1252"/>
      <c r="N1155" s="1562"/>
    </row>
    <row r="1156" spans="1:14" x14ac:dyDescent="0.2">
      <c r="A1156" s="1249"/>
      <c r="B1156" s="1252"/>
      <c r="C1156" s="1255"/>
      <c r="D1156" s="1252"/>
      <c r="E1156" s="1252"/>
      <c r="F1156" s="1252"/>
      <c r="G1156" s="1252"/>
      <c r="H1156" s="1252"/>
      <c r="N1156" s="1562"/>
    </row>
    <row r="1157" spans="1:14" x14ac:dyDescent="0.2">
      <c r="A1157" s="1249"/>
      <c r="B1157" s="1252"/>
      <c r="C1157" s="1255"/>
      <c r="D1157" s="1252"/>
      <c r="E1157" s="1252"/>
      <c r="F1157" s="1252"/>
      <c r="G1157" s="1252"/>
      <c r="H1157" s="1252"/>
      <c r="N1157" s="1562"/>
    </row>
    <row r="1158" spans="1:14" x14ac:dyDescent="0.2">
      <c r="A1158" s="1249"/>
      <c r="B1158" s="1252"/>
      <c r="C1158" s="1255"/>
      <c r="D1158" s="1252"/>
      <c r="E1158" s="1252"/>
      <c r="F1158" s="1252"/>
      <c r="G1158" s="1252"/>
      <c r="H1158" s="1252"/>
      <c r="N1158" s="1562"/>
    </row>
    <row r="1159" spans="1:14" x14ac:dyDescent="0.2">
      <c r="A1159" s="1249"/>
      <c r="B1159" s="1252"/>
      <c r="C1159" s="1255"/>
      <c r="D1159" s="1252"/>
      <c r="E1159" s="1252"/>
      <c r="F1159" s="1252"/>
      <c r="G1159" s="1252"/>
      <c r="H1159" s="1252"/>
      <c r="N1159" s="1562"/>
    </row>
    <row r="1160" spans="1:14" x14ac:dyDescent="0.2">
      <c r="A1160" s="1249"/>
      <c r="B1160" s="1252"/>
      <c r="C1160" s="1255"/>
      <c r="D1160" s="1252"/>
      <c r="E1160" s="1252"/>
      <c r="F1160" s="1252"/>
      <c r="G1160" s="1252"/>
      <c r="H1160" s="1252"/>
      <c r="N1160" s="1562"/>
    </row>
    <row r="1161" spans="1:14" x14ac:dyDescent="0.2">
      <c r="A1161" s="1249"/>
      <c r="B1161" s="1252"/>
      <c r="C1161" s="1255"/>
      <c r="D1161" s="1252"/>
      <c r="E1161" s="1252"/>
      <c r="F1161" s="1252"/>
      <c r="G1161" s="1252"/>
      <c r="H1161" s="1252"/>
      <c r="N1161" s="1562"/>
    </row>
    <row r="1162" spans="1:14" x14ac:dyDescent="0.2">
      <c r="A1162" s="1249"/>
      <c r="B1162" s="1252"/>
      <c r="C1162" s="1255"/>
      <c r="D1162" s="1252"/>
      <c r="E1162" s="1252"/>
      <c r="F1162" s="1252"/>
      <c r="G1162" s="1252"/>
      <c r="H1162" s="1252"/>
      <c r="N1162" s="1562"/>
    </row>
    <row r="1163" spans="1:14" x14ac:dyDescent="0.2">
      <c r="A1163" s="1249"/>
      <c r="B1163" s="1252"/>
      <c r="C1163" s="1255"/>
      <c r="D1163" s="1252"/>
      <c r="E1163" s="1252"/>
      <c r="F1163" s="1252"/>
      <c r="G1163" s="1252"/>
      <c r="H1163" s="1252"/>
      <c r="N1163" s="1562"/>
    </row>
    <row r="1164" spans="1:14" x14ac:dyDescent="0.2">
      <c r="A1164" s="1249"/>
      <c r="B1164" s="1252"/>
      <c r="C1164" s="1255"/>
      <c r="D1164" s="1252"/>
      <c r="E1164" s="1252"/>
      <c r="F1164" s="1252"/>
      <c r="G1164" s="1252"/>
      <c r="H1164" s="1252"/>
      <c r="N1164" s="1562"/>
    </row>
    <row r="1165" spans="1:14" x14ac:dyDescent="0.2">
      <c r="A1165" s="1249"/>
      <c r="B1165" s="1252"/>
      <c r="C1165" s="1255"/>
      <c r="D1165" s="1252"/>
      <c r="E1165" s="1252"/>
      <c r="F1165" s="1252"/>
      <c r="G1165" s="1252"/>
      <c r="H1165" s="1252"/>
      <c r="N1165" s="1562"/>
    </row>
    <row r="1166" spans="1:14" x14ac:dyDescent="0.2">
      <c r="A1166" s="1249"/>
      <c r="B1166" s="1252"/>
      <c r="C1166" s="1255"/>
      <c r="D1166" s="1252"/>
      <c r="E1166" s="1252"/>
      <c r="F1166" s="1252"/>
      <c r="G1166" s="1252"/>
      <c r="H1166" s="1252"/>
      <c r="N1166" s="1562"/>
    </row>
    <row r="1167" spans="1:14" x14ac:dyDescent="0.2">
      <c r="A1167" s="1249"/>
      <c r="B1167" s="1252"/>
      <c r="C1167" s="1255"/>
      <c r="D1167" s="1252"/>
      <c r="E1167" s="1252"/>
      <c r="F1167" s="1252"/>
      <c r="G1167" s="1252"/>
      <c r="H1167" s="1252"/>
      <c r="N1167" s="1562"/>
    </row>
    <row r="1168" spans="1:14" x14ac:dyDescent="0.2">
      <c r="A1168" s="1249"/>
      <c r="B1168" s="1252"/>
      <c r="C1168" s="1255"/>
      <c r="D1168" s="1252"/>
      <c r="E1168" s="1252"/>
      <c r="F1168" s="1252"/>
      <c r="G1168" s="1252"/>
      <c r="H1168" s="1252"/>
      <c r="N1168" s="1562"/>
    </row>
    <row r="1169" spans="1:14" x14ac:dyDescent="0.2">
      <c r="A1169" s="1249"/>
      <c r="B1169" s="1252"/>
      <c r="C1169" s="1255"/>
      <c r="D1169" s="1252"/>
      <c r="E1169" s="1252"/>
      <c r="F1169" s="1252"/>
      <c r="G1169" s="1252"/>
      <c r="H1169" s="1252"/>
      <c r="N1169" s="1562"/>
    </row>
    <row r="1170" spans="1:14" x14ac:dyDescent="0.2">
      <c r="A1170" s="1249"/>
      <c r="B1170" s="1252"/>
      <c r="C1170" s="1255"/>
      <c r="D1170" s="1252"/>
      <c r="E1170" s="1252"/>
      <c r="F1170" s="1252"/>
      <c r="G1170" s="1252"/>
      <c r="H1170" s="1252"/>
      <c r="N1170" s="1562"/>
    </row>
    <row r="1171" spans="1:14" x14ac:dyDescent="0.2">
      <c r="A1171" s="1249"/>
      <c r="B1171" s="1252"/>
      <c r="C1171" s="1255"/>
      <c r="D1171" s="1252"/>
      <c r="E1171" s="1252"/>
      <c r="F1171" s="1252"/>
      <c r="G1171" s="1252"/>
      <c r="H1171" s="1252"/>
      <c r="N1171" s="1562"/>
    </row>
    <row r="1172" spans="1:14" x14ac:dyDescent="0.2">
      <c r="A1172" s="1249"/>
      <c r="B1172" s="1252"/>
      <c r="C1172" s="1255"/>
      <c r="D1172" s="1252"/>
      <c r="E1172" s="1252"/>
      <c r="F1172" s="1252"/>
      <c r="G1172" s="1252"/>
      <c r="H1172" s="1252"/>
      <c r="N1172" s="1562"/>
    </row>
    <row r="1173" spans="1:14" x14ac:dyDescent="0.2">
      <c r="A1173" s="1249"/>
      <c r="B1173" s="1252"/>
      <c r="C1173" s="1255"/>
      <c r="D1173" s="1252"/>
      <c r="E1173" s="1252"/>
      <c r="F1173" s="1252"/>
      <c r="G1173" s="1252"/>
      <c r="H1173" s="1252"/>
      <c r="N1173" s="1562"/>
    </row>
    <row r="1174" spans="1:14" x14ac:dyDescent="0.2">
      <c r="A1174" s="1249"/>
      <c r="B1174" s="1252"/>
      <c r="C1174" s="1255"/>
      <c r="D1174" s="1252"/>
      <c r="E1174" s="1252"/>
      <c r="F1174" s="1252"/>
      <c r="G1174" s="1252"/>
      <c r="H1174" s="1252"/>
      <c r="N1174" s="1562"/>
    </row>
    <row r="1175" spans="1:14" x14ac:dyDescent="0.2">
      <c r="A1175" s="1249"/>
      <c r="B1175" s="1252"/>
      <c r="C1175" s="1255"/>
      <c r="D1175" s="1252"/>
      <c r="E1175" s="1252"/>
      <c r="F1175" s="1252"/>
      <c r="G1175" s="1252"/>
      <c r="H1175" s="1252"/>
      <c r="N1175" s="1562"/>
    </row>
    <row r="1176" spans="1:14" x14ac:dyDescent="0.2">
      <c r="A1176" s="1249"/>
      <c r="B1176" s="1252"/>
      <c r="C1176" s="1255"/>
      <c r="D1176" s="1252"/>
      <c r="E1176" s="1252"/>
      <c r="F1176" s="1252"/>
      <c r="G1176" s="1252"/>
      <c r="H1176" s="1252"/>
      <c r="N1176" s="1562"/>
    </row>
    <row r="1177" spans="1:14" x14ac:dyDescent="0.2">
      <c r="A1177" s="1249"/>
      <c r="B1177" s="1252"/>
      <c r="C1177" s="1255"/>
      <c r="D1177" s="1252"/>
      <c r="E1177" s="1252"/>
      <c r="F1177" s="1252"/>
      <c r="G1177" s="1252"/>
      <c r="H1177" s="1252"/>
      <c r="N1177" s="1562"/>
    </row>
    <row r="1178" spans="1:14" x14ac:dyDescent="0.2">
      <c r="A1178" s="1249"/>
      <c r="B1178" s="1252"/>
      <c r="C1178" s="1255"/>
      <c r="D1178" s="1252"/>
      <c r="E1178" s="1252"/>
      <c r="F1178" s="1252"/>
      <c r="G1178" s="1252"/>
      <c r="H1178" s="1252"/>
      <c r="N1178" s="1562"/>
    </row>
    <row r="1179" spans="1:14" x14ac:dyDescent="0.2">
      <c r="A1179" s="1249"/>
      <c r="B1179" s="1252"/>
      <c r="C1179" s="1255"/>
      <c r="D1179" s="1252"/>
      <c r="E1179" s="1252"/>
      <c r="F1179" s="1252"/>
      <c r="G1179" s="1252"/>
      <c r="H1179" s="1252"/>
      <c r="N1179" s="1562"/>
    </row>
    <row r="1180" spans="1:14" x14ac:dyDescent="0.2">
      <c r="A1180" s="1249"/>
      <c r="B1180" s="1252"/>
      <c r="C1180" s="1255"/>
      <c r="D1180" s="1252"/>
      <c r="E1180" s="1252"/>
      <c r="F1180" s="1252"/>
      <c r="G1180" s="1252"/>
      <c r="H1180" s="1252"/>
      <c r="N1180" s="1562"/>
    </row>
    <row r="1181" spans="1:14" x14ac:dyDescent="0.2">
      <c r="A1181" s="1249"/>
      <c r="B1181" s="1252"/>
      <c r="C1181" s="1255"/>
      <c r="D1181" s="1252"/>
      <c r="E1181" s="1252"/>
      <c r="F1181" s="1252"/>
      <c r="G1181" s="1252"/>
      <c r="H1181" s="1252"/>
      <c r="N1181" s="1562"/>
    </row>
    <row r="1182" spans="1:14" x14ac:dyDescent="0.2">
      <c r="A1182" s="1249"/>
      <c r="B1182" s="1252"/>
      <c r="C1182" s="1255"/>
      <c r="D1182" s="1252"/>
      <c r="E1182" s="1252"/>
      <c r="F1182" s="1252"/>
      <c r="G1182" s="1252"/>
      <c r="H1182" s="1252"/>
      <c r="N1182" s="1562"/>
    </row>
    <row r="1183" spans="1:14" x14ac:dyDescent="0.2">
      <c r="A1183" s="1249"/>
      <c r="B1183" s="1252"/>
      <c r="C1183" s="1255"/>
      <c r="D1183" s="1252"/>
      <c r="E1183" s="1252"/>
      <c r="F1183" s="1252"/>
      <c r="G1183" s="1252"/>
      <c r="H1183" s="1252"/>
      <c r="N1183" s="1562"/>
    </row>
    <row r="1184" spans="1:14" x14ac:dyDescent="0.2">
      <c r="A1184" s="1249"/>
      <c r="B1184" s="1252"/>
      <c r="C1184" s="1255"/>
      <c r="D1184" s="1252"/>
      <c r="E1184" s="1252"/>
      <c r="F1184" s="1252"/>
      <c r="G1184" s="1252"/>
      <c r="H1184" s="1252"/>
      <c r="N1184" s="1562"/>
    </row>
    <row r="1185" spans="1:14" x14ac:dyDescent="0.2">
      <c r="A1185" s="1249"/>
      <c r="B1185" s="1252"/>
      <c r="C1185" s="1255"/>
      <c r="D1185" s="1252"/>
      <c r="E1185" s="1252"/>
      <c r="F1185" s="1252"/>
      <c r="G1185" s="1252"/>
      <c r="H1185" s="1252"/>
      <c r="N1185" s="1562"/>
    </row>
    <row r="1186" spans="1:14" x14ac:dyDescent="0.2">
      <c r="A1186" s="1249"/>
      <c r="B1186" s="1252"/>
      <c r="C1186" s="1255"/>
      <c r="D1186" s="1252"/>
      <c r="E1186" s="1252"/>
      <c r="F1186" s="1252"/>
      <c r="G1186" s="1252"/>
      <c r="H1186" s="1252"/>
      <c r="N1186" s="1562"/>
    </row>
    <row r="1187" spans="1:14" x14ac:dyDescent="0.2">
      <c r="A1187" s="1249"/>
      <c r="B1187" s="1252"/>
      <c r="C1187" s="1255"/>
      <c r="D1187" s="1252"/>
      <c r="E1187" s="1252"/>
      <c r="F1187" s="1252"/>
      <c r="G1187" s="1252"/>
      <c r="H1187" s="1252"/>
      <c r="N1187" s="1562"/>
    </row>
    <row r="1188" spans="1:14" x14ac:dyDescent="0.2">
      <c r="A1188" s="1249"/>
      <c r="B1188" s="1252"/>
      <c r="C1188" s="1255"/>
      <c r="D1188" s="1252"/>
      <c r="E1188" s="1252"/>
      <c r="F1188" s="1252"/>
      <c r="G1188" s="1252"/>
      <c r="H1188" s="1252"/>
      <c r="N1188" s="1562"/>
    </row>
    <row r="1189" spans="1:14" x14ac:dyDescent="0.2">
      <c r="A1189" s="1249"/>
      <c r="B1189" s="1252"/>
      <c r="C1189" s="1255"/>
      <c r="D1189" s="1252"/>
      <c r="E1189" s="1252"/>
      <c r="F1189" s="1252"/>
      <c r="G1189" s="1252"/>
      <c r="H1189" s="1252"/>
      <c r="N1189" s="1562"/>
    </row>
    <row r="1190" spans="1:14" x14ac:dyDescent="0.2">
      <c r="A1190" s="1249"/>
      <c r="B1190" s="1252"/>
      <c r="C1190" s="1255"/>
      <c r="D1190" s="1252"/>
      <c r="E1190" s="1252"/>
      <c r="F1190" s="1252"/>
      <c r="G1190" s="1252"/>
      <c r="H1190" s="1252"/>
      <c r="N1190" s="1562"/>
    </row>
    <row r="1191" spans="1:14" x14ac:dyDescent="0.2">
      <c r="A1191" s="1249"/>
      <c r="B1191" s="1252"/>
      <c r="C1191" s="1255"/>
      <c r="D1191" s="1252"/>
      <c r="E1191" s="1252"/>
      <c r="F1191" s="1252"/>
      <c r="G1191" s="1252"/>
      <c r="H1191" s="1252"/>
      <c r="N1191" s="1562"/>
    </row>
    <row r="1192" spans="1:14" x14ac:dyDescent="0.2">
      <c r="A1192" s="1249"/>
      <c r="B1192" s="1252"/>
      <c r="C1192" s="1255"/>
      <c r="D1192" s="1252"/>
      <c r="E1192" s="1252"/>
      <c r="F1192" s="1252"/>
      <c r="G1192" s="1252"/>
      <c r="H1192" s="1252"/>
      <c r="N1192" s="1562"/>
    </row>
    <row r="1193" spans="1:14" x14ac:dyDescent="0.2">
      <c r="A1193" s="1249"/>
      <c r="B1193" s="1252"/>
      <c r="C1193" s="1255"/>
      <c r="D1193" s="1252"/>
      <c r="E1193" s="1252"/>
      <c r="F1193" s="1252"/>
      <c r="G1193" s="1252"/>
      <c r="H1193" s="1252"/>
      <c r="N1193" s="1562"/>
    </row>
    <row r="1194" spans="1:14" x14ac:dyDescent="0.2">
      <c r="A1194" s="1249"/>
      <c r="B1194" s="1252"/>
      <c r="C1194" s="1255"/>
      <c r="D1194" s="1252"/>
      <c r="E1194" s="1252"/>
      <c r="F1194" s="1252"/>
      <c r="G1194" s="1252"/>
      <c r="H1194" s="1252"/>
      <c r="N1194" s="1562"/>
    </row>
    <row r="1195" spans="1:14" x14ac:dyDescent="0.2">
      <c r="A1195" s="1249"/>
      <c r="B1195" s="1252"/>
      <c r="C1195" s="1255"/>
      <c r="D1195" s="1252"/>
      <c r="E1195" s="1252"/>
      <c r="F1195" s="1252"/>
      <c r="G1195" s="1252"/>
      <c r="H1195" s="1252"/>
      <c r="N1195" s="1562"/>
    </row>
    <row r="1196" spans="1:14" x14ac:dyDescent="0.2">
      <c r="A1196" s="1249"/>
      <c r="B1196" s="1252"/>
      <c r="C1196" s="1255"/>
      <c r="D1196" s="1252"/>
      <c r="E1196" s="1252"/>
      <c r="F1196" s="1252"/>
      <c r="G1196" s="1252"/>
      <c r="H1196" s="1252"/>
      <c r="N1196" s="1562"/>
    </row>
    <row r="1197" spans="1:14" x14ac:dyDescent="0.2">
      <c r="A1197" s="1249"/>
      <c r="B1197" s="1252"/>
      <c r="C1197" s="1255"/>
      <c r="D1197" s="1252"/>
      <c r="E1197" s="1252"/>
      <c r="F1197" s="1252"/>
      <c r="G1197" s="1252"/>
      <c r="H1197" s="1252"/>
      <c r="N1197" s="1562"/>
    </row>
    <row r="1198" spans="1:14" x14ac:dyDescent="0.2">
      <c r="A1198" s="1249"/>
      <c r="B1198" s="1252"/>
      <c r="C1198" s="1255"/>
      <c r="D1198" s="1252"/>
      <c r="E1198" s="1252"/>
      <c r="F1198" s="1252"/>
      <c r="G1198" s="1252"/>
      <c r="H1198" s="1252"/>
      <c r="N1198" s="1562"/>
    </row>
    <row r="1199" spans="1:14" x14ac:dyDescent="0.2">
      <c r="A1199" s="1249"/>
      <c r="B1199" s="1252"/>
      <c r="C1199" s="1255"/>
      <c r="D1199" s="1252"/>
      <c r="E1199" s="1252"/>
      <c r="F1199" s="1252"/>
      <c r="G1199" s="1252"/>
      <c r="H1199" s="1252"/>
      <c r="N1199" s="1562"/>
    </row>
    <row r="1200" spans="1:14" x14ac:dyDescent="0.2">
      <c r="A1200" s="1249"/>
      <c r="B1200" s="1252"/>
      <c r="C1200" s="1255"/>
      <c r="D1200" s="1252"/>
      <c r="E1200" s="1252"/>
      <c r="F1200" s="1252"/>
      <c r="G1200" s="1252"/>
      <c r="H1200" s="1252"/>
      <c r="N1200" s="1562"/>
    </row>
    <row r="1201" spans="1:14" x14ac:dyDescent="0.2">
      <c r="A1201" s="1249"/>
      <c r="B1201" s="1252"/>
      <c r="C1201" s="1255"/>
      <c r="D1201" s="1252"/>
      <c r="E1201" s="1252"/>
      <c r="F1201" s="1252"/>
      <c r="G1201" s="1252"/>
      <c r="H1201" s="1252"/>
      <c r="N1201" s="1562"/>
    </row>
    <row r="1202" spans="1:14" x14ac:dyDescent="0.2">
      <c r="A1202" s="1249"/>
      <c r="B1202" s="1252"/>
      <c r="C1202" s="1255"/>
      <c r="D1202" s="1252"/>
      <c r="E1202" s="1252"/>
      <c r="F1202" s="1252"/>
      <c r="G1202" s="1252"/>
      <c r="H1202" s="1252"/>
      <c r="N1202" s="1562"/>
    </row>
    <row r="1203" spans="1:14" x14ac:dyDescent="0.2">
      <c r="A1203" s="1249"/>
      <c r="B1203" s="1252"/>
      <c r="C1203" s="1255"/>
      <c r="D1203" s="1252"/>
      <c r="E1203" s="1252"/>
      <c r="F1203" s="1252"/>
      <c r="G1203" s="1252"/>
      <c r="H1203" s="1252"/>
      <c r="N1203" s="1562"/>
    </row>
    <row r="1204" spans="1:14" x14ac:dyDescent="0.2">
      <c r="A1204" s="1249"/>
      <c r="B1204" s="1252"/>
      <c r="C1204" s="1255"/>
      <c r="D1204" s="1252"/>
      <c r="E1204" s="1252"/>
      <c r="F1204" s="1252"/>
      <c r="G1204" s="1252"/>
      <c r="H1204" s="1252"/>
      <c r="N1204" s="1562"/>
    </row>
    <row r="1205" spans="1:14" x14ac:dyDescent="0.2">
      <c r="A1205" s="1249"/>
      <c r="B1205" s="1252"/>
      <c r="C1205" s="1255"/>
      <c r="D1205" s="1252"/>
      <c r="E1205" s="1252"/>
      <c r="F1205" s="1252"/>
      <c r="G1205" s="1252"/>
      <c r="H1205" s="1252"/>
      <c r="N1205" s="1562"/>
    </row>
    <row r="1206" spans="1:14" x14ac:dyDescent="0.2">
      <c r="A1206" s="1249"/>
      <c r="B1206" s="1252"/>
      <c r="C1206" s="1255"/>
      <c r="D1206" s="1252"/>
      <c r="E1206" s="1252"/>
      <c r="F1206" s="1252"/>
      <c r="G1206" s="1252"/>
      <c r="H1206" s="1252"/>
      <c r="N1206" s="1562"/>
    </row>
    <row r="1207" spans="1:14" x14ac:dyDescent="0.2">
      <c r="A1207" s="1249"/>
      <c r="B1207" s="1252"/>
      <c r="C1207" s="1255"/>
      <c r="D1207" s="1252"/>
      <c r="E1207" s="1252"/>
      <c r="F1207" s="1252"/>
      <c r="G1207" s="1252"/>
      <c r="H1207" s="1252"/>
      <c r="N1207" s="1562"/>
    </row>
    <row r="1208" spans="1:14" x14ac:dyDescent="0.2">
      <c r="A1208" s="1249"/>
      <c r="B1208" s="1252"/>
      <c r="C1208" s="1255"/>
      <c r="D1208" s="1252"/>
      <c r="E1208" s="1252"/>
      <c r="F1208" s="1252"/>
      <c r="G1208" s="1252"/>
      <c r="H1208" s="1252"/>
      <c r="N1208" s="1562"/>
    </row>
    <row r="1209" spans="1:14" x14ac:dyDescent="0.2">
      <c r="A1209" s="1249"/>
      <c r="B1209" s="1252"/>
      <c r="C1209" s="1255"/>
      <c r="D1209" s="1252"/>
      <c r="E1209" s="1252"/>
      <c r="F1209" s="1252"/>
      <c r="G1209" s="1252"/>
      <c r="H1209" s="1252"/>
      <c r="N1209" s="1562"/>
    </row>
    <row r="1210" spans="1:14" x14ac:dyDescent="0.2">
      <c r="A1210" s="1249"/>
      <c r="B1210" s="1252"/>
      <c r="C1210" s="1255"/>
      <c r="D1210" s="1252"/>
      <c r="E1210" s="1252"/>
      <c r="F1210" s="1252"/>
      <c r="G1210" s="1252"/>
      <c r="H1210" s="1252"/>
      <c r="N1210" s="1562"/>
    </row>
    <row r="1211" spans="1:14" x14ac:dyDescent="0.2">
      <c r="A1211" s="1249"/>
      <c r="B1211" s="1252"/>
      <c r="C1211" s="1255"/>
      <c r="D1211" s="1252"/>
      <c r="E1211" s="1252"/>
      <c r="F1211" s="1252"/>
      <c r="G1211" s="1252"/>
      <c r="H1211" s="1252"/>
      <c r="N1211" s="1562"/>
    </row>
    <row r="1212" spans="1:14" x14ac:dyDescent="0.2">
      <c r="A1212" s="1249"/>
      <c r="B1212" s="1252"/>
      <c r="C1212" s="1255"/>
      <c r="D1212" s="1252"/>
      <c r="E1212" s="1252"/>
      <c r="F1212" s="1252"/>
      <c r="G1212" s="1252"/>
      <c r="H1212" s="1252"/>
      <c r="N1212" s="1562"/>
    </row>
    <row r="1213" spans="1:14" x14ac:dyDescent="0.2">
      <c r="A1213" s="1249"/>
      <c r="B1213" s="1252"/>
      <c r="C1213" s="1255"/>
      <c r="D1213" s="1252"/>
      <c r="E1213" s="1252"/>
      <c r="F1213" s="1252"/>
      <c r="G1213" s="1252"/>
      <c r="H1213" s="1252"/>
      <c r="N1213" s="1562"/>
    </row>
    <row r="1214" spans="1:14" x14ac:dyDescent="0.2">
      <c r="A1214" s="1249"/>
      <c r="B1214" s="1252"/>
      <c r="C1214" s="1255"/>
      <c r="D1214" s="1252"/>
      <c r="E1214" s="1252"/>
      <c r="F1214" s="1252"/>
      <c r="G1214" s="1252"/>
      <c r="H1214" s="1252"/>
      <c r="N1214" s="1562"/>
    </row>
    <row r="1215" spans="1:14" x14ac:dyDescent="0.2">
      <c r="A1215" s="1249"/>
      <c r="B1215" s="1252"/>
      <c r="C1215" s="1255"/>
      <c r="D1215" s="1252"/>
      <c r="E1215" s="1252"/>
      <c r="F1215" s="1252"/>
      <c r="G1215" s="1252"/>
      <c r="H1215" s="1252"/>
      <c r="N1215" s="1562"/>
    </row>
    <row r="1216" spans="1:14" x14ac:dyDescent="0.2">
      <c r="A1216" s="1249"/>
      <c r="B1216" s="1252"/>
      <c r="C1216" s="1255"/>
      <c r="D1216" s="1252"/>
      <c r="E1216" s="1252"/>
      <c r="F1216" s="1252"/>
      <c r="G1216" s="1252"/>
      <c r="H1216" s="1252"/>
      <c r="N1216" s="1562"/>
    </row>
    <row r="1217" spans="1:14" x14ac:dyDescent="0.2">
      <c r="A1217" s="1249"/>
      <c r="B1217" s="1252"/>
      <c r="C1217" s="1255"/>
      <c r="D1217" s="1252"/>
      <c r="E1217" s="1252"/>
      <c r="F1217" s="1252"/>
      <c r="G1217" s="1252"/>
      <c r="H1217" s="1252"/>
      <c r="N1217" s="1562"/>
    </row>
    <row r="1218" spans="1:14" x14ac:dyDescent="0.2">
      <c r="A1218" s="1249"/>
      <c r="B1218" s="1252"/>
      <c r="C1218" s="1255"/>
      <c r="D1218" s="1252"/>
      <c r="E1218" s="1252"/>
      <c r="F1218" s="1252"/>
      <c r="G1218" s="1252"/>
      <c r="H1218" s="1252"/>
      <c r="N1218" s="1562"/>
    </row>
    <row r="1219" spans="1:14" x14ac:dyDescent="0.2">
      <c r="A1219" s="1249"/>
      <c r="B1219" s="1252"/>
      <c r="C1219" s="1255"/>
      <c r="D1219" s="1252"/>
      <c r="E1219" s="1252"/>
      <c r="F1219" s="1252"/>
      <c r="G1219" s="1252"/>
      <c r="H1219" s="1252"/>
      <c r="N1219" s="1562"/>
    </row>
    <row r="1220" spans="1:14" x14ac:dyDescent="0.2">
      <c r="A1220" s="1249"/>
      <c r="B1220" s="1252"/>
      <c r="C1220" s="1255"/>
      <c r="D1220" s="1252"/>
      <c r="E1220" s="1252"/>
      <c r="F1220" s="1252"/>
      <c r="G1220" s="1252"/>
      <c r="H1220" s="1252"/>
      <c r="N1220" s="1562"/>
    </row>
    <row r="1221" spans="1:14" x14ac:dyDescent="0.2">
      <c r="A1221" s="1249"/>
      <c r="B1221" s="1252"/>
      <c r="C1221" s="1255"/>
      <c r="D1221" s="1252"/>
      <c r="E1221" s="1252"/>
      <c r="F1221" s="1252"/>
      <c r="G1221" s="1252"/>
      <c r="H1221" s="1252"/>
      <c r="N1221" s="1562"/>
    </row>
    <row r="1222" spans="1:14" x14ac:dyDescent="0.2">
      <c r="A1222" s="1249"/>
      <c r="B1222" s="1252"/>
      <c r="C1222" s="1255"/>
      <c r="D1222" s="1252"/>
      <c r="E1222" s="1252"/>
      <c r="F1222" s="1252"/>
      <c r="G1222" s="1252"/>
      <c r="H1222" s="1252"/>
      <c r="N1222" s="1562"/>
    </row>
    <row r="1223" spans="1:14" x14ac:dyDescent="0.2">
      <c r="A1223" s="1249"/>
      <c r="B1223" s="1252"/>
      <c r="C1223" s="1255"/>
      <c r="D1223" s="1252"/>
      <c r="E1223" s="1252"/>
      <c r="F1223" s="1252"/>
      <c r="G1223" s="1252"/>
      <c r="H1223" s="1252"/>
      <c r="N1223" s="1562"/>
    </row>
    <row r="1224" spans="1:14" x14ac:dyDescent="0.2">
      <c r="A1224" s="1249"/>
      <c r="B1224" s="1252"/>
      <c r="C1224" s="1255"/>
      <c r="D1224" s="1252"/>
      <c r="E1224" s="1252"/>
      <c r="F1224" s="1252"/>
      <c r="G1224" s="1252"/>
      <c r="H1224" s="1252"/>
      <c r="N1224" s="1562"/>
    </row>
    <row r="1225" spans="1:14" x14ac:dyDescent="0.2">
      <c r="A1225" s="1249"/>
      <c r="B1225" s="1252"/>
      <c r="C1225" s="1255"/>
      <c r="D1225" s="1252"/>
      <c r="E1225" s="1252"/>
      <c r="F1225" s="1252"/>
      <c r="G1225" s="1252"/>
      <c r="H1225" s="1252"/>
      <c r="N1225" s="1562"/>
    </row>
    <row r="1226" spans="1:14" x14ac:dyDescent="0.2">
      <c r="A1226" s="1249"/>
      <c r="B1226" s="1252"/>
      <c r="C1226" s="1255"/>
      <c r="D1226" s="1252"/>
      <c r="E1226" s="1252"/>
      <c r="F1226" s="1252"/>
      <c r="G1226" s="1252"/>
      <c r="H1226" s="1252"/>
      <c r="N1226" s="1562"/>
    </row>
    <row r="1227" spans="1:14" x14ac:dyDescent="0.2">
      <c r="A1227" s="1249"/>
      <c r="B1227" s="1252"/>
      <c r="C1227" s="1255"/>
      <c r="D1227" s="1252"/>
      <c r="E1227" s="1252"/>
      <c r="F1227" s="1252"/>
      <c r="G1227" s="1252"/>
      <c r="H1227" s="1252"/>
      <c r="N1227" s="1562"/>
    </row>
    <row r="1228" spans="1:14" x14ac:dyDescent="0.2">
      <c r="A1228" s="1249"/>
      <c r="B1228" s="1252"/>
      <c r="C1228" s="1255"/>
      <c r="D1228" s="1252"/>
      <c r="E1228" s="1252"/>
      <c r="F1228" s="1252"/>
      <c r="G1228" s="1252"/>
      <c r="H1228" s="1252"/>
      <c r="N1228" s="1562"/>
    </row>
    <row r="1229" spans="1:14" x14ac:dyDescent="0.2">
      <c r="A1229" s="1249"/>
      <c r="B1229" s="1252"/>
      <c r="C1229" s="1255"/>
      <c r="D1229" s="1252"/>
      <c r="E1229" s="1252"/>
      <c r="F1229" s="1252"/>
      <c r="G1229" s="1252"/>
      <c r="H1229" s="1252"/>
      <c r="N1229" s="1562"/>
    </row>
    <row r="1230" spans="1:14" x14ac:dyDescent="0.2">
      <c r="A1230" s="1249"/>
      <c r="B1230" s="1252"/>
      <c r="C1230" s="1255"/>
      <c r="D1230" s="1252"/>
      <c r="E1230" s="1252"/>
      <c r="F1230" s="1252"/>
      <c r="G1230" s="1252"/>
      <c r="H1230" s="1252"/>
      <c r="N1230" s="1562"/>
    </row>
    <row r="1231" spans="1:14" x14ac:dyDescent="0.2">
      <c r="A1231" s="1249"/>
      <c r="B1231" s="1252"/>
      <c r="C1231" s="1255"/>
      <c r="D1231" s="1252"/>
      <c r="E1231" s="1252"/>
      <c r="F1231" s="1252"/>
      <c r="G1231" s="1252"/>
      <c r="H1231" s="1252"/>
      <c r="N1231" s="1562"/>
    </row>
    <row r="1232" spans="1:14" x14ac:dyDescent="0.2">
      <c r="A1232" s="1249"/>
      <c r="B1232" s="1252"/>
      <c r="C1232" s="1255"/>
      <c r="D1232" s="1252"/>
      <c r="E1232" s="1252"/>
      <c r="F1232" s="1252"/>
      <c r="G1232" s="1252"/>
      <c r="H1232" s="1252"/>
      <c r="N1232" s="1562"/>
    </row>
    <row r="1233" spans="1:14" x14ac:dyDescent="0.2">
      <c r="A1233" s="1249"/>
      <c r="B1233" s="1252"/>
      <c r="C1233" s="1255"/>
      <c r="D1233" s="1252"/>
      <c r="E1233" s="1252"/>
      <c r="F1233" s="1252"/>
      <c r="G1233" s="1252"/>
      <c r="H1233" s="1252"/>
      <c r="N1233" s="1562"/>
    </row>
    <row r="1234" spans="1:14" x14ac:dyDescent="0.2">
      <c r="A1234" s="1249"/>
      <c r="B1234" s="1252"/>
      <c r="C1234" s="1255"/>
      <c r="D1234" s="1252"/>
      <c r="E1234" s="1252"/>
      <c r="F1234" s="1252"/>
      <c r="G1234" s="1252"/>
      <c r="H1234" s="1252"/>
      <c r="N1234" s="1562"/>
    </row>
    <row r="1235" spans="1:14" x14ac:dyDescent="0.2">
      <c r="A1235" s="1249"/>
      <c r="B1235" s="1252"/>
      <c r="C1235" s="1255"/>
      <c r="D1235" s="1252"/>
      <c r="E1235" s="1252"/>
      <c r="F1235" s="1252"/>
      <c r="G1235" s="1252"/>
      <c r="H1235" s="1252"/>
      <c r="N1235" s="1562"/>
    </row>
    <row r="1236" spans="1:14" x14ac:dyDescent="0.2">
      <c r="A1236" s="1249"/>
      <c r="B1236" s="1252"/>
      <c r="C1236" s="1255"/>
      <c r="D1236" s="1252"/>
      <c r="E1236" s="1252"/>
      <c r="F1236" s="1252"/>
      <c r="G1236" s="1252"/>
      <c r="H1236" s="1252"/>
      <c r="N1236" s="1562"/>
    </row>
    <row r="1237" spans="1:14" x14ac:dyDescent="0.2">
      <c r="A1237" s="1249"/>
      <c r="B1237" s="1252"/>
      <c r="C1237" s="1255"/>
      <c r="D1237" s="1252"/>
      <c r="E1237" s="1252"/>
      <c r="F1237" s="1252"/>
      <c r="G1237" s="1252"/>
      <c r="H1237" s="1252"/>
      <c r="N1237" s="1562"/>
    </row>
    <row r="1238" spans="1:14" x14ac:dyDescent="0.2">
      <c r="A1238" s="1249"/>
      <c r="B1238" s="1252"/>
      <c r="C1238" s="1255"/>
      <c r="D1238" s="1252"/>
      <c r="E1238" s="1252"/>
      <c r="F1238" s="1252"/>
      <c r="G1238" s="1252"/>
      <c r="H1238" s="1252"/>
      <c r="N1238" s="1562"/>
    </row>
    <row r="1239" spans="1:14" x14ac:dyDescent="0.2">
      <c r="A1239" s="1249"/>
      <c r="B1239" s="1252"/>
      <c r="C1239" s="1255"/>
      <c r="D1239" s="1252"/>
      <c r="E1239" s="1252"/>
      <c r="F1239" s="1252"/>
      <c r="G1239" s="1252"/>
      <c r="H1239" s="1252"/>
      <c r="N1239" s="1562"/>
    </row>
    <row r="1240" spans="1:14" x14ac:dyDescent="0.2">
      <c r="A1240" s="1249"/>
      <c r="B1240" s="1252"/>
      <c r="C1240" s="1255"/>
      <c r="D1240" s="1252"/>
      <c r="E1240" s="1252"/>
      <c r="F1240" s="1252"/>
      <c r="G1240" s="1252"/>
      <c r="H1240" s="1252"/>
      <c r="N1240" s="1562"/>
    </row>
    <row r="1241" spans="1:14" x14ac:dyDescent="0.2">
      <c r="A1241" s="1249"/>
      <c r="B1241" s="1252"/>
      <c r="C1241" s="1255"/>
      <c r="D1241" s="1252"/>
      <c r="E1241" s="1252"/>
      <c r="F1241" s="1252"/>
      <c r="G1241" s="1252"/>
      <c r="H1241" s="1252"/>
      <c r="N1241" s="1562"/>
    </row>
    <row r="1242" spans="1:14" x14ac:dyDescent="0.2">
      <c r="A1242" s="1249"/>
      <c r="B1242" s="1252"/>
      <c r="C1242" s="1255"/>
      <c r="D1242" s="1252"/>
      <c r="E1242" s="1252"/>
      <c r="F1242" s="1252"/>
      <c r="G1242" s="1252"/>
      <c r="H1242" s="1252"/>
      <c r="N1242" s="1562"/>
    </row>
    <row r="1243" spans="1:14" x14ac:dyDescent="0.2">
      <c r="A1243" s="1249"/>
      <c r="B1243" s="1252"/>
      <c r="C1243" s="1255"/>
      <c r="D1243" s="1252"/>
      <c r="E1243" s="1252"/>
      <c r="F1243" s="1252"/>
      <c r="G1243" s="1252"/>
      <c r="H1243" s="1252"/>
      <c r="N1243" s="1562"/>
    </row>
    <row r="1244" spans="1:14" x14ac:dyDescent="0.2">
      <c r="A1244" s="1249"/>
      <c r="B1244" s="1252"/>
      <c r="C1244" s="1255"/>
      <c r="D1244" s="1252"/>
      <c r="E1244" s="1252"/>
      <c r="F1244" s="1252"/>
      <c r="G1244" s="1252"/>
      <c r="H1244" s="1252"/>
      <c r="N1244" s="1562"/>
    </row>
    <row r="1245" spans="1:14" x14ac:dyDescent="0.2">
      <c r="A1245" s="1249"/>
      <c r="B1245" s="1252"/>
      <c r="C1245" s="1255"/>
      <c r="D1245" s="1252"/>
      <c r="E1245" s="1252"/>
      <c r="F1245" s="1252"/>
      <c r="G1245" s="1252"/>
      <c r="H1245" s="1252"/>
      <c r="N1245" s="1562"/>
    </row>
    <row r="1246" spans="1:14" x14ac:dyDescent="0.2">
      <c r="A1246" s="1249"/>
      <c r="B1246" s="1252"/>
      <c r="C1246" s="1255"/>
      <c r="D1246" s="1252"/>
      <c r="E1246" s="1252"/>
      <c r="F1246" s="1252"/>
      <c r="G1246" s="1252"/>
      <c r="H1246" s="1252"/>
      <c r="N1246" s="1562"/>
    </row>
    <row r="1247" spans="1:14" x14ac:dyDescent="0.2">
      <c r="A1247" s="1249"/>
      <c r="B1247" s="1252"/>
      <c r="C1247" s="1255"/>
      <c r="D1247" s="1252"/>
      <c r="E1247" s="1252"/>
      <c r="F1247" s="1252"/>
      <c r="G1247" s="1252"/>
      <c r="H1247" s="1252"/>
      <c r="N1247" s="1562"/>
    </row>
    <row r="1248" spans="1:14" x14ac:dyDescent="0.2">
      <c r="A1248" s="1249"/>
      <c r="B1248" s="1252"/>
      <c r="C1248" s="1255"/>
      <c r="D1248" s="1252"/>
      <c r="E1248" s="1252"/>
      <c r="F1248" s="1252"/>
      <c r="G1248" s="1252"/>
      <c r="H1248" s="1252"/>
      <c r="N1248" s="1562"/>
    </row>
    <row r="1249" spans="1:14" x14ac:dyDescent="0.2">
      <c r="A1249" s="1249"/>
      <c r="B1249" s="1252"/>
      <c r="C1249" s="1255"/>
      <c r="D1249" s="1252"/>
      <c r="E1249" s="1252"/>
      <c r="F1249" s="1252"/>
      <c r="G1249" s="1252"/>
      <c r="H1249" s="1252"/>
      <c r="N1249" s="1562"/>
    </row>
    <row r="1250" spans="1:14" x14ac:dyDescent="0.2">
      <c r="A1250" s="1249"/>
      <c r="B1250" s="1252"/>
      <c r="C1250" s="1255"/>
      <c r="D1250" s="1252"/>
      <c r="E1250" s="1252"/>
      <c r="F1250" s="1252"/>
      <c r="G1250" s="1252"/>
      <c r="H1250" s="1252"/>
      <c r="N1250" s="1562"/>
    </row>
    <row r="1251" spans="1:14" x14ac:dyDescent="0.2">
      <c r="A1251" s="1249"/>
      <c r="B1251" s="1252"/>
      <c r="C1251" s="1255"/>
      <c r="D1251" s="1252"/>
      <c r="E1251" s="1252"/>
      <c r="F1251" s="1252"/>
      <c r="G1251" s="1252"/>
      <c r="H1251" s="1252"/>
      <c r="N1251" s="1562"/>
    </row>
    <row r="1252" spans="1:14" x14ac:dyDescent="0.2">
      <c r="A1252" s="1249"/>
      <c r="B1252" s="1252"/>
      <c r="C1252" s="1255"/>
      <c r="D1252" s="1252"/>
      <c r="E1252" s="1252"/>
      <c r="F1252" s="1252"/>
      <c r="G1252" s="1252"/>
      <c r="H1252" s="1252"/>
      <c r="N1252" s="1562"/>
    </row>
    <row r="1253" spans="1:14" x14ac:dyDescent="0.2">
      <c r="A1253" s="1249"/>
      <c r="B1253" s="1252"/>
      <c r="C1253" s="1255"/>
      <c r="D1253" s="1252"/>
      <c r="E1253" s="1252"/>
      <c r="F1253" s="1252"/>
      <c r="G1253" s="1252"/>
      <c r="H1253" s="1252"/>
      <c r="N1253" s="1562"/>
    </row>
    <row r="1254" spans="1:14" x14ac:dyDescent="0.2">
      <c r="A1254" s="1249"/>
      <c r="B1254" s="1252"/>
      <c r="C1254" s="1255"/>
      <c r="D1254" s="1252"/>
      <c r="E1254" s="1252"/>
      <c r="F1254" s="1252"/>
      <c r="G1254" s="1252"/>
      <c r="H1254" s="1252"/>
      <c r="N1254" s="1562"/>
    </row>
    <row r="1255" spans="1:14" x14ac:dyDescent="0.2">
      <c r="A1255" s="1249"/>
      <c r="B1255" s="1252"/>
      <c r="C1255" s="1255"/>
      <c r="D1255" s="1252"/>
      <c r="E1255" s="1252"/>
      <c r="F1255" s="1252"/>
      <c r="G1255" s="1252"/>
      <c r="H1255" s="1252"/>
      <c r="N1255" s="1562"/>
    </row>
    <row r="1256" spans="1:14" x14ac:dyDescent="0.2">
      <c r="A1256" s="1249"/>
      <c r="B1256" s="1252"/>
      <c r="C1256" s="1255"/>
      <c r="D1256" s="1252"/>
      <c r="E1256" s="1252"/>
      <c r="F1256" s="1252"/>
      <c r="G1256" s="1252"/>
      <c r="H1256" s="1252"/>
      <c r="N1256" s="1562"/>
    </row>
    <row r="1257" spans="1:14" x14ac:dyDescent="0.2">
      <c r="A1257" s="1249"/>
      <c r="B1257" s="1252"/>
      <c r="C1257" s="1255"/>
      <c r="D1257" s="1252"/>
      <c r="E1257" s="1252"/>
      <c r="F1257" s="1252"/>
      <c r="G1257" s="1252"/>
      <c r="H1257" s="1252"/>
      <c r="N1257" s="1562"/>
    </row>
    <row r="1258" spans="1:14" x14ac:dyDescent="0.2">
      <c r="A1258" s="1249"/>
      <c r="B1258" s="1252"/>
      <c r="C1258" s="1255"/>
      <c r="D1258" s="1252"/>
      <c r="E1258" s="1252"/>
      <c r="F1258" s="1252"/>
      <c r="G1258" s="1252"/>
      <c r="H1258" s="1252"/>
      <c r="N1258" s="1562"/>
    </row>
    <row r="1259" spans="1:14" x14ac:dyDescent="0.2">
      <c r="A1259" s="1249"/>
      <c r="B1259" s="1252"/>
      <c r="C1259" s="1255"/>
      <c r="D1259" s="1252"/>
      <c r="E1259" s="1252"/>
      <c r="F1259" s="1252"/>
      <c r="G1259" s="1252"/>
      <c r="H1259" s="1252"/>
      <c r="N1259" s="1562"/>
    </row>
    <row r="1260" spans="1:14" x14ac:dyDescent="0.2">
      <c r="A1260" s="1249"/>
      <c r="B1260" s="1252"/>
      <c r="C1260" s="1255"/>
      <c r="D1260" s="1252"/>
      <c r="E1260" s="1252"/>
      <c r="F1260" s="1252"/>
      <c r="G1260" s="1252"/>
      <c r="H1260" s="1252"/>
      <c r="N1260" s="1562"/>
    </row>
    <row r="1261" spans="1:14" x14ac:dyDescent="0.2">
      <c r="A1261" s="1249"/>
      <c r="B1261" s="1252"/>
      <c r="C1261" s="1255"/>
      <c r="D1261" s="1252"/>
      <c r="E1261" s="1252"/>
      <c r="F1261" s="1252"/>
      <c r="G1261" s="1252"/>
      <c r="H1261" s="1252"/>
      <c r="N1261" s="1562"/>
    </row>
    <row r="1262" spans="1:14" x14ac:dyDescent="0.2">
      <c r="A1262" s="1249"/>
      <c r="B1262" s="1252"/>
      <c r="C1262" s="1255"/>
      <c r="D1262" s="1252"/>
      <c r="E1262" s="1252"/>
      <c r="F1262" s="1252"/>
      <c r="G1262" s="1252"/>
      <c r="H1262" s="1252"/>
      <c r="N1262" s="1562"/>
    </row>
    <row r="1263" spans="1:14" x14ac:dyDescent="0.2">
      <c r="A1263" s="1249"/>
      <c r="B1263" s="1252"/>
      <c r="C1263" s="1255"/>
      <c r="D1263" s="1252"/>
      <c r="E1263" s="1252"/>
      <c r="F1263" s="1252"/>
      <c r="G1263" s="1252"/>
      <c r="H1263" s="1252"/>
      <c r="N1263" s="1562"/>
    </row>
    <row r="1264" spans="1:14" x14ac:dyDescent="0.2">
      <c r="A1264" s="1249"/>
      <c r="B1264" s="1252"/>
      <c r="C1264" s="1255"/>
      <c r="D1264" s="1252"/>
      <c r="E1264" s="1252"/>
      <c r="F1264" s="1252"/>
      <c r="G1264" s="1252"/>
      <c r="H1264" s="1252"/>
      <c r="N1264" s="1562"/>
    </row>
    <row r="1265" spans="1:14" x14ac:dyDescent="0.2">
      <c r="A1265" s="1249"/>
      <c r="B1265" s="1252"/>
      <c r="C1265" s="1255"/>
      <c r="D1265" s="1252"/>
      <c r="E1265" s="1252"/>
      <c r="F1265" s="1252"/>
      <c r="G1265" s="1252"/>
      <c r="H1265" s="1252"/>
      <c r="N1265" s="1562"/>
    </row>
    <row r="1266" spans="1:14" x14ac:dyDescent="0.2">
      <c r="A1266" s="1249"/>
      <c r="B1266" s="1252"/>
      <c r="C1266" s="1255"/>
      <c r="D1266" s="1252"/>
      <c r="E1266" s="1252"/>
      <c r="F1266" s="1252"/>
      <c r="G1266" s="1252"/>
      <c r="H1266" s="1252"/>
      <c r="N1266" s="1562"/>
    </row>
    <row r="1267" spans="1:14" x14ac:dyDescent="0.2">
      <c r="A1267" s="1249"/>
      <c r="B1267" s="1252"/>
      <c r="C1267" s="1255"/>
      <c r="D1267" s="1252"/>
      <c r="E1267" s="1252"/>
      <c r="F1267" s="1252"/>
      <c r="G1267" s="1252"/>
      <c r="H1267" s="1252"/>
      <c r="N1267" s="1562"/>
    </row>
    <row r="1268" spans="1:14" x14ac:dyDescent="0.2">
      <c r="A1268" s="1249"/>
      <c r="B1268" s="1252"/>
      <c r="C1268" s="1255"/>
      <c r="D1268" s="1252"/>
      <c r="E1268" s="1252"/>
      <c r="F1268" s="1252"/>
      <c r="G1268" s="1252"/>
      <c r="H1268" s="1252"/>
      <c r="N1268" s="1562"/>
    </row>
    <row r="1269" spans="1:14" x14ac:dyDescent="0.2">
      <c r="A1269" s="1249"/>
      <c r="B1269" s="1252"/>
      <c r="C1269" s="1255"/>
      <c r="D1269" s="1252"/>
      <c r="E1269" s="1252"/>
      <c r="F1269" s="1252"/>
      <c r="G1269" s="1252"/>
      <c r="H1269" s="1252"/>
      <c r="N1269" s="1562"/>
    </row>
    <row r="1270" spans="1:14" x14ac:dyDescent="0.2">
      <c r="A1270" s="1249"/>
      <c r="B1270" s="1252"/>
      <c r="C1270" s="1255"/>
      <c r="D1270" s="1252"/>
      <c r="E1270" s="1252"/>
      <c r="F1270" s="1252"/>
      <c r="G1270" s="1252"/>
      <c r="H1270" s="1252"/>
      <c r="N1270" s="1562"/>
    </row>
    <row r="1271" spans="1:14" x14ac:dyDescent="0.2">
      <c r="A1271" s="1249"/>
      <c r="B1271" s="1252"/>
      <c r="C1271" s="1255"/>
      <c r="D1271" s="1252"/>
      <c r="E1271" s="1252"/>
      <c r="F1271" s="1252"/>
      <c r="G1271" s="1252"/>
      <c r="H1271" s="1252"/>
      <c r="N1271" s="1562"/>
    </row>
    <row r="1272" spans="1:14" x14ac:dyDescent="0.2">
      <c r="A1272" s="1249"/>
      <c r="B1272" s="1252"/>
      <c r="C1272" s="1255"/>
      <c r="D1272" s="1252"/>
      <c r="E1272" s="1252"/>
      <c r="F1272" s="1252"/>
      <c r="G1272" s="1252"/>
      <c r="H1272" s="1252"/>
      <c r="N1272" s="1562"/>
    </row>
    <row r="1273" spans="1:14" x14ac:dyDescent="0.2">
      <c r="A1273" s="1249"/>
      <c r="B1273" s="1252"/>
      <c r="C1273" s="1255"/>
      <c r="D1273" s="1252"/>
      <c r="E1273" s="1252"/>
      <c r="F1273" s="1252"/>
      <c r="G1273" s="1252"/>
      <c r="H1273" s="1252"/>
      <c r="N1273" s="1562"/>
    </row>
    <row r="1274" spans="1:14" x14ac:dyDescent="0.2">
      <c r="A1274" s="1249"/>
      <c r="B1274" s="1252"/>
      <c r="C1274" s="1255"/>
      <c r="D1274" s="1252"/>
      <c r="E1274" s="1252"/>
      <c r="F1274" s="1252"/>
      <c r="G1274" s="1252"/>
      <c r="H1274" s="1252"/>
      <c r="N1274" s="1562"/>
    </row>
    <row r="1275" spans="1:14" x14ac:dyDescent="0.2">
      <c r="A1275" s="1249"/>
      <c r="B1275" s="1252"/>
      <c r="C1275" s="1255"/>
      <c r="D1275" s="1252"/>
      <c r="E1275" s="1252"/>
      <c r="F1275" s="1252"/>
      <c r="G1275" s="1252"/>
      <c r="H1275" s="1252"/>
      <c r="N1275" s="1562"/>
    </row>
    <row r="1276" spans="1:14" x14ac:dyDescent="0.2">
      <c r="A1276" s="1249"/>
      <c r="B1276" s="1252"/>
      <c r="C1276" s="1255"/>
      <c r="D1276" s="1252"/>
      <c r="E1276" s="1252"/>
      <c r="F1276" s="1252"/>
      <c r="G1276" s="1252"/>
      <c r="H1276" s="1252"/>
      <c r="N1276" s="1562"/>
    </row>
    <row r="1277" spans="1:14" x14ac:dyDescent="0.2">
      <c r="A1277" s="1249"/>
      <c r="B1277" s="1252"/>
      <c r="C1277" s="1255"/>
      <c r="D1277" s="1252"/>
      <c r="E1277" s="1252"/>
      <c r="F1277" s="1252"/>
      <c r="G1277" s="1252"/>
      <c r="H1277" s="1252"/>
      <c r="N1277" s="1562"/>
    </row>
    <row r="1278" spans="1:14" x14ac:dyDescent="0.2">
      <c r="A1278" s="1249"/>
      <c r="B1278" s="1252"/>
      <c r="C1278" s="1255"/>
      <c r="D1278" s="1252"/>
      <c r="E1278" s="1252"/>
      <c r="F1278" s="1252"/>
      <c r="G1278" s="1252"/>
      <c r="H1278" s="1252"/>
      <c r="N1278" s="1562"/>
    </row>
    <row r="1279" spans="1:14" x14ac:dyDescent="0.2">
      <c r="A1279" s="1249"/>
      <c r="B1279" s="1252"/>
      <c r="C1279" s="1255"/>
      <c r="D1279" s="1252"/>
      <c r="E1279" s="1252"/>
      <c r="F1279" s="1252"/>
      <c r="G1279" s="1252"/>
      <c r="H1279" s="1252"/>
      <c r="N1279" s="1562"/>
    </row>
    <row r="1280" spans="1:14" x14ac:dyDescent="0.2">
      <c r="A1280" s="1249"/>
      <c r="B1280" s="1252"/>
      <c r="C1280" s="1255"/>
      <c r="D1280" s="1252"/>
      <c r="E1280" s="1252"/>
      <c r="F1280" s="1252"/>
      <c r="G1280" s="1252"/>
      <c r="H1280" s="1252"/>
      <c r="N1280" s="1562"/>
    </row>
    <row r="1281" spans="1:14" x14ac:dyDescent="0.2">
      <c r="A1281" s="1249"/>
      <c r="B1281" s="1252"/>
      <c r="C1281" s="1255"/>
      <c r="D1281" s="1252"/>
      <c r="E1281" s="1252"/>
      <c r="F1281" s="1252"/>
      <c r="G1281" s="1252"/>
      <c r="H1281" s="1252"/>
      <c r="N1281" s="1562"/>
    </row>
    <row r="1282" spans="1:14" x14ac:dyDescent="0.2">
      <c r="A1282" s="1249"/>
      <c r="B1282" s="1252"/>
      <c r="C1282" s="1255"/>
      <c r="D1282" s="1252"/>
      <c r="E1282" s="1252"/>
      <c r="F1282" s="1252"/>
      <c r="G1282" s="1252"/>
      <c r="H1282" s="1252"/>
      <c r="N1282" s="1562"/>
    </row>
    <row r="1283" spans="1:14" x14ac:dyDescent="0.2">
      <c r="A1283" s="1249"/>
      <c r="B1283" s="1252"/>
      <c r="C1283" s="1255"/>
      <c r="D1283" s="1252"/>
      <c r="E1283" s="1252"/>
      <c r="F1283" s="1252"/>
      <c r="G1283" s="1252"/>
      <c r="H1283" s="1252"/>
      <c r="N1283" s="1562"/>
    </row>
    <row r="1284" spans="1:14" x14ac:dyDescent="0.2">
      <c r="A1284" s="1249"/>
      <c r="B1284" s="1252"/>
      <c r="C1284" s="1255"/>
      <c r="D1284" s="1252"/>
      <c r="E1284" s="1252"/>
      <c r="F1284" s="1252"/>
      <c r="G1284" s="1252"/>
      <c r="H1284" s="1252"/>
      <c r="N1284" s="1562"/>
    </row>
    <row r="1285" spans="1:14" x14ac:dyDescent="0.2">
      <c r="A1285" s="1249"/>
      <c r="B1285" s="1252"/>
      <c r="C1285" s="1255"/>
      <c r="D1285" s="1252"/>
      <c r="E1285" s="1252"/>
      <c r="F1285" s="1252"/>
      <c r="G1285" s="1252"/>
      <c r="H1285" s="1252"/>
      <c r="N1285" s="1562"/>
    </row>
    <row r="1286" spans="1:14" x14ac:dyDescent="0.2">
      <c r="A1286" s="1249"/>
      <c r="B1286" s="1252"/>
      <c r="C1286" s="1255"/>
      <c r="D1286" s="1252"/>
      <c r="E1286" s="1252"/>
      <c r="F1286" s="1252"/>
      <c r="G1286" s="1252"/>
      <c r="H1286" s="1252"/>
      <c r="N1286" s="1562"/>
    </row>
    <row r="1287" spans="1:14" x14ac:dyDescent="0.2">
      <c r="A1287" s="1249"/>
      <c r="B1287" s="1252"/>
      <c r="C1287" s="1255"/>
      <c r="D1287" s="1252"/>
      <c r="E1287" s="1252"/>
      <c r="F1287" s="1252"/>
      <c r="G1287" s="1252"/>
      <c r="H1287" s="1252"/>
      <c r="N1287" s="1562"/>
    </row>
    <row r="1288" spans="1:14" x14ac:dyDescent="0.2">
      <c r="A1288" s="1249"/>
      <c r="B1288" s="1252"/>
      <c r="C1288" s="1255"/>
      <c r="D1288" s="1252"/>
      <c r="E1288" s="1252"/>
      <c r="F1288" s="1252"/>
      <c r="G1288" s="1252"/>
      <c r="H1288" s="1252"/>
      <c r="N1288" s="1562"/>
    </row>
    <row r="1289" spans="1:14" x14ac:dyDescent="0.2">
      <c r="A1289" s="1249"/>
      <c r="B1289" s="1252"/>
      <c r="C1289" s="1255"/>
      <c r="D1289" s="1252"/>
      <c r="E1289" s="1252"/>
      <c r="F1289" s="1252"/>
      <c r="G1289" s="1252"/>
      <c r="H1289" s="1252"/>
      <c r="N1289" s="1562"/>
    </row>
    <row r="1290" spans="1:14" x14ac:dyDescent="0.2">
      <c r="A1290" s="1249"/>
      <c r="B1290" s="1252"/>
      <c r="C1290" s="1255"/>
      <c r="D1290" s="1252"/>
      <c r="E1290" s="1252"/>
      <c r="F1290" s="1252"/>
      <c r="G1290" s="1252"/>
      <c r="H1290" s="1252"/>
      <c r="N1290" s="1562"/>
    </row>
    <row r="1291" spans="1:14" x14ac:dyDescent="0.2">
      <c r="A1291" s="1249"/>
      <c r="B1291" s="1252"/>
      <c r="C1291" s="1255"/>
      <c r="D1291" s="1252"/>
      <c r="E1291" s="1252"/>
      <c r="F1291" s="1252"/>
      <c r="G1291" s="1252"/>
      <c r="H1291" s="1252"/>
      <c r="N1291" s="1562"/>
    </row>
    <row r="1292" spans="1:14" x14ac:dyDescent="0.2">
      <c r="A1292" s="1249"/>
      <c r="B1292" s="1252"/>
      <c r="C1292" s="1255"/>
      <c r="D1292" s="1252"/>
      <c r="E1292" s="1252"/>
      <c r="F1292" s="1252"/>
      <c r="G1292" s="1252"/>
      <c r="H1292" s="1252"/>
      <c r="N1292" s="1562"/>
    </row>
    <row r="1293" spans="1:14" x14ac:dyDescent="0.2">
      <c r="A1293" s="1249"/>
      <c r="B1293" s="1252"/>
      <c r="C1293" s="1255"/>
      <c r="D1293" s="1252"/>
      <c r="E1293" s="1252"/>
      <c r="F1293" s="1252"/>
      <c r="G1293" s="1252"/>
      <c r="H1293" s="1252"/>
      <c r="N1293" s="1562"/>
    </row>
    <row r="1294" spans="1:14" x14ac:dyDescent="0.2">
      <c r="A1294" s="1249"/>
      <c r="B1294" s="1252"/>
      <c r="C1294" s="1255"/>
      <c r="D1294" s="1252"/>
      <c r="E1294" s="1252"/>
      <c r="F1294" s="1252"/>
      <c r="G1294" s="1252"/>
      <c r="H1294" s="1252"/>
      <c r="N1294" s="1562"/>
    </row>
    <row r="1295" spans="1:14" x14ac:dyDescent="0.2">
      <c r="A1295" s="1249"/>
      <c r="B1295" s="1252"/>
      <c r="C1295" s="1255"/>
      <c r="D1295" s="1252"/>
      <c r="E1295" s="1252"/>
      <c r="F1295" s="1252"/>
      <c r="G1295" s="1252"/>
      <c r="H1295" s="1252"/>
      <c r="N1295" s="1562"/>
    </row>
    <row r="1296" spans="1:14" x14ac:dyDescent="0.2">
      <c r="A1296" s="1249"/>
      <c r="B1296" s="1252"/>
      <c r="C1296" s="1255"/>
      <c r="D1296" s="1252"/>
      <c r="E1296" s="1252"/>
      <c r="F1296" s="1252"/>
      <c r="G1296" s="1252"/>
      <c r="H1296" s="1252"/>
      <c r="N1296" s="1562"/>
    </row>
    <row r="1297" spans="1:14" x14ac:dyDescent="0.2">
      <c r="A1297" s="1249"/>
      <c r="B1297" s="1252"/>
      <c r="C1297" s="1255"/>
      <c r="D1297" s="1252"/>
      <c r="E1297" s="1252"/>
      <c r="F1297" s="1252"/>
      <c r="G1297" s="1252"/>
      <c r="H1297" s="1252"/>
      <c r="N1297" s="1562"/>
    </row>
    <row r="1298" spans="1:14" x14ac:dyDescent="0.2">
      <c r="A1298" s="1249"/>
      <c r="B1298" s="1252"/>
      <c r="C1298" s="1255"/>
      <c r="D1298" s="1252"/>
      <c r="E1298" s="1252"/>
      <c r="F1298" s="1252"/>
      <c r="G1298" s="1252"/>
      <c r="H1298" s="1252"/>
      <c r="N1298" s="1562"/>
    </row>
    <row r="1299" spans="1:14" x14ac:dyDescent="0.2">
      <c r="A1299" s="1249"/>
      <c r="B1299" s="1252"/>
      <c r="C1299" s="1255"/>
      <c r="D1299" s="1252"/>
      <c r="E1299" s="1252"/>
      <c r="F1299" s="1252"/>
      <c r="G1299" s="1252"/>
      <c r="H1299" s="1252"/>
      <c r="N1299" s="1562"/>
    </row>
    <row r="1300" spans="1:14" x14ac:dyDescent="0.2">
      <c r="A1300" s="1249"/>
      <c r="B1300" s="1252"/>
      <c r="C1300" s="1255"/>
      <c r="D1300" s="1252"/>
      <c r="E1300" s="1252"/>
      <c r="F1300" s="1252"/>
      <c r="G1300" s="1252"/>
      <c r="H1300" s="1252"/>
      <c r="N1300" s="1562"/>
    </row>
    <row r="1301" spans="1:14" x14ac:dyDescent="0.2">
      <c r="A1301" s="1249"/>
      <c r="B1301" s="1252"/>
      <c r="C1301" s="1255"/>
      <c r="D1301" s="1252"/>
      <c r="E1301" s="1252"/>
      <c r="F1301" s="1252"/>
      <c r="G1301" s="1252"/>
      <c r="H1301" s="1252"/>
      <c r="N1301" s="1562"/>
    </row>
    <row r="1302" spans="1:14" x14ac:dyDescent="0.2">
      <c r="A1302" s="1249"/>
      <c r="B1302" s="1252"/>
      <c r="C1302" s="1255"/>
      <c r="D1302" s="1252"/>
      <c r="E1302" s="1252"/>
      <c r="F1302" s="1252"/>
      <c r="G1302" s="1252"/>
      <c r="H1302" s="1252"/>
      <c r="N1302" s="1562"/>
    </row>
    <row r="1303" spans="1:14" x14ac:dyDescent="0.2">
      <c r="A1303" s="1249"/>
      <c r="B1303" s="1252"/>
      <c r="C1303" s="1255"/>
      <c r="D1303" s="1252"/>
      <c r="E1303" s="1252"/>
      <c r="F1303" s="1252"/>
      <c r="G1303" s="1252"/>
      <c r="H1303" s="1252"/>
      <c r="N1303" s="1562"/>
    </row>
    <row r="1304" spans="1:14" x14ac:dyDescent="0.2">
      <c r="A1304" s="1249"/>
      <c r="B1304" s="1252"/>
      <c r="C1304" s="1255"/>
      <c r="D1304" s="1252"/>
      <c r="E1304" s="1252"/>
      <c r="F1304" s="1252"/>
      <c r="G1304" s="1252"/>
      <c r="H1304" s="1252"/>
      <c r="N1304" s="1562"/>
    </row>
    <row r="1305" spans="1:14" x14ac:dyDescent="0.2">
      <c r="A1305" s="1249"/>
      <c r="B1305" s="1252"/>
      <c r="C1305" s="1255"/>
      <c r="D1305" s="1252"/>
      <c r="E1305" s="1252"/>
      <c r="F1305" s="1252"/>
      <c r="G1305" s="1252"/>
      <c r="H1305" s="1252"/>
      <c r="N1305" s="1562"/>
    </row>
    <row r="1306" spans="1:14" x14ac:dyDescent="0.2">
      <c r="A1306" s="1249"/>
      <c r="B1306" s="1252"/>
      <c r="C1306" s="1255"/>
      <c r="D1306" s="1252"/>
      <c r="E1306" s="1252"/>
      <c r="F1306" s="1252"/>
      <c r="G1306" s="1252"/>
      <c r="H1306" s="1252"/>
      <c r="N1306" s="1562"/>
    </row>
    <row r="1307" spans="1:14" x14ac:dyDescent="0.2">
      <c r="A1307" s="1249"/>
      <c r="B1307" s="1252"/>
      <c r="C1307" s="1255"/>
      <c r="D1307" s="1252"/>
      <c r="E1307" s="1252"/>
      <c r="F1307" s="1252"/>
      <c r="G1307" s="1252"/>
      <c r="H1307" s="1252"/>
      <c r="N1307" s="1562"/>
    </row>
    <row r="1308" spans="1:14" x14ac:dyDescent="0.2">
      <c r="A1308" s="1249"/>
      <c r="B1308" s="1252"/>
      <c r="C1308" s="1255"/>
      <c r="D1308" s="1252"/>
      <c r="E1308" s="1252"/>
      <c r="F1308" s="1252"/>
      <c r="G1308" s="1252"/>
      <c r="H1308" s="1252"/>
      <c r="N1308" s="1562"/>
    </row>
    <row r="1309" spans="1:14" x14ac:dyDescent="0.2">
      <c r="A1309" s="1249"/>
      <c r="B1309" s="1252"/>
      <c r="C1309" s="1255"/>
      <c r="D1309" s="1252"/>
      <c r="E1309" s="1252"/>
      <c r="F1309" s="1252"/>
      <c r="G1309" s="1252"/>
      <c r="H1309" s="1252"/>
      <c r="N1309" s="1562"/>
    </row>
    <row r="1310" spans="1:14" x14ac:dyDescent="0.2">
      <c r="A1310" s="1249"/>
      <c r="B1310" s="1252"/>
      <c r="C1310" s="1255"/>
      <c r="D1310" s="1252"/>
      <c r="E1310" s="1252"/>
      <c r="F1310" s="1252"/>
      <c r="G1310" s="1252"/>
      <c r="H1310" s="1252"/>
      <c r="N1310" s="1562"/>
    </row>
    <row r="1311" spans="1:14" x14ac:dyDescent="0.2">
      <c r="A1311" s="1249"/>
      <c r="B1311" s="1252"/>
      <c r="C1311" s="1255"/>
      <c r="D1311" s="1252"/>
      <c r="E1311" s="1252"/>
      <c r="F1311" s="1252"/>
      <c r="G1311" s="1252"/>
      <c r="H1311" s="1252"/>
      <c r="N1311" s="1562"/>
    </row>
    <row r="1312" spans="1:14" x14ac:dyDescent="0.2">
      <c r="A1312" s="1249"/>
      <c r="B1312" s="1252"/>
      <c r="C1312" s="1255"/>
      <c r="D1312" s="1252"/>
      <c r="E1312" s="1252"/>
      <c r="F1312" s="1252"/>
      <c r="G1312" s="1252"/>
      <c r="H1312" s="1252"/>
      <c r="N1312" s="1562"/>
    </row>
    <row r="1313" spans="1:14" x14ac:dyDescent="0.2">
      <c r="A1313" s="1249"/>
      <c r="B1313" s="1252"/>
      <c r="C1313" s="1255"/>
      <c r="D1313" s="1252"/>
      <c r="E1313" s="1252"/>
      <c r="F1313" s="1252"/>
      <c r="G1313" s="1252"/>
      <c r="H1313" s="1252"/>
      <c r="N1313" s="1562"/>
    </row>
    <row r="1314" spans="1:14" x14ac:dyDescent="0.2">
      <c r="A1314" s="1249"/>
      <c r="B1314" s="1252"/>
      <c r="C1314" s="1255"/>
      <c r="D1314" s="1252"/>
      <c r="E1314" s="1252"/>
      <c r="F1314" s="1252"/>
      <c r="G1314" s="1252"/>
      <c r="H1314" s="1252"/>
      <c r="N1314" s="1562"/>
    </row>
    <row r="1315" spans="1:14" x14ac:dyDescent="0.2">
      <c r="A1315" s="1249"/>
      <c r="B1315" s="1252"/>
      <c r="C1315" s="1255"/>
      <c r="D1315" s="1252"/>
      <c r="E1315" s="1252"/>
      <c r="F1315" s="1252"/>
      <c r="G1315" s="1252"/>
      <c r="H1315" s="1252"/>
      <c r="N1315" s="1562"/>
    </row>
    <row r="1316" spans="1:14" x14ac:dyDescent="0.2">
      <c r="A1316" s="1249"/>
      <c r="B1316" s="1252"/>
      <c r="C1316" s="1255"/>
      <c r="D1316" s="1252"/>
      <c r="E1316" s="1252"/>
      <c r="F1316" s="1252"/>
      <c r="G1316" s="1252"/>
      <c r="H1316" s="1252"/>
      <c r="N1316" s="1562"/>
    </row>
    <row r="1317" spans="1:14" x14ac:dyDescent="0.2">
      <c r="A1317" s="1249"/>
      <c r="B1317" s="1252"/>
      <c r="C1317" s="1255"/>
      <c r="D1317" s="1252"/>
      <c r="E1317" s="1252"/>
      <c r="F1317" s="1252"/>
      <c r="G1317" s="1252"/>
      <c r="H1317" s="1252"/>
      <c r="N1317" s="1562"/>
    </row>
    <row r="1318" spans="1:14" x14ac:dyDescent="0.2">
      <c r="A1318" s="1249"/>
      <c r="B1318" s="1252"/>
      <c r="C1318" s="1255"/>
      <c r="D1318" s="1252"/>
      <c r="E1318" s="1252"/>
      <c r="F1318" s="1252"/>
      <c r="G1318" s="1252"/>
      <c r="H1318" s="1252"/>
      <c r="N1318" s="1562"/>
    </row>
    <row r="1319" spans="1:14" x14ac:dyDescent="0.2">
      <c r="A1319" s="1249"/>
      <c r="B1319" s="1252"/>
      <c r="C1319" s="1255"/>
      <c r="D1319" s="1252"/>
      <c r="E1319" s="1252"/>
      <c r="F1319" s="1252"/>
      <c r="G1319" s="1252"/>
      <c r="H1319" s="1252"/>
      <c r="N1319" s="1562"/>
    </row>
    <row r="1320" spans="1:14" x14ac:dyDescent="0.2">
      <c r="A1320" s="1249"/>
      <c r="B1320" s="1252"/>
      <c r="C1320" s="1255"/>
      <c r="D1320" s="1252"/>
      <c r="E1320" s="1252"/>
      <c r="F1320" s="1252"/>
      <c r="G1320" s="1252"/>
      <c r="H1320" s="1252"/>
      <c r="N1320" s="1562"/>
    </row>
    <row r="1321" spans="1:14" x14ac:dyDescent="0.2">
      <c r="A1321" s="1249"/>
      <c r="B1321" s="1252"/>
      <c r="C1321" s="1255"/>
      <c r="D1321" s="1252"/>
      <c r="E1321" s="1252"/>
      <c r="F1321" s="1252"/>
      <c r="G1321" s="1252"/>
      <c r="H1321" s="1252"/>
      <c r="N1321" s="1562"/>
    </row>
    <row r="1322" spans="1:14" x14ac:dyDescent="0.2">
      <c r="A1322" s="1249"/>
      <c r="B1322" s="1252"/>
      <c r="C1322" s="1255"/>
      <c r="D1322" s="1252"/>
      <c r="E1322" s="1252"/>
      <c r="F1322" s="1252"/>
      <c r="G1322" s="1252"/>
      <c r="H1322" s="1252"/>
      <c r="N1322" s="1562"/>
    </row>
    <row r="1323" spans="1:14" x14ac:dyDescent="0.2">
      <c r="A1323" s="1249"/>
      <c r="B1323" s="1252"/>
      <c r="C1323" s="1255"/>
      <c r="D1323" s="1252"/>
      <c r="E1323" s="1252"/>
      <c r="F1323" s="1252"/>
      <c r="G1323" s="1252"/>
      <c r="H1323" s="1252"/>
      <c r="N1323" s="1562"/>
    </row>
    <row r="1324" spans="1:14" x14ac:dyDescent="0.2">
      <c r="A1324" s="1249"/>
      <c r="B1324" s="1252"/>
      <c r="C1324" s="1255"/>
      <c r="D1324" s="1252"/>
      <c r="E1324" s="1252"/>
      <c r="F1324" s="1252"/>
      <c r="G1324" s="1252"/>
      <c r="H1324" s="1252"/>
      <c r="N1324" s="1562"/>
    </row>
    <row r="1325" spans="1:14" x14ac:dyDescent="0.2">
      <c r="A1325" s="1249"/>
      <c r="B1325" s="1252"/>
      <c r="C1325" s="1255"/>
      <c r="D1325" s="1252"/>
      <c r="E1325" s="1252"/>
      <c r="F1325" s="1252"/>
      <c r="G1325" s="1252"/>
      <c r="H1325" s="1252"/>
      <c r="N1325" s="1562"/>
    </row>
    <row r="1326" spans="1:14" x14ac:dyDescent="0.2">
      <c r="A1326" s="1249"/>
      <c r="B1326" s="1252"/>
      <c r="C1326" s="1255"/>
      <c r="D1326" s="1252"/>
      <c r="E1326" s="1252"/>
      <c r="F1326" s="1252"/>
      <c r="G1326" s="1252"/>
      <c r="H1326" s="1252"/>
      <c r="N1326" s="1562"/>
    </row>
    <row r="1327" spans="1:14" x14ac:dyDescent="0.2">
      <c r="A1327" s="1249"/>
      <c r="B1327" s="1252"/>
      <c r="C1327" s="1255"/>
      <c r="D1327" s="1252"/>
      <c r="E1327" s="1252"/>
      <c r="F1327" s="1252"/>
      <c r="G1327" s="1252"/>
      <c r="H1327" s="1252"/>
      <c r="N1327" s="1562"/>
    </row>
    <row r="1328" spans="1:14" x14ac:dyDescent="0.2">
      <c r="A1328" s="1249"/>
      <c r="B1328" s="1252"/>
      <c r="C1328" s="1255"/>
      <c r="D1328" s="1252"/>
      <c r="E1328" s="1252"/>
      <c r="F1328" s="1252"/>
      <c r="G1328" s="1252"/>
      <c r="H1328" s="1252"/>
      <c r="N1328" s="1562"/>
    </row>
    <row r="1329" spans="1:14" x14ac:dyDescent="0.2">
      <c r="A1329" s="1249"/>
      <c r="B1329" s="1252"/>
      <c r="C1329" s="1255"/>
      <c r="D1329" s="1252"/>
      <c r="E1329" s="1252"/>
      <c r="F1329" s="1252"/>
      <c r="G1329" s="1252"/>
      <c r="H1329" s="1252"/>
      <c r="N1329" s="1562"/>
    </row>
    <row r="1330" spans="1:14" x14ac:dyDescent="0.2">
      <c r="A1330" s="1249"/>
      <c r="B1330" s="1252"/>
      <c r="C1330" s="1255"/>
      <c r="D1330" s="1252"/>
      <c r="E1330" s="1252"/>
      <c r="F1330" s="1252"/>
      <c r="G1330" s="1252"/>
      <c r="H1330" s="1252"/>
      <c r="N1330" s="1562"/>
    </row>
    <row r="1331" spans="1:14" x14ac:dyDescent="0.2">
      <c r="A1331" s="1249"/>
      <c r="B1331" s="1252"/>
      <c r="C1331" s="1255"/>
      <c r="D1331" s="1252"/>
      <c r="E1331" s="1252"/>
      <c r="F1331" s="1252"/>
      <c r="G1331" s="1252"/>
      <c r="H1331" s="1252"/>
      <c r="N1331" s="1562"/>
    </row>
    <row r="1332" spans="1:14" x14ac:dyDescent="0.2">
      <c r="A1332" s="1249"/>
      <c r="B1332" s="1252"/>
      <c r="C1332" s="1255"/>
      <c r="D1332" s="1252"/>
      <c r="E1332" s="1252"/>
      <c r="F1332" s="1252"/>
      <c r="G1332" s="1252"/>
      <c r="H1332" s="1252"/>
      <c r="N1332" s="1562"/>
    </row>
    <row r="1333" spans="1:14" x14ac:dyDescent="0.2">
      <c r="A1333" s="1249"/>
      <c r="B1333" s="1252"/>
      <c r="C1333" s="1255"/>
      <c r="D1333" s="1252"/>
      <c r="E1333" s="1252"/>
      <c r="F1333" s="1252"/>
      <c r="G1333" s="1252"/>
      <c r="H1333" s="1252"/>
      <c r="N1333" s="1562"/>
    </row>
    <row r="1334" spans="1:14" x14ac:dyDescent="0.2">
      <c r="A1334" s="1249"/>
      <c r="B1334" s="1252"/>
      <c r="C1334" s="1255"/>
      <c r="D1334" s="1252"/>
      <c r="E1334" s="1252"/>
      <c r="F1334" s="1252"/>
      <c r="G1334" s="1252"/>
      <c r="H1334" s="1252"/>
      <c r="N1334" s="1562"/>
    </row>
    <row r="1335" spans="1:14" x14ac:dyDescent="0.2">
      <c r="A1335" s="1249"/>
      <c r="B1335" s="1252"/>
      <c r="C1335" s="1255"/>
      <c r="D1335" s="1252"/>
      <c r="E1335" s="1252"/>
      <c r="F1335" s="1252"/>
      <c r="G1335" s="1252"/>
      <c r="H1335" s="1252"/>
      <c r="N1335" s="1562"/>
    </row>
    <row r="1336" spans="1:14" x14ac:dyDescent="0.2">
      <c r="A1336" s="1249"/>
      <c r="B1336" s="1252"/>
      <c r="C1336" s="1255"/>
      <c r="D1336" s="1252"/>
      <c r="E1336" s="1252"/>
      <c r="F1336" s="1252"/>
      <c r="G1336" s="1252"/>
      <c r="H1336" s="1252"/>
      <c r="N1336" s="1562"/>
    </row>
    <row r="1337" spans="1:14" x14ac:dyDescent="0.2">
      <c r="A1337" s="1249"/>
      <c r="B1337" s="1252"/>
      <c r="C1337" s="1255"/>
      <c r="D1337" s="1252"/>
      <c r="E1337" s="1252"/>
      <c r="F1337" s="1252"/>
      <c r="G1337" s="1252"/>
      <c r="H1337" s="1252"/>
      <c r="N1337" s="1562"/>
    </row>
    <row r="1338" spans="1:14" x14ac:dyDescent="0.2">
      <c r="A1338" s="1249"/>
      <c r="B1338" s="1252"/>
      <c r="C1338" s="1255"/>
      <c r="D1338" s="1252"/>
      <c r="E1338" s="1252"/>
      <c r="F1338" s="1252"/>
      <c r="G1338" s="1252"/>
      <c r="H1338" s="1252"/>
      <c r="N1338" s="1562"/>
    </row>
    <row r="1339" spans="1:14" x14ac:dyDescent="0.2">
      <c r="A1339" s="1249"/>
      <c r="B1339" s="1252"/>
      <c r="C1339" s="1255"/>
      <c r="D1339" s="1252"/>
      <c r="E1339" s="1252"/>
      <c r="F1339" s="1252"/>
      <c r="G1339" s="1252"/>
      <c r="H1339" s="1252"/>
      <c r="N1339" s="1562"/>
    </row>
    <row r="1340" spans="1:14" x14ac:dyDescent="0.2">
      <c r="A1340" s="1249"/>
      <c r="B1340" s="1252"/>
      <c r="C1340" s="1255"/>
      <c r="D1340" s="1252"/>
      <c r="E1340" s="1252"/>
      <c r="F1340" s="1252"/>
      <c r="G1340" s="1252"/>
      <c r="H1340" s="1252"/>
      <c r="N1340" s="1562"/>
    </row>
    <row r="1341" spans="1:14" x14ac:dyDescent="0.2">
      <c r="A1341" s="1249"/>
      <c r="B1341" s="1252"/>
      <c r="C1341" s="1255"/>
      <c r="D1341" s="1252"/>
      <c r="E1341" s="1252"/>
      <c r="F1341" s="1252"/>
      <c r="G1341" s="1252"/>
      <c r="H1341" s="1252"/>
      <c r="N1341" s="1562"/>
    </row>
    <row r="1342" spans="1:14" x14ac:dyDescent="0.2">
      <c r="A1342" s="1249"/>
      <c r="B1342" s="1252"/>
      <c r="C1342" s="1255"/>
      <c r="D1342" s="1252"/>
      <c r="E1342" s="1252"/>
      <c r="F1342" s="1252"/>
      <c r="G1342" s="1252"/>
      <c r="H1342" s="1252"/>
      <c r="N1342" s="1562"/>
    </row>
    <row r="1343" spans="1:14" x14ac:dyDescent="0.2">
      <c r="A1343" s="1249"/>
      <c r="B1343" s="1252"/>
      <c r="C1343" s="1255"/>
      <c r="D1343" s="1252"/>
      <c r="E1343" s="1252"/>
      <c r="F1343" s="1252"/>
      <c r="G1343" s="1252"/>
      <c r="H1343" s="1252"/>
      <c r="N1343" s="1562"/>
    </row>
    <row r="1344" spans="1:14" x14ac:dyDescent="0.2">
      <c r="A1344" s="1249"/>
      <c r="B1344" s="1252"/>
      <c r="C1344" s="1255"/>
      <c r="D1344" s="1252"/>
      <c r="E1344" s="1252"/>
      <c r="F1344" s="1252"/>
      <c r="G1344" s="1252"/>
      <c r="H1344" s="1252"/>
      <c r="N1344" s="1562"/>
    </row>
    <row r="1345" spans="1:14" x14ac:dyDescent="0.2">
      <c r="A1345" s="1249"/>
      <c r="B1345" s="1252"/>
      <c r="C1345" s="1255"/>
      <c r="D1345" s="1252"/>
      <c r="E1345" s="1252"/>
      <c r="F1345" s="1252"/>
      <c r="G1345" s="1252"/>
      <c r="H1345" s="1252"/>
      <c r="N1345" s="1562"/>
    </row>
    <row r="1346" spans="1:14" x14ac:dyDescent="0.2">
      <c r="A1346" s="1249"/>
      <c r="B1346" s="1252"/>
      <c r="C1346" s="1255"/>
      <c r="D1346" s="1252"/>
      <c r="E1346" s="1252"/>
      <c r="F1346" s="1252"/>
      <c r="G1346" s="1252"/>
      <c r="H1346" s="1252"/>
      <c r="N1346" s="1562"/>
    </row>
    <row r="1347" spans="1:14" x14ac:dyDescent="0.2">
      <c r="A1347" s="1249"/>
      <c r="B1347" s="1252"/>
      <c r="C1347" s="1255"/>
      <c r="D1347" s="1252"/>
      <c r="E1347" s="1252"/>
      <c r="F1347" s="1252"/>
      <c r="G1347" s="1252"/>
      <c r="H1347" s="1252"/>
      <c r="N1347" s="1562"/>
    </row>
    <row r="1348" spans="1:14" x14ac:dyDescent="0.2">
      <c r="A1348" s="1249"/>
      <c r="B1348" s="1252"/>
      <c r="C1348" s="1255"/>
      <c r="D1348" s="1252"/>
      <c r="E1348" s="1252"/>
      <c r="F1348" s="1252"/>
      <c r="G1348" s="1252"/>
      <c r="H1348" s="1252"/>
      <c r="N1348" s="1562"/>
    </row>
    <row r="1349" spans="1:14" x14ac:dyDescent="0.2">
      <c r="A1349" s="1249"/>
      <c r="B1349" s="1252"/>
      <c r="C1349" s="1255"/>
      <c r="D1349" s="1252"/>
      <c r="E1349" s="1252"/>
      <c r="F1349" s="1252"/>
      <c r="G1349" s="1252"/>
      <c r="H1349" s="1252"/>
      <c r="N1349" s="1562"/>
    </row>
    <row r="1350" spans="1:14" x14ac:dyDescent="0.2">
      <c r="A1350" s="1249"/>
      <c r="B1350" s="1252"/>
      <c r="C1350" s="1255"/>
      <c r="D1350" s="1252"/>
      <c r="E1350" s="1252"/>
      <c r="F1350" s="1252"/>
      <c r="G1350" s="1252"/>
      <c r="H1350" s="1252"/>
      <c r="N1350" s="1562"/>
    </row>
    <row r="1351" spans="1:14" x14ac:dyDescent="0.2">
      <c r="A1351" s="1249"/>
      <c r="B1351" s="1252"/>
      <c r="C1351" s="1255"/>
      <c r="D1351" s="1252"/>
      <c r="E1351" s="1252"/>
      <c r="F1351" s="1252"/>
      <c r="G1351" s="1252"/>
      <c r="H1351" s="1252"/>
      <c r="N1351" s="1562"/>
    </row>
    <row r="1352" spans="1:14" x14ac:dyDescent="0.2">
      <c r="A1352" s="1249"/>
      <c r="B1352" s="1252"/>
      <c r="C1352" s="1255"/>
      <c r="D1352" s="1252"/>
      <c r="E1352" s="1252"/>
      <c r="F1352" s="1252"/>
      <c r="G1352" s="1252"/>
      <c r="H1352" s="1252"/>
      <c r="N1352" s="1562"/>
    </row>
    <row r="1353" spans="1:14" x14ac:dyDescent="0.2">
      <c r="A1353" s="1249"/>
      <c r="B1353" s="1252"/>
      <c r="C1353" s="1255"/>
      <c r="D1353" s="1252"/>
      <c r="E1353" s="1252"/>
      <c r="F1353" s="1252"/>
      <c r="G1353" s="1252"/>
      <c r="H1353" s="1252"/>
      <c r="N1353" s="1562"/>
    </row>
    <row r="1354" spans="1:14" x14ac:dyDescent="0.2">
      <c r="A1354" s="1249"/>
      <c r="B1354" s="1252"/>
      <c r="C1354" s="1255"/>
      <c r="D1354" s="1252"/>
      <c r="E1354" s="1252"/>
      <c r="F1354" s="1252"/>
      <c r="G1354" s="1252"/>
      <c r="H1354" s="1252"/>
      <c r="N1354" s="1562"/>
    </row>
    <row r="1355" spans="1:14" x14ac:dyDescent="0.2">
      <c r="A1355" s="1249"/>
      <c r="B1355" s="1252"/>
      <c r="C1355" s="1255"/>
      <c r="D1355" s="1252"/>
      <c r="E1355" s="1252"/>
      <c r="F1355" s="1252"/>
      <c r="G1355" s="1252"/>
      <c r="H1355" s="1252"/>
      <c r="N1355" s="1562"/>
    </row>
    <row r="1356" spans="1:14" x14ac:dyDescent="0.2">
      <c r="A1356" s="1249"/>
      <c r="B1356" s="1252"/>
      <c r="C1356" s="1255"/>
      <c r="D1356" s="1252"/>
      <c r="E1356" s="1252"/>
      <c r="F1356" s="1252"/>
      <c r="G1356" s="1252"/>
      <c r="H1356" s="1252"/>
      <c r="N1356" s="1562"/>
    </row>
    <row r="1357" spans="1:14" x14ac:dyDescent="0.2">
      <c r="A1357" s="1249"/>
      <c r="B1357" s="1252"/>
      <c r="C1357" s="1255"/>
      <c r="D1357" s="1252"/>
      <c r="E1357" s="1252"/>
      <c r="F1357" s="1252"/>
      <c r="G1357" s="1252"/>
      <c r="H1357" s="1252"/>
      <c r="N1357" s="1562"/>
    </row>
    <row r="1358" spans="1:14" x14ac:dyDescent="0.2">
      <c r="A1358" s="1249"/>
      <c r="B1358" s="1252"/>
      <c r="C1358" s="1255"/>
      <c r="D1358" s="1252"/>
      <c r="E1358" s="1252"/>
      <c r="F1358" s="1252"/>
      <c r="G1358" s="1252"/>
      <c r="H1358" s="1252"/>
      <c r="N1358" s="1562"/>
    </row>
    <row r="1359" spans="1:14" x14ac:dyDescent="0.2">
      <c r="A1359" s="1249"/>
      <c r="B1359" s="1252"/>
      <c r="C1359" s="1255"/>
      <c r="D1359" s="1252"/>
      <c r="E1359" s="1252"/>
      <c r="F1359" s="1252"/>
      <c r="G1359" s="1252"/>
      <c r="H1359" s="1252"/>
      <c r="N1359" s="1562"/>
    </row>
    <row r="1360" spans="1:14" x14ac:dyDescent="0.2">
      <c r="A1360" s="1249"/>
      <c r="B1360" s="1252"/>
      <c r="C1360" s="1255"/>
      <c r="D1360" s="1252"/>
      <c r="E1360" s="1252"/>
      <c r="F1360" s="1252"/>
      <c r="G1360" s="1252"/>
      <c r="H1360" s="1252"/>
      <c r="N1360" s="1562"/>
    </row>
    <row r="1361" spans="1:14" x14ac:dyDescent="0.2">
      <c r="A1361" s="1249"/>
      <c r="B1361" s="1252"/>
      <c r="C1361" s="1255"/>
      <c r="D1361" s="1252"/>
      <c r="E1361" s="1252"/>
      <c r="F1361" s="1252"/>
      <c r="G1361" s="1252"/>
      <c r="H1361" s="1252"/>
      <c r="N1361" s="1562"/>
    </row>
    <row r="1362" spans="1:14" x14ac:dyDescent="0.2">
      <c r="A1362" s="1249"/>
      <c r="B1362" s="1252"/>
      <c r="C1362" s="1255"/>
      <c r="D1362" s="1252"/>
      <c r="E1362" s="1252"/>
      <c r="F1362" s="1252"/>
      <c r="G1362" s="1252"/>
      <c r="H1362" s="1252"/>
      <c r="N1362" s="1562"/>
    </row>
    <row r="1363" spans="1:14" x14ac:dyDescent="0.2">
      <c r="A1363" s="1249"/>
      <c r="B1363" s="1252"/>
      <c r="C1363" s="1255"/>
      <c r="D1363" s="1252"/>
      <c r="E1363" s="1252"/>
      <c r="F1363" s="1252"/>
      <c r="G1363" s="1252"/>
      <c r="H1363" s="1252"/>
      <c r="N1363" s="1562"/>
    </row>
    <row r="1364" spans="1:14" x14ac:dyDescent="0.2">
      <c r="A1364" s="1249"/>
      <c r="B1364" s="1252"/>
      <c r="C1364" s="1255"/>
      <c r="D1364" s="1252"/>
      <c r="E1364" s="1252"/>
      <c r="F1364" s="1252"/>
      <c r="G1364" s="1252"/>
      <c r="H1364" s="1252"/>
      <c r="N1364" s="1562"/>
    </row>
    <row r="1365" spans="1:14" x14ac:dyDescent="0.2">
      <c r="A1365" s="1249"/>
      <c r="B1365" s="1252"/>
      <c r="C1365" s="1255"/>
      <c r="D1365" s="1252"/>
      <c r="E1365" s="1252"/>
      <c r="F1365" s="1252"/>
      <c r="G1365" s="1252"/>
      <c r="H1365" s="1252"/>
      <c r="N1365" s="1562"/>
    </row>
    <row r="1366" spans="1:14" x14ac:dyDescent="0.2">
      <c r="A1366" s="1249"/>
      <c r="B1366" s="1252"/>
      <c r="C1366" s="1255"/>
      <c r="D1366" s="1252"/>
      <c r="E1366" s="1252"/>
      <c r="F1366" s="1252"/>
      <c r="G1366" s="1252"/>
      <c r="H1366" s="1252"/>
      <c r="N1366" s="1562"/>
    </row>
    <row r="1367" spans="1:14" x14ac:dyDescent="0.2">
      <c r="A1367" s="1249"/>
      <c r="B1367" s="1252"/>
      <c r="C1367" s="1255"/>
      <c r="D1367" s="1252"/>
      <c r="E1367" s="1252"/>
      <c r="F1367" s="1252"/>
      <c r="G1367" s="1252"/>
      <c r="H1367" s="1252"/>
      <c r="N1367" s="1562"/>
    </row>
    <row r="1368" spans="1:14" x14ac:dyDescent="0.2">
      <c r="A1368" s="1249"/>
      <c r="B1368" s="1252"/>
      <c r="C1368" s="1255"/>
      <c r="D1368" s="1252"/>
      <c r="E1368" s="1252"/>
      <c r="F1368" s="1252"/>
      <c r="G1368" s="1252"/>
      <c r="H1368" s="1252"/>
      <c r="N1368" s="1562"/>
    </row>
    <row r="1369" spans="1:14" x14ac:dyDescent="0.2">
      <c r="A1369" s="1249"/>
      <c r="B1369" s="1252"/>
      <c r="C1369" s="1255"/>
      <c r="D1369" s="1252"/>
      <c r="E1369" s="1252"/>
      <c r="F1369" s="1252"/>
      <c r="G1369" s="1252"/>
      <c r="H1369" s="1252"/>
      <c r="N1369" s="1562"/>
    </row>
    <row r="1370" spans="1:14" x14ac:dyDescent="0.2">
      <c r="A1370" s="1249"/>
      <c r="B1370" s="1252"/>
      <c r="C1370" s="1255"/>
      <c r="D1370" s="1252"/>
      <c r="E1370" s="1252"/>
      <c r="F1370" s="1252"/>
      <c r="G1370" s="1252"/>
      <c r="H1370" s="1252"/>
      <c r="N1370" s="1562"/>
    </row>
    <row r="1371" spans="1:14" x14ac:dyDescent="0.2">
      <c r="A1371" s="1249"/>
      <c r="B1371" s="1252"/>
      <c r="C1371" s="1255"/>
      <c r="D1371" s="1252"/>
      <c r="E1371" s="1252"/>
      <c r="F1371" s="1252"/>
      <c r="G1371" s="1252"/>
      <c r="H1371" s="1252"/>
      <c r="N1371" s="1562"/>
    </row>
    <row r="1372" spans="1:14" x14ac:dyDescent="0.2">
      <c r="A1372" s="1249"/>
      <c r="B1372" s="1252"/>
      <c r="C1372" s="1255"/>
      <c r="D1372" s="1252"/>
      <c r="E1372" s="1252"/>
      <c r="F1372" s="1252"/>
      <c r="G1372" s="1252"/>
      <c r="H1372" s="1252"/>
      <c r="N1372" s="1562"/>
    </row>
    <row r="1373" spans="1:14" x14ac:dyDescent="0.2">
      <c r="A1373" s="1249"/>
      <c r="B1373" s="1252"/>
      <c r="C1373" s="1255"/>
      <c r="D1373" s="1252"/>
      <c r="E1373" s="1252"/>
      <c r="F1373" s="1252"/>
      <c r="G1373" s="1252"/>
      <c r="H1373" s="1252"/>
      <c r="N1373" s="1562"/>
    </row>
    <row r="1374" spans="1:14" x14ac:dyDescent="0.2">
      <c r="A1374" s="1249"/>
      <c r="B1374" s="1252"/>
      <c r="C1374" s="1255"/>
      <c r="D1374" s="1252"/>
      <c r="E1374" s="1252"/>
      <c r="F1374" s="1252"/>
      <c r="G1374" s="1252"/>
      <c r="H1374" s="1252"/>
      <c r="N1374" s="1562"/>
    </row>
    <row r="1375" spans="1:14" x14ac:dyDescent="0.2">
      <c r="A1375" s="1249"/>
      <c r="B1375" s="1252"/>
      <c r="C1375" s="1255"/>
      <c r="D1375" s="1252"/>
      <c r="E1375" s="1252"/>
      <c r="F1375" s="1252"/>
      <c r="G1375" s="1252"/>
      <c r="H1375" s="1252"/>
      <c r="N1375" s="1562"/>
    </row>
    <row r="1376" spans="1:14" x14ac:dyDescent="0.2">
      <c r="A1376" s="1249"/>
      <c r="B1376" s="1252"/>
      <c r="C1376" s="1255"/>
      <c r="D1376" s="1252"/>
      <c r="E1376" s="1252"/>
      <c r="F1376" s="1252"/>
      <c r="G1376" s="1252"/>
      <c r="H1376" s="1252"/>
      <c r="N1376" s="1562"/>
    </row>
    <row r="1377" spans="1:14" x14ac:dyDescent="0.2">
      <c r="A1377" s="1249"/>
      <c r="B1377" s="1252"/>
      <c r="C1377" s="1255"/>
      <c r="D1377" s="1252"/>
      <c r="E1377" s="1252"/>
      <c r="F1377" s="1252"/>
      <c r="G1377" s="1252"/>
      <c r="H1377" s="1252"/>
      <c r="N1377" s="1562"/>
    </row>
    <row r="1378" spans="1:14" x14ac:dyDescent="0.2">
      <c r="A1378" s="1249"/>
      <c r="B1378" s="1252"/>
      <c r="C1378" s="1255"/>
      <c r="D1378" s="1252"/>
      <c r="E1378" s="1252"/>
      <c r="F1378" s="1252"/>
      <c r="G1378" s="1252"/>
      <c r="H1378" s="1252"/>
      <c r="N1378" s="1562"/>
    </row>
    <row r="1379" spans="1:14" x14ac:dyDescent="0.2">
      <c r="A1379" s="1249"/>
      <c r="B1379" s="1252"/>
      <c r="C1379" s="1255"/>
      <c r="D1379" s="1252"/>
      <c r="E1379" s="1252"/>
      <c r="F1379" s="1252"/>
      <c r="G1379" s="1252"/>
      <c r="H1379" s="1252"/>
      <c r="N1379" s="1562"/>
    </row>
    <row r="1380" spans="1:14" x14ac:dyDescent="0.2">
      <c r="A1380" s="1249"/>
      <c r="B1380" s="1252"/>
      <c r="C1380" s="1255"/>
      <c r="D1380" s="1252"/>
      <c r="E1380" s="1252"/>
      <c r="F1380" s="1252"/>
      <c r="G1380" s="1252"/>
      <c r="H1380" s="1252"/>
      <c r="N1380" s="1562"/>
    </row>
    <row r="1381" spans="1:14" x14ac:dyDescent="0.2">
      <c r="A1381" s="1249"/>
      <c r="B1381" s="1252"/>
      <c r="C1381" s="1255"/>
      <c r="D1381" s="1252"/>
      <c r="E1381" s="1252"/>
      <c r="F1381" s="1252"/>
      <c r="G1381" s="1252"/>
      <c r="H1381" s="1252"/>
      <c r="N1381" s="1562"/>
    </row>
    <row r="1382" spans="1:14" x14ac:dyDescent="0.2">
      <c r="A1382" s="1249"/>
      <c r="B1382" s="1252"/>
      <c r="C1382" s="1255"/>
      <c r="D1382" s="1252"/>
      <c r="E1382" s="1252"/>
      <c r="F1382" s="1252"/>
      <c r="G1382" s="1252"/>
      <c r="H1382" s="1252"/>
      <c r="N1382" s="1562"/>
    </row>
    <row r="1383" spans="1:14" x14ac:dyDescent="0.2">
      <c r="A1383" s="1249"/>
      <c r="B1383" s="1252"/>
      <c r="C1383" s="1255"/>
      <c r="D1383" s="1252"/>
      <c r="E1383" s="1252"/>
      <c r="F1383" s="1252"/>
      <c r="G1383" s="1252"/>
      <c r="H1383" s="1252"/>
      <c r="N1383" s="1562"/>
    </row>
    <row r="1384" spans="1:14" x14ac:dyDescent="0.2">
      <c r="A1384" s="1249"/>
      <c r="B1384" s="1252"/>
      <c r="C1384" s="1255"/>
      <c r="D1384" s="1252"/>
      <c r="E1384" s="1252"/>
      <c r="F1384" s="1252"/>
      <c r="G1384" s="1252"/>
      <c r="H1384" s="1252"/>
      <c r="N1384" s="1562"/>
    </row>
    <row r="1385" spans="1:14" x14ac:dyDescent="0.2">
      <c r="A1385" s="1249"/>
      <c r="B1385" s="1252"/>
      <c r="C1385" s="1255"/>
      <c r="D1385" s="1252"/>
      <c r="E1385" s="1252"/>
      <c r="F1385" s="1252"/>
      <c r="G1385" s="1252"/>
      <c r="H1385" s="1252"/>
      <c r="N1385" s="1562"/>
    </row>
    <row r="1386" spans="1:14" x14ac:dyDescent="0.2">
      <c r="A1386" s="1249"/>
      <c r="B1386" s="1252"/>
      <c r="C1386" s="1255"/>
      <c r="D1386" s="1252"/>
      <c r="E1386" s="1252"/>
      <c r="F1386" s="1252"/>
      <c r="G1386" s="1252"/>
      <c r="H1386" s="1252"/>
      <c r="N1386" s="1562"/>
    </row>
    <row r="1387" spans="1:14" x14ac:dyDescent="0.2">
      <c r="A1387" s="1249"/>
      <c r="B1387" s="1252"/>
      <c r="C1387" s="1255"/>
      <c r="D1387" s="1252"/>
      <c r="E1387" s="1252"/>
      <c r="F1387" s="1252"/>
      <c r="G1387" s="1252"/>
      <c r="H1387" s="1252"/>
      <c r="N1387" s="1562"/>
    </row>
    <row r="1388" spans="1:14" x14ac:dyDescent="0.2">
      <c r="A1388" s="1249"/>
      <c r="B1388" s="1252"/>
      <c r="C1388" s="1255"/>
      <c r="D1388" s="1252"/>
      <c r="E1388" s="1252"/>
      <c r="F1388" s="1252"/>
      <c r="G1388" s="1252"/>
      <c r="H1388" s="1252"/>
      <c r="N1388" s="1562"/>
    </row>
    <row r="1389" spans="1:14" x14ac:dyDescent="0.2">
      <c r="A1389" s="1249"/>
      <c r="B1389" s="1252"/>
      <c r="C1389" s="1255"/>
      <c r="D1389" s="1252"/>
      <c r="E1389" s="1252"/>
      <c r="F1389" s="1252"/>
      <c r="G1389" s="1252"/>
      <c r="H1389" s="1252"/>
      <c r="N1389" s="1562"/>
    </row>
    <row r="1390" spans="1:14" x14ac:dyDescent="0.2">
      <c r="A1390" s="1249"/>
      <c r="B1390" s="1252"/>
      <c r="C1390" s="1255"/>
      <c r="D1390" s="1252"/>
      <c r="E1390" s="1252"/>
      <c r="F1390" s="1252"/>
      <c r="G1390" s="1252"/>
      <c r="H1390" s="1252"/>
      <c r="N1390" s="1562"/>
    </row>
    <row r="1391" spans="1:14" x14ac:dyDescent="0.2">
      <c r="A1391" s="1249"/>
      <c r="B1391" s="1252"/>
      <c r="C1391" s="1255"/>
      <c r="D1391" s="1252"/>
      <c r="E1391" s="1252"/>
      <c r="F1391" s="1252"/>
      <c r="G1391" s="1252"/>
      <c r="H1391" s="1252"/>
      <c r="N1391" s="1562"/>
    </row>
    <row r="1392" spans="1:14" x14ac:dyDescent="0.2">
      <c r="A1392" s="1249"/>
      <c r="B1392" s="1252"/>
      <c r="C1392" s="1255"/>
      <c r="D1392" s="1252"/>
      <c r="E1392" s="1252"/>
      <c r="F1392" s="1252"/>
      <c r="G1392" s="1252"/>
      <c r="H1392" s="1252"/>
      <c r="N1392" s="1562"/>
    </row>
    <row r="1393" spans="1:14" x14ac:dyDescent="0.2">
      <c r="A1393" s="1249"/>
      <c r="B1393" s="1252"/>
      <c r="C1393" s="1255"/>
      <c r="D1393" s="1252"/>
      <c r="E1393" s="1252"/>
      <c r="F1393" s="1252"/>
      <c r="G1393" s="1252"/>
      <c r="H1393" s="1252"/>
      <c r="N1393" s="1562"/>
    </row>
    <row r="1394" spans="1:14" x14ac:dyDescent="0.2">
      <c r="A1394" s="1249"/>
      <c r="B1394" s="1252"/>
      <c r="C1394" s="1255"/>
      <c r="D1394" s="1252"/>
      <c r="E1394" s="1252"/>
      <c r="F1394" s="1252"/>
      <c r="G1394" s="1252"/>
      <c r="H1394" s="1252"/>
      <c r="N1394" s="1562"/>
    </row>
    <row r="1395" spans="1:14" x14ac:dyDescent="0.2">
      <c r="A1395" s="1249"/>
      <c r="B1395" s="1252"/>
      <c r="C1395" s="1255"/>
      <c r="D1395" s="1252"/>
      <c r="E1395" s="1252"/>
      <c r="F1395" s="1252"/>
      <c r="G1395" s="1252"/>
      <c r="H1395" s="1252"/>
      <c r="N1395" s="1562"/>
    </row>
    <row r="1396" spans="1:14" x14ac:dyDescent="0.2">
      <c r="A1396" s="1249"/>
      <c r="B1396" s="1252"/>
      <c r="C1396" s="1255"/>
      <c r="D1396" s="1252"/>
      <c r="E1396" s="1252"/>
      <c r="F1396" s="1252"/>
      <c r="G1396" s="1252"/>
      <c r="H1396" s="1252"/>
      <c r="N1396" s="1562"/>
    </row>
    <row r="1397" spans="1:14" x14ac:dyDescent="0.2">
      <c r="A1397" s="1249"/>
      <c r="B1397" s="1252"/>
      <c r="C1397" s="1255"/>
      <c r="D1397" s="1252"/>
      <c r="E1397" s="1252"/>
      <c r="F1397" s="1252"/>
      <c r="G1397" s="1252"/>
      <c r="H1397" s="1252"/>
      <c r="N1397" s="1562"/>
    </row>
    <row r="1398" spans="1:14" x14ac:dyDescent="0.2">
      <c r="A1398" s="1249"/>
      <c r="B1398" s="1252"/>
      <c r="C1398" s="1255"/>
      <c r="D1398" s="1252"/>
      <c r="E1398" s="1252"/>
      <c r="F1398" s="1252"/>
      <c r="G1398" s="1252"/>
      <c r="H1398" s="1252"/>
      <c r="N1398" s="1562"/>
    </row>
    <row r="1399" spans="1:14" x14ac:dyDescent="0.2">
      <c r="A1399" s="1249"/>
      <c r="B1399" s="1252"/>
      <c r="C1399" s="1255"/>
      <c r="D1399" s="1252"/>
      <c r="E1399" s="1252"/>
      <c r="F1399" s="1252"/>
      <c r="G1399" s="1252"/>
      <c r="H1399" s="1252"/>
      <c r="N1399" s="1562"/>
    </row>
    <row r="1400" spans="1:14" x14ac:dyDescent="0.2">
      <c r="A1400" s="1249"/>
      <c r="B1400" s="1252"/>
      <c r="C1400" s="1255"/>
      <c r="D1400" s="1252"/>
      <c r="E1400" s="1252"/>
      <c r="F1400" s="1252"/>
      <c r="G1400" s="1252"/>
      <c r="H1400" s="1252"/>
      <c r="N1400" s="1562"/>
    </row>
    <row r="1401" spans="1:14" x14ac:dyDescent="0.2">
      <c r="A1401" s="1249"/>
      <c r="B1401" s="1252"/>
      <c r="C1401" s="1255"/>
      <c r="D1401" s="1252"/>
      <c r="E1401" s="1252"/>
      <c r="F1401" s="1252"/>
      <c r="G1401" s="1252"/>
      <c r="H1401" s="1252"/>
      <c r="N1401" s="1562"/>
    </row>
    <row r="1402" spans="1:14" x14ac:dyDescent="0.2">
      <c r="A1402" s="1249"/>
      <c r="B1402" s="1252"/>
      <c r="C1402" s="1255"/>
      <c r="D1402" s="1252"/>
      <c r="E1402" s="1252"/>
      <c r="F1402" s="1252"/>
      <c r="G1402" s="1252"/>
      <c r="H1402" s="1252"/>
      <c r="N1402" s="1562"/>
    </row>
    <row r="1403" spans="1:14" x14ac:dyDescent="0.2">
      <c r="A1403" s="1249"/>
      <c r="B1403" s="1252"/>
      <c r="C1403" s="1255"/>
      <c r="D1403" s="1252"/>
      <c r="E1403" s="1252"/>
      <c r="F1403" s="1252"/>
      <c r="G1403" s="1252"/>
      <c r="H1403" s="1252"/>
      <c r="N1403" s="1562"/>
    </row>
    <row r="1404" spans="1:14" x14ac:dyDescent="0.2">
      <c r="A1404" s="1249"/>
      <c r="B1404" s="1252"/>
      <c r="C1404" s="1255"/>
      <c r="D1404" s="1252"/>
      <c r="E1404" s="1252"/>
      <c r="F1404" s="1252"/>
      <c r="G1404" s="1252"/>
      <c r="H1404" s="1252"/>
      <c r="N1404" s="1562"/>
    </row>
    <row r="1405" spans="1:14" x14ac:dyDescent="0.2">
      <c r="A1405" s="1249"/>
      <c r="B1405" s="1252"/>
      <c r="C1405" s="1255"/>
      <c r="D1405" s="1252"/>
      <c r="E1405" s="1252"/>
      <c r="F1405" s="1252"/>
      <c r="G1405" s="1252"/>
      <c r="H1405" s="1252"/>
      <c r="N1405" s="1562"/>
    </row>
    <row r="1406" spans="1:14" x14ac:dyDescent="0.2">
      <c r="A1406" s="1249"/>
      <c r="B1406" s="1252"/>
      <c r="C1406" s="1255"/>
      <c r="D1406" s="1252"/>
      <c r="E1406" s="1252"/>
      <c r="F1406" s="1252"/>
      <c r="G1406" s="1252"/>
      <c r="H1406" s="1252"/>
      <c r="N1406" s="1562"/>
    </row>
    <row r="1407" spans="1:14" x14ac:dyDescent="0.2">
      <c r="A1407" s="1249"/>
      <c r="B1407" s="1252"/>
      <c r="C1407" s="1255"/>
      <c r="D1407" s="1252"/>
      <c r="E1407" s="1252"/>
      <c r="F1407" s="1252"/>
      <c r="G1407" s="1252"/>
      <c r="H1407" s="1252"/>
      <c r="N1407" s="1562"/>
    </row>
    <row r="1408" spans="1:14" x14ac:dyDescent="0.2">
      <c r="A1408" s="1249"/>
      <c r="B1408" s="1252"/>
      <c r="C1408" s="1255"/>
      <c r="D1408" s="1252"/>
      <c r="E1408" s="1252"/>
      <c r="F1408" s="1252"/>
      <c r="G1408" s="1252"/>
      <c r="H1408" s="1252"/>
      <c r="N1408" s="1562"/>
    </row>
    <row r="1409" spans="1:14" x14ac:dyDescent="0.2">
      <c r="A1409" s="1249"/>
      <c r="B1409" s="1252"/>
      <c r="C1409" s="1255"/>
      <c r="D1409" s="1252"/>
      <c r="E1409" s="1252"/>
      <c r="F1409" s="1252"/>
      <c r="G1409" s="1252"/>
      <c r="H1409" s="1252"/>
      <c r="N1409" s="1562"/>
    </row>
    <row r="1410" spans="1:14" x14ac:dyDescent="0.2">
      <c r="A1410" s="1249"/>
      <c r="B1410" s="1252"/>
      <c r="C1410" s="1255"/>
      <c r="D1410" s="1252"/>
      <c r="E1410" s="1252"/>
      <c r="F1410" s="1252"/>
      <c r="G1410" s="1252"/>
      <c r="H1410" s="1252"/>
      <c r="N1410" s="1562"/>
    </row>
    <row r="1411" spans="1:14" x14ac:dyDescent="0.2">
      <c r="A1411" s="1249"/>
      <c r="B1411" s="1252"/>
      <c r="C1411" s="1255"/>
      <c r="D1411" s="1252"/>
      <c r="E1411" s="1252"/>
      <c r="F1411" s="1252"/>
      <c r="G1411" s="1252"/>
      <c r="H1411" s="1252"/>
      <c r="N1411" s="1562"/>
    </row>
    <row r="1412" spans="1:14" x14ac:dyDescent="0.2">
      <c r="A1412" s="1249"/>
      <c r="B1412" s="1252"/>
      <c r="C1412" s="1255"/>
      <c r="D1412" s="1252"/>
      <c r="E1412" s="1252"/>
      <c r="F1412" s="1252"/>
      <c r="G1412" s="1252"/>
      <c r="H1412" s="1252"/>
      <c r="N1412" s="1562"/>
    </row>
    <row r="1413" spans="1:14" x14ac:dyDescent="0.2">
      <c r="A1413" s="1249"/>
      <c r="B1413" s="1252"/>
      <c r="C1413" s="1255"/>
      <c r="D1413" s="1252"/>
      <c r="E1413" s="1252"/>
      <c r="F1413" s="1252"/>
      <c r="G1413" s="1252"/>
      <c r="H1413" s="1252"/>
      <c r="N1413" s="1562"/>
    </row>
    <row r="1414" spans="1:14" x14ac:dyDescent="0.2">
      <c r="A1414" s="1249"/>
      <c r="B1414" s="1252"/>
      <c r="C1414" s="1255"/>
      <c r="D1414" s="1252"/>
      <c r="E1414" s="1252"/>
      <c r="F1414" s="1252"/>
      <c r="G1414" s="1252"/>
      <c r="H1414" s="1252"/>
      <c r="N1414" s="1562"/>
    </row>
    <row r="1415" spans="1:14" x14ac:dyDescent="0.2">
      <c r="A1415" s="1249"/>
      <c r="B1415" s="1252"/>
      <c r="C1415" s="1255"/>
      <c r="D1415" s="1252"/>
      <c r="E1415" s="1252"/>
      <c r="F1415" s="1252"/>
      <c r="G1415" s="1252"/>
      <c r="H1415" s="1252"/>
      <c r="N1415" s="1562"/>
    </row>
    <row r="1416" spans="1:14" x14ac:dyDescent="0.2">
      <c r="A1416" s="1249"/>
      <c r="B1416" s="1252"/>
      <c r="C1416" s="1255"/>
      <c r="D1416" s="1252"/>
      <c r="E1416" s="1252"/>
      <c r="F1416" s="1252"/>
      <c r="G1416" s="1252"/>
      <c r="H1416" s="1252"/>
      <c r="N1416" s="1562"/>
    </row>
    <row r="1417" spans="1:14" x14ac:dyDescent="0.2">
      <c r="A1417" s="1249"/>
      <c r="B1417" s="1252"/>
      <c r="C1417" s="1255"/>
      <c r="D1417" s="1252"/>
      <c r="E1417" s="1252"/>
      <c r="F1417" s="1252"/>
      <c r="G1417" s="1252"/>
      <c r="H1417" s="1252"/>
      <c r="N1417" s="1562"/>
    </row>
    <row r="1418" spans="1:14" x14ac:dyDescent="0.2">
      <c r="A1418" s="1249"/>
      <c r="B1418" s="1252"/>
      <c r="C1418" s="1255"/>
      <c r="D1418" s="1252"/>
      <c r="E1418" s="1252"/>
      <c r="F1418" s="1252"/>
      <c r="G1418" s="1252"/>
      <c r="H1418" s="1252"/>
      <c r="N1418" s="1562"/>
    </row>
    <row r="1419" spans="1:14" x14ac:dyDescent="0.2">
      <c r="A1419" s="1249"/>
      <c r="B1419" s="1252"/>
      <c r="C1419" s="1255"/>
      <c r="D1419" s="1252"/>
      <c r="E1419" s="1252"/>
      <c r="F1419" s="1252"/>
      <c r="G1419" s="1252"/>
      <c r="H1419" s="1252"/>
      <c r="N1419" s="1562"/>
    </row>
    <row r="1420" spans="1:14" x14ac:dyDescent="0.2">
      <c r="A1420" s="1249"/>
      <c r="B1420" s="1252"/>
      <c r="C1420" s="1255"/>
      <c r="D1420" s="1252"/>
      <c r="E1420" s="1252"/>
      <c r="F1420" s="1252"/>
      <c r="G1420" s="1252"/>
      <c r="H1420" s="1252"/>
      <c r="N1420" s="1562"/>
    </row>
    <row r="1421" spans="1:14" x14ac:dyDescent="0.2">
      <c r="A1421" s="1249"/>
      <c r="B1421" s="1252"/>
      <c r="C1421" s="1255"/>
      <c r="D1421" s="1252"/>
      <c r="E1421" s="1252"/>
      <c r="F1421" s="1252"/>
      <c r="G1421" s="1252"/>
      <c r="H1421" s="1252"/>
      <c r="N1421" s="1562"/>
    </row>
    <row r="1422" spans="1:14" x14ac:dyDescent="0.2">
      <c r="A1422" s="1249"/>
      <c r="B1422" s="1252"/>
      <c r="C1422" s="1255"/>
      <c r="D1422" s="1252"/>
      <c r="E1422" s="1252"/>
      <c r="F1422" s="1252"/>
      <c r="G1422" s="1252"/>
      <c r="H1422" s="1252"/>
      <c r="N1422" s="1562"/>
    </row>
    <row r="1423" spans="1:14" x14ac:dyDescent="0.2">
      <c r="A1423" s="1249"/>
      <c r="B1423" s="1252"/>
      <c r="C1423" s="1255"/>
      <c r="D1423" s="1252"/>
      <c r="E1423" s="1252"/>
      <c r="F1423" s="1252"/>
      <c r="G1423" s="1252"/>
      <c r="H1423" s="1252"/>
      <c r="N1423" s="1562"/>
    </row>
    <row r="1424" spans="1:14" x14ac:dyDescent="0.2">
      <c r="A1424" s="1249"/>
      <c r="B1424" s="1252"/>
      <c r="C1424" s="1255"/>
      <c r="D1424" s="1252"/>
      <c r="E1424" s="1252"/>
      <c r="F1424" s="1252"/>
      <c r="G1424" s="1252"/>
      <c r="H1424" s="1252"/>
      <c r="N1424" s="1562"/>
    </row>
    <row r="1425" spans="1:14" x14ac:dyDescent="0.2">
      <c r="A1425" s="1249"/>
      <c r="B1425" s="1252"/>
      <c r="C1425" s="1255"/>
      <c r="D1425" s="1252"/>
      <c r="E1425" s="1252"/>
      <c r="F1425" s="1252"/>
      <c r="G1425" s="1252"/>
      <c r="H1425" s="1252"/>
      <c r="N1425" s="1562"/>
    </row>
    <row r="1426" spans="1:14" x14ac:dyDescent="0.2">
      <c r="A1426" s="1249"/>
      <c r="B1426" s="1252"/>
      <c r="C1426" s="1255"/>
      <c r="D1426" s="1252"/>
      <c r="E1426" s="1252"/>
      <c r="F1426" s="1252"/>
      <c r="G1426" s="1252"/>
      <c r="H1426" s="1252"/>
      <c r="N1426" s="1562"/>
    </row>
    <row r="1427" spans="1:14" x14ac:dyDescent="0.2">
      <c r="A1427" s="1249"/>
      <c r="B1427" s="1252"/>
      <c r="C1427" s="1255"/>
      <c r="D1427" s="1252"/>
      <c r="E1427" s="1252"/>
      <c r="F1427" s="1252"/>
      <c r="G1427" s="1252"/>
      <c r="H1427" s="1252"/>
      <c r="N1427" s="1562"/>
    </row>
    <row r="1428" spans="1:14" x14ac:dyDescent="0.2">
      <c r="A1428" s="1249"/>
      <c r="B1428" s="1252"/>
      <c r="C1428" s="1255"/>
      <c r="D1428" s="1252"/>
      <c r="E1428" s="1252"/>
      <c r="F1428" s="1252"/>
      <c r="G1428" s="1252"/>
      <c r="H1428" s="1252"/>
      <c r="N1428" s="1562"/>
    </row>
    <row r="1429" spans="1:14" x14ac:dyDescent="0.2">
      <c r="A1429" s="1249"/>
      <c r="B1429" s="1252"/>
      <c r="C1429" s="1255"/>
      <c r="D1429" s="1252"/>
      <c r="E1429" s="1252"/>
      <c r="F1429" s="1252"/>
      <c r="G1429" s="1252"/>
      <c r="H1429" s="1252"/>
      <c r="N1429" s="1562"/>
    </row>
    <row r="1430" spans="1:14" x14ac:dyDescent="0.2">
      <c r="A1430" s="1249"/>
      <c r="B1430" s="1252"/>
      <c r="C1430" s="1255"/>
      <c r="D1430" s="1252"/>
      <c r="E1430" s="1252"/>
      <c r="F1430" s="1252"/>
      <c r="G1430" s="1252"/>
      <c r="H1430" s="1252"/>
      <c r="N1430" s="1562"/>
    </row>
    <row r="1431" spans="1:14" x14ac:dyDescent="0.2">
      <c r="A1431" s="1249"/>
      <c r="B1431" s="1252"/>
      <c r="C1431" s="1255"/>
      <c r="D1431" s="1252"/>
      <c r="E1431" s="1252"/>
      <c r="F1431" s="1252"/>
      <c r="G1431" s="1252"/>
      <c r="H1431" s="1252"/>
      <c r="N1431" s="1562"/>
    </row>
    <row r="1432" spans="1:14" x14ac:dyDescent="0.2">
      <c r="A1432" s="1249"/>
      <c r="B1432" s="1252"/>
      <c r="C1432" s="1255"/>
      <c r="D1432" s="1252"/>
      <c r="E1432" s="1252"/>
      <c r="F1432" s="1252"/>
      <c r="G1432" s="1252"/>
      <c r="H1432" s="1252"/>
      <c r="N1432" s="1562"/>
    </row>
    <row r="1433" spans="1:14" x14ac:dyDescent="0.2">
      <c r="A1433" s="1249"/>
      <c r="B1433" s="1252"/>
      <c r="C1433" s="1255"/>
      <c r="D1433" s="1252"/>
      <c r="E1433" s="1252"/>
      <c r="F1433" s="1252"/>
      <c r="G1433" s="1252"/>
      <c r="H1433" s="1252"/>
      <c r="N1433" s="1562"/>
    </row>
    <row r="1434" spans="1:14" x14ac:dyDescent="0.2">
      <c r="A1434" s="1249"/>
      <c r="B1434" s="1252"/>
      <c r="C1434" s="1255"/>
      <c r="D1434" s="1252"/>
      <c r="E1434" s="1252"/>
      <c r="F1434" s="1252"/>
      <c r="G1434" s="1252"/>
      <c r="H1434" s="1252"/>
      <c r="N1434" s="1562"/>
    </row>
    <row r="1435" spans="1:14" x14ac:dyDescent="0.2">
      <c r="A1435" s="1249"/>
      <c r="B1435" s="1252"/>
      <c r="C1435" s="1255"/>
      <c r="D1435" s="1252"/>
      <c r="E1435" s="1252"/>
      <c r="F1435" s="1252"/>
      <c r="G1435" s="1252"/>
      <c r="H1435" s="1252"/>
      <c r="N1435" s="1562"/>
    </row>
    <row r="1436" spans="1:14" x14ac:dyDescent="0.2">
      <c r="A1436" s="1249"/>
      <c r="B1436" s="1252"/>
      <c r="C1436" s="1255"/>
      <c r="D1436" s="1252"/>
      <c r="E1436" s="1252"/>
      <c r="F1436" s="1252"/>
      <c r="G1436" s="1252"/>
      <c r="H1436" s="1252"/>
      <c r="N1436" s="1562"/>
    </row>
    <row r="1437" spans="1:14" x14ac:dyDescent="0.2">
      <c r="A1437" s="1249"/>
      <c r="B1437" s="1252"/>
      <c r="C1437" s="1255"/>
      <c r="D1437" s="1252"/>
      <c r="E1437" s="1252"/>
      <c r="F1437" s="1252"/>
      <c r="G1437" s="1252"/>
      <c r="H1437" s="1252"/>
      <c r="N1437" s="1562"/>
    </row>
    <row r="1438" spans="1:14" x14ac:dyDescent="0.2">
      <c r="A1438" s="1249"/>
      <c r="B1438" s="1252"/>
      <c r="C1438" s="1255"/>
      <c r="D1438" s="1252"/>
      <c r="E1438" s="1252"/>
      <c r="F1438" s="1252"/>
      <c r="G1438" s="1252"/>
      <c r="H1438" s="1252"/>
      <c r="N1438" s="1562"/>
    </row>
    <row r="1439" spans="1:14" x14ac:dyDescent="0.2">
      <c r="A1439" s="1249"/>
      <c r="B1439" s="1252"/>
      <c r="C1439" s="1255"/>
      <c r="D1439" s="1252"/>
      <c r="E1439" s="1252"/>
      <c r="F1439" s="1252"/>
      <c r="G1439" s="1252"/>
      <c r="H1439" s="1252"/>
      <c r="N1439" s="1562"/>
    </row>
    <row r="1440" spans="1:14" x14ac:dyDescent="0.2">
      <c r="A1440" s="1249"/>
      <c r="B1440" s="1252"/>
      <c r="C1440" s="1255"/>
      <c r="D1440" s="1252"/>
      <c r="E1440" s="1252"/>
      <c r="F1440" s="1252"/>
      <c r="G1440" s="1252"/>
      <c r="H1440" s="1252"/>
      <c r="N1440" s="1562"/>
    </row>
    <row r="1441" spans="1:14" x14ac:dyDescent="0.2">
      <c r="A1441" s="1249"/>
      <c r="B1441" s="1252"/>
      <c r="C1441" s="1255"/>
      <c r="D1441" s="1252"/>
      <c r="E1441" s="1252"/>
      <c r="F1441" s="1252"/>
      <c r="G1441" s="1252"/>
      <c r="H1441" s="1252"/>
      <c r="N1441" s="1562"/>
    </row>
    <row r="1442" spans="1:14" x14ac:dyDescent="0.2">
      <c r="A1442" s="1249"/>
      <c r="B1442" s="1252"/>
      <c r="C1442" s="1255"/>
      <c r="D1442" s="1252"/>
      <c r="E1442" s="1252"/>
      <c r="F1442" s="1252"/>
      <c r="G1442" s="1252"/>
      <c r="H1442" s="1252"/>
      <c r="N1442" s="1562"/>
    </row>
    <row r="1443" spans="1:14" x14ac:dyDescent="0.2">
      <c r="A1443" s="1249"/>
      <c r="B1443" s="1252"/>
      <c r="C1443" s="1255"/>
      <c r="D1443" s="1252"/>
      <c r="E1443" s="1252"/>
      <c r="F1443" s="1252"/>
      <c r="G1443" s="1252"/>
      <c r="H1443" s="1252"/>
      <c r="N1443" s="1562"/>
    </row>
    <row r="1444" spans="1:14" x14ac:dyDescent="0.2">
      <c r="A1444" s="1249"/>
      <c r="B1444" s="1252"/>
      <c r="C1444" s="1255"/>
      <c r="D1444" s="1252"/>
      <c r="E1444" s="1252"/>
      <c r="F1444" s="1252"/>
      <c r="G1444" s="1252"/>
      <c r="H1444" s="1252"/>
      <c r="N1444" s="1562"/>
    </row>
    <row r="1445" spans="1:14" x14ac:dyDescent="0.2">
      <c r="A1445" s="1249"/>
      <c r="B1445" s="1252"/>
      <c r="C1445" s="1255"/>
      <c r="D1445" s="1252"/>
      <c r="E1445" s="1252"/>
      <c r="F1445" s="1252"/>
      <c r="G1445" s="1252"/>
      <c r="H1445" s="1252"/>
      <c r="N1445" s="1562"/>
    </row>
    <row r="1446" spans="1:14" x14ac:dyDescent="0.2">
      <c r="A1446" s="1249"/>
      <c r="B1446" s="1252"/>
      <c r="C1446" s="1255"/>
      <c r="D1446" s="1252"/>
      <c r="E1446" s="1252"/>
      <c r="F1446" s="1252"/>
      <c r="G1446" s="1252"/>
      <c r="H1446" s="1252"/>
      <c r="N1446" s="1562"/>
    </row>
    <row r="1447" spans="1:14" x14ac:dyDescent="0.2">
      <c r="A1447" s="1249"/>
      <c r="B1447" s="1252"/>
      <c r="C1447" s="1255"/>
      <c r="D1447" s="1252"/>
      <c r="E1447" s="1252"/>
      <c r="F1447" s="1252"/>
      <c r="G1447" s="1252"/>
      <c r="H1447" s="1252"/>
      <c r="N1447" s="1562"/>
    </row>
    <row r="1448" spans="1:14" x14ac:dyDescent="0.2">
      <c r="A1448" s="1249"/>
      <c r="B1448" s="1252"/>
      <c r="C1448" s="1255"/>
      <c r="D1448" s="1252"/>
      <c r="E1448" s="1252"/>
      <c r="F1448" s="1252"/>
      <c r="G1448" s="1252"/>
      <c r="H1448" s="1252"/>
      <c r="N1448" s="1562"/>
    </row>
    <row r="1449" spans="1:14" x14ac:dyDescent="0.2">
      <c r="A1449" s="1249"/>
      <c r="B1449" s="1252"/>
      <c r="C1449" s="1255"/>
      <c r="D1449" s="1252"/>
      <c r="E1449" s="1252"/>
      <c r="F1449" s="1252"/>
      <c r="G1449" s="1252"/>
      <c r="H1449" s="1252"/>
      <c r="N1449" s="1562"/>
    </row>
    <row r="1450" spans="1:14" x14ac:dyDescent="0.2">
      <c r="A1450" s="1249"/>
      <c r="B1450" s="1252"/>
      <c r="C1450" s="1255"/>
      <c r="D1450" s="1252"/>
      <c r="E1450" s="1252"/>
      <c r="F1450" s="1252"/>
      <c r="G1450" s="1252"/>
      <c r="H1450" s="1252"/>
      <c r="N1450" s="1562"/>
    </row>
    <row r="1451" spans="1:14" x14ac:dyDescent="0.2">
      <c r="A1451" s="1249"/>
      <c r="B1451" s="1252"/>
      <c r="C1451" s="1255"/>
      <c r="D1451" s="1252"/>
      <c r="E1451" s="1252"/>
      <c r="F1451" s="1252"/>
      <c r="G1451" s="1252"/>
      <c r="H1451" s="1252"/>
      <c r="N1451" s="1562"/>
    </row>
    <row r="1452" spans="1:14" x14ac:dyDescent="0.2">
      <c r="A1452" s="1249"/>
      <c r="B1452" s="1252"/>
      <c r="C1452" s="1255"/>
      <c r="D1452" s="1252"/>
      <c r="E1452" s="1252"/>
      <c r="F1452" s="1252"/>
      <c r="G1452" s="1252"/>
      <c r="H1452" s="1252"/>
      <c r="N1452" s="1562"/>
    </row>
    <row r="1453" spans="1:14" x14ac:dyDescent="0.2">
      <c r="A1453" s="1249"/>
      <c r="B1453" s="1252"/>
      <c r="C1453" s="1255"/>
      <c r="D1453" s="1252"/>
      <c r="E1453" s="1252"/>
      <c r="F1453" s="1252"/>
      <c r="G1453" s="1252"/>
      <c r="H1453" s="1252"/>
      <c r="N1453" s="1562"/>
    </row>
    <row r="1454" spans="1:14" x14ac:dyDescent="0.2">
      <c r="A1454" s="1249"/>
      <c r="B1454" s="1252"/>
      <c r="C1454" s="1255"/>
      <c r="D1454" s="1252"/>
      <c r="E1454" s="1252"/>
      <c r="F1454" s="1252"/>
      <c r="G1454" s="1252"/>
      <c r="H1454" s="1252"/>
      <c r="N1454" s="1562"/>
    </row>
    <row r="1455" spans="1:14" x14ac:dyDescent="0.2">
      <c r="A1455" s="1249"/>
      <c r="B1455" s="1252"/>
      <c r="C1455" s="1255"/>
      <c r="D1455" s="1252"/>
      <c r="E1455" s="1252"/>
      <c r="F1455" s="1252"/>
      <c r="G1455" s="1252"/>
      <c r="H1455" s="1252"/>
      <c r="N1455" s="1562"/>
    </row>
    <row r="1456" spans="1:14" x14ac:dyDescent="0.2">
      <c r="A1456" s="1249"/>
      <c r="B1456" s="1252"/>
      <c r="C1456" s="1255"/>
      <c r="D1456" s="1252"/>
      <c r="E1456" s="1252"/>
      <c r="F1456" s="1252"/>
      <c r="G1456" s="1252"/>
      <c r="H1456" s="1252"/>
      <c r="N1456" s="1562"/>
    </row>
    <row r="1457" spans="1:14" x14ac:dyDescent="0.2">
      <c r="A1457" s="1249"/>
      <c r="B1457" s="1252"/>
      <c r="C1457" s="1255"/>
      <c r="D1457" s="1252"/>
      <c r="E1457" s="1252"/>
      <c r="F1457" s="1252"/>
      <c r="G1457" s="1252"/>
      <c r="H1457" s="1252"/>
      <c r="N1457" s="1562"/>
    </row>
    <row r="1458" spans="1:14" x14ac:dyDescent="0.2">
      <c r="A1458" s="1249"/>
      <c r="B1458" s="1252"/>
      <c r="C1458" s="1255"/>
      <c r="D1458" s="1252"/>
      <c r="E1458" s="1252"/>
      <c r="F1458" s="1252"/>
      <c r="G1458" s="1252"/>
      <c r="H1458" s="1252"/>
      <c r="N1458" s="1562"/>
    </row>
    <row r="1459" spans="1:14" x14ac:dyDescent="0.2">
      <c r="A1459" s="1249"/>
      <c r="B1459" s="1252"/>
      <c r="C1459" s="1255"/>
      <c r="D1459" s="1252"/>
      <c r="E1459" s="1252"/>
      <c r="F1459" s="1252"/>
      <c r="G1459" s="1252"/>
      <c r="H1459" s="1252"/>
      <c r="N1459" s="1562"/>
    </row>
    <row r="1460" spans="1:14" x14ac:dyDescent="0.2">
      <c r="A1460" s="1249"/>
      <c r="B1460" s="1252"/>
      <c r="C1460" s="1255"/>
      <c r="D1460" s="1252"/>
      <c r="E1460" s="1252"/>
      <c r="F1460" s="1252"/>
      <c r="G1460" s="1252"/>
      <c r="H1460" s="1252"/>
      <c r="N1460" s="1562"/>
    </row>
    <row r="1461" spans="1:14" x14ac:dyDescent="0.2">
      <c r="A1461" s="1249"/>
      <c r="B1461" s="1252"/>
      <c r="C1461" s="1255"/>
      <c r="D1461" s="1252"/>
      <c r="E1461" s="1252"/>
      <c r="F1461" s="1252"/>
      <c r="G1461" s="1252"/>
      <c r="H1461" s="1252"/>
      <c r="N1461" s="1562"/>
    </row>
    <row r="1462" spans="1:14" x14ac:dyDescent="0.2">
      <c r="A1462" s="1249"/>
      <c r="B1462" s="1252"/>
      <c r="C1462" s="1255"/>
      <c r="D1462" s="1252"/>
      <c r="E1462" s="1252"/>
      <c r="F1462" s="1252"/>
      <c r="G1462" s="1252"/>
      <c r="H1462" s="1252"/>
      <c r="N1462" s="1562"/>
    </row>
    <row r="1463" spans="1:14" x14ac:dyDescent="0.2">
      <c r="A1463" s="1249"/>
      <c r="B1463" s="1252"/>
      <c r="C1463" s="1255"/>
      <c r="D1463" s="1252"/>
      <c r="E1463" s="1252"/>
      <c r="F1463" s="1252"/>
      <c r="G1463" s="1252"/>
      <c r="H1463" s="1252"/>
      <c r="N1463" s="1562"/>
    </row>
    <row r="1464" spans="1:14" x14ac:dyDescent="0.2">
      <c r="A1464" s="1249"/>
      <c r="B1464" s="1252"/>
      <c r="C1464" s="1255"/>
      <c r="D1464" s="1252"/>
      <c r="E1464" s="1252"/>
      <c r="F1464" s="1252"/>
      <c r="G1464" s="1252"/>
      <c r="H1464" s="1252"/>
      <c r="N1464" s="1562"/>
    </row>
    <row r="1465" spans="1:14" x14ac:dyDescent="0.2">
      <c r="A1465" s="1249"/>
      <c r="B1465" s="1252"/>
      <c r="C1465" s="1255"/>
      <c r="D1465" s="1252"/>
      <c r="E1465" s="1252"/>
      <c r="F1465" s="1252"/>
      <c r="G1465" s="1252"/>
      <c r="H1465" s="1252"/>
      <c r="N1465" s="1562"/>
    </row>
    <row r="1466" spans="1:14" x14ac:dyDescent="0.2">
      <c r="A1466" s="1249"/>
      <c r="B1466" s="1252"/>
      <c r="C1466" s="1255"/>
      <c r="D1466" s="1252"/>
      <c r="E1466" s="1252"/>
      <c r="F1466" s="1252"/>
      <c r="G1466" s="1252"/>
      <c r="H1466" s="1252"/>
      <c r="N1466" s="1562"/>
    </row>
    <row r="1467" spans="1:14" x14ac:dyDescent="0.2">
      <c r="A1467" s="1249"/>
      <c r="B1467" s="1252"/>
      <c r="C1467" s="1255"/>
      <c r="D1467" s="1252"/>
      <c r="E1467" s="1252"/>
      <c r="F1467" s="1252"/>
      <c r="G1467" s="1252"/>
      <c r="H1467" s="1252"/>
      <c r="N1467" s="1562"/>
    </row>
    <row r="1468" spans="1:14" x14ac:dyDescent="0.2">
      <c r="A1468" s="1249"/>
      <c r="B1468" s="1252"/>
      <c r="C1468" s="1255"/>
      <c r="D1468" s="1252"/>
      <c r="E1468" s="1252"/>
      <c r="F1468" s="1252"/>
      <c r="G1468" s="1252"/>
      <c r="H1468" s="1252"/>
      <c r="N1468" s="1562"/>
    </row>
    <row r="1469" spans="1:14" x14ac:dyDescent="0.2">
      <c r="A1469" s="1249"/>
      <c r="B1469" s="1252"/>
      <c r="C1469" s="1255"/>
      <c r="D1469" s="1252"/>
      <c r="E1469" s="1252"/>
      <c r="F1469" s="1252"/>
      <c r="G1469" s="1252"/>
      <c r="H1469" s="1252"/>
      <c r="N1469" s="1562"/>
    </row>
    <row r="1470" spans="1:14" x14ac:dyDescent="0.2">
      <c r="A1470" s="1249"/>
      <c r="B1470" s="1252"/>
      <c r="C1470" s="1255"/>
      <c r="D1470" s="1252"/>
      <c r="E1470" s="1252"/>
      <c r="F1470" s="1252"/>
      <c r="G1470" s="1252"/>
      <c r="H1470" s="1252"/>
      <c r="N1470" s="1562"/>
    </row>
    <row r="1471" spans="1:14" x14ac:dyDescent="0.2">
      <c r="A1471" s="1249"/>
      <c r="B1471" s="1252"/>
      <c r="C1471" s="1255"/>
      <c r="D1471" s="1252"/>
      <c r="E1471" s="1252"/>
      <c r="F1471" s="1252"/>
      <c r="G1471" s="1252"/>
      <c r="H1471" s="1252"/>
      <c r="N1471" s="1562"/>
    </row>
    <row r="1472" spans="1:14" x14ac:dyDescent="0.2">
      <c r="A1472" s="1249"/>
      <c r="B1472" s="1252"/>
      <c r="C1472" s="1255"/>
      <c r="D1472" s="1252"/>
      <c r="E1472" s="1252"/>
      <c r="F1472" s="1252"/>
      <c r="G1472" s="1252"/>
      <c r="H1472" s="1252"/>
      <c r="N1472" s="1562"/>
    </row>
    <row r="1473" spans="1:14" x14ac:dyDescent="0.2">
      <c r="A1473" s="1249"/>
      <c r="B1473" s="1252"/>
      <c r="C1473" s="1255"/>
      <c r="D1473" s="1252"/>
      <c r="E1473" s="1252"/>
      <c r="F1473" s="1252"/>
      <c r="G1473" s="1252"/>
      <c r="H1473" s="1252"/>
      <c r="N1473" s="1562"/>
    </row>
    <row r="1474" spans="1:14" x14ac:dyDescent="0.2">
      <c r="A1474" s="1249"/>
      <c r="B1474" s="1252"/>
      <c r="C1474" s="1255"/>
      <c r="D1474" s="1252"/>
      <c r="E1474" s="1252"/>
      <c r="F1474" s="1252"/>
      <c r="G1474" s="1252"/>
      <c r="H1474" s="1252"/>
      <c r="N1474" s="1562"/>
    </row>
    <row r="1475" spans="1:14" x14ac:dyDescent="0.2">
      <c r="A1475" s="1249"/>
      <c r="B1475" s="1252"/>
      <c r="C1475" s="1255"/>
      <c r="D1475" s="1252"/>
      <c r="E1475" s="1252"/>
      <c r="F1475" s="1252"/>
      <c r="G1475" s="1252"/>
      <c r="H1475" s="1252"/>
      <c r="N1475" s="1562"/>
    </row>
    <row r="1476" spans="1:14" x14ac:dyDescent="0.2">
      <c r="A1476" s="1249"/>
      <c r="B1476" s="1252"/>
      <c r="C1476" s="1255"/>
      <c r="D1476" s="1252"/>
      <c r="E1476" s="1252"/>
      <c r="F1476" s="1252"/>
      <c r="G1476" s="1252"/>
      <c r="H1476" s="1252"/>
      <c r="N1476" s="1562"/>
    </row>
    <row r="1477" spans="1:14" x14ac:dyDescent="0.2">
      <c r="A1477" s="1249"/>
      <c r="B1477" s="1252"/>
      <c r="C1477" s="1255"/>
      <c r="D1477" s="1252"/>
      <c r="E1477" s="1252"/>
      <c r="F1477" s="1252"/>
      <c r="G1477" s="1252"/>
      <c r="H1477" s="1252"/>
      <c r="N1477" s="1562"/>
    </row>
    <row r="1478" spans="1:14" x14ac:dyDescent="0.2">
      <c r="A1478" s="1249"/>
      <c r="B1478" s="1252"/>
      <c r="C1478" s="1255"/>
      <c r="D1478" s="1252"/>
      <c r="E1478" s="1252"/>
      <c r="F1478" s="1252"/>
      <c r="G1478" s="1252"/>
      <c r="H1478" s="1252"/>
      <c r="N1478" s="1562"/>
    </row>
    <row r="1479" spans="1:14" x14ac:dyDescent="0.2">
      <c r="A1479" s="1249"/>
      <c r="B1479" s="1252"/>
      <c r="C1479" s="1255"/>
      <c r="D1479" s="1252"/>
      <c r="E1479" s="1252"/>
      <c r="F1479" s="1252"/>
      <c r="G1479" s="1252"/>
      <c r="H1479" s="1252"/>
      <c r="N1479" s="1562"/>
    </row>
    <row r="1480" spans="1:14" x14ac:dyDescent="0.2">
      <c r="A1480" s="1249"/>
      <c r="B1480" s="1252"/>
      <c r="C1480" s="1255"/>
      <c r="D1480" s="1252"/>
      <c r="E1480" s="1252"/>
      <c r="F1480" s="1252"/>
      <c r="G1480" s="1252"/>
      <c r="H1480" s="1252"/>
      <c r="N1480" s="1562"/>
    </row>
    <row r="1481" spans="1:14" x14ac:dyDescent="0.2">
      <c r="A1481" s="1249"/>
      <c r="B1481" s="1252"/>
      <c r="C1481" s="1255"/>
      <c r="D1481" s="1252"/>
      <c r="E1481" s="1252"/>
      <c r="F1481" s="1252"/>
      <c r="G1481" s="1252"/>
      <c r="H1481" s="1252"/>
      <c r="N1481" s="1562"/>
    </row>
    <row r="1482" spans="1:14" x14ac:dyDescent="0.2">
      <c r="A1482" s="1249"/>
      <c r="B1482" s="1252"/>
      <c r="C1482" s="1255"/>
      <c r="D1482" s="1252"/>
      <c r="E1482" s="1252"/>
      <c r="F1482" s="1252"/>
      <c r="G1482" s="1252"/>
      <c r="H1482" s="1252"/>
      <c r="N1482" s="1562"/>
    </row>
    <row r="1483" spans="1:14" x14ac:dyDescent="0.2">
      <c r="A1483" s="1249"/>
      <c r="B1483" s="1252"/>
      <c r="C1483" s="1255"/>
      <c r="D1483" s="1252"/>
      <c r="E1483" s="1252"/>
      <c r="F1483" s="1252"/>
      <c r="G1483" s="1252"/>
      <c r="H1483" s="1252"/>
      <c r="N1483" s="1562"/>
    </row>
    <row r="1484" spans="1:14" x14ac:dyDescent="0.2">
      <c r="A1484" s="1249"/>
      <c r="B1484" s="1252"/>
      <c r="C1484" s="1255"/>
      <c r="D1484" s="1252"/>
      <c r="E1484" s="1252"/>
      <c r="F1484" s="1252"/>
      <c r="G1484" s="1252"/>
      <c r="H1484" s="1252"/>
      <c r="N1484" s="1562"/>
    </row>
    <row r="1485" spans="1:14" x14ac:dyDescent="0.2">
      <c r="A1485" s="1249"/>
      <c r="B1485" s="1252"/>
      <c r="C1485" s="1255"/>
      <c r="D1485" s="1252"/>
      <c r="E1485" s="1252"/>
      <c r="F1485" s="1252"/>
      <c r="G1485" s="1252"/>
      <c r="H1485" s="1252"/>
      <c r="N1485" s="1562"/>
    </row>
    <row r="1486" spans="1:14" x14ac:dyDescent="0.2">
      <c r="A1486" s="1249"/>
      <c r="B1486" s="1252"/>
      <c r="C1486" s="1255"/>
      <c r="D1486" s="1252"/>
      <c r="E1486" s="1252"/>
      <c r="F1486" s="1252"/>
      <c r="G1486" s="1252"/>
      <c r="H1486" s="1252"/>
      <c r="N1486" s="1562"/>
    </row>
    <row r="1487" spans="1:14" x14ac:dyDescent="0.2">
      <c r="A1487" s="1249"/>
      <c r="B1487" s="1252"/>
      <c r="C1487" s="1255"/>
      <c r="D1487" s="1252"/>
      <c r="E1487" s="1252"/>
      <c r="F1487" s="1252"/>
      <c r="G1487" s="1252"/>
      <c r="H1487" s="1252"/>
      <c r="N1487" s="1562"/>
    </row>
    <row r="1488" spans="1:14" x14ac:dyDescent="0.2">
      <c r="A1488" s="1249"/>
      <c r="B1488" s="1252"/>
      <c r="C1488" s="1255"/>
      <c r="D1488" s="1252"/>
      <c r="E1488" s="1252"/>
      <c r="F1488" s="1252"/>
      <c r="G1488" s="1252"/>
      <c r="H1488" s="1252"/>
      <c r="N1488" s="1562"/>
    </row>
    <row r="1489" spans="1:14" x14ac:dyDescent="0.2">
      <c r="A1489" s="1249"/>
      <c r="B1489" s="1252"/>
      <c r="C1489" s="1255"/>
      <c r="D1489" s="1252"/>
      <c r="E1489" s="1252"/>
      <c r="F1489" s="1252"/>
      <c r="G1489" s="1252"/>
      <c r="H1489" s="1252"/>
      <c r="N1489" s="1562"/>
    </row>
    <row r="1490" spans="1:14" x14ac:dyDescent="0.2">
      <c r="A1490" s="1249"/>
      <c r="B1490" s="1252"/>
      <c r="C1490" s="1255"/>
      <c r="D1490" s="1252"/>
      <c r="E1490" s="1252"/>
      <c r="F1490" s="1252"/>
      <c r="G1490" s="1252"/>
      <c r="H1490" s="1252"/>
      <c r="N1490" s="1562"/>
    </row>
    <row r="1491" spans="1:14" x14ac:dyDescent="0.2">
      <c r="A1491" s="1249"/>
      <c r="B1491" s="1252"/>
      <c r="C1491" s="1255"/>
      <c r="D1491" s="1252"/>
      <c r="E1491" s="1252"/>
      <c r="F1491" s="1252"/>
      <c r="G1491" s="1252"/>
      <c r="H1491" s="1252"/>
      <c r="N1491" s="1562"/>
    </row>
    <row r="1492" spans="1:14" x14ac:dyDescent="0.2">
      <c r="A1492" s="1249"/>
      <c r="B1492" s="1252"/>
      <c r="C1492" s="1255"/>
      <c r="D1492" s="1252"/>
      <c r="E1492" s="1252"/>
      <c r="F1492" s="1252"/>
      <c r="G1492" s="1252"/>
      <c r="H1492" s="1252"/>
      <c r="N1492" s="1562"/>
    </row>
    <row r="1493" spans="1:14" x14ac:dyDescent="0.2">
      <c r="A1493" s="1249"/>
      <c r="B1493" s="1252"/>
      <c r="C1493" s="1255"/>
      <c r="D1493" s="1252"/>
      <c r="E1493" s="1252"/>
      <c r="F1493" s="1252"/>
      <c r="G1493" s="1252"/>
      <c r="H1493" s="1252"/>
      <c r="N1493" s="1562"/>
    </row>
    <row r="1494" spans="1:14" x14ac:dyDescent="0.2">
      <c r="A1494" s="1249"/>
      <c r="B1494" s="1252"/>
      <c r="C1494" s="1255"/>
      <c r="D1494" s="1252"/>
      <c r="E1494" s="1252"/>
      <c r="F1494" s="1252"/>
      <c r="G1494" s="1252"/>
      <c r="H1494" s="1252"/>
      <c r="N1494" s="1562"/>
    </row>
    <row r="1495" spans="1:14" x14ac:dyDescent="0.2">
      <c r="A1495" s="1249"/>
      <c r="B1495" s="1252"/>
      <c r="C1495" s="1255"/>
      <c r="D1495" s="1252"/>
      <c r="E1495" s="1252"/>
      <c r="F1495" s="1252"/>
      <c r="G1495" s="1252"/>
      <c r="H1495" s="1252"/>
      <c r="N1495" s="1562"/>
    </row>
    <row r="1496" spans="1:14" x14ac:dyDescent="0.2">
      <c r="A1496" s="1249"/>
      <c r="B1496" s="1252"/>
      <c r="C1496" s="1255"/>
      <c r="D1496" s="1252"/>
      <c r="E1496" s="1252"/>
      <c r="F1496" s="1252"/>
      <c r="G1496" s="1252"/>
      <c r="H1496" s="1252"/>
      <c r="N1496" s="1562"/>
    </row>
    <row r="1497" spans="1:14" x14ac:dyDescent="0.2">
      <c r="A1497" s="1249"/>
      <c r="B1497" s="1252"/>
      <c r="C1497" s="1255"/>
      <c r="D1497" s="1252"/>
      <c r="E1497" s="1252"/>
      <c r="F1497" s="1252"/>
      <c r="G1497" s="1252"/>
      <c r="H1497" s="1252"/>
      <c r="N1497" s="1562"/>
    </row>
    <row r="1498" spans="1:14" x14ac:dyDescent="0.2">
      <c r="A1498" s="1249"/>
      <c r="B1498" s="1252"/>
      <c r="C1498" s="1255"/>
      <c r="D1498" s="1252"/>
      <c r="E1498" s="1252"/>
      <c r="F1498" s="1252"/>
      <c r="G1498" s="1252"/>
      <c r="H1498" s="1252"/>
      <c r="N1498" s="1562"/>
    </row>
    <row r="1499" spans="1:14" x14ac:dyDescent="0.2">
      <c r="A1499" s="1249"/>
      <c r="B1499" s="1252"/>
      <c r="C1499" s="1255"/>
      <c r="D1499" s="1252"/>
      <c r="E1499" s="1252"/>
      <c r="F1499" s="1252"/>
      <c r="G1499" s="1252"/>
      <c r="H1499" s="1252"/>
      <c r="N1499" s="1562"/>
    </row>
    <row r="1500" spans="1:14" x14ac:dyDescent="0.2">
      <c r="A1500" s="1249"/>
      <c r="B1500" s="1252"/>
      <c r="C1500" s="1255"/>
      <c r="D1500" s="1252"/>
      <c r="E1500" s="1252"/>
      <c r="F1500" s="1252"/>
      <c r="G1500" s="1252"/>
      <c r="H1500" s="1252"/>
      <c r="N1500" s="1562"/>
    </row>
    <row r="1501" spans="1:14" x14ac:dyDescent="0.2">
      <c r="A1501" s="1249"/>
      <c r="B1501" s="1252"/>
      <c r="C1501" s="1255"/>
      <c r="D1501" s="1252"/>
      <c r="E1501" s="1252"/>
      <c r="F1501" s="1252"/>
      <c r="G1501" s="1252"/>
      <c r="H1501" s="1252"/>
      <c r="N1501" s="1562"/>
    </row>
    <row r="1502" spans="1:14" x14ac:dyDescent="0.2">
      <c r="A1502" s="1249"/>
      <c r="B1502" s="1252"/>
      <c r="C1502" s="1255"/>
      <c r="D1502" s="1252"/>
      <c r="E1502" s="1252"/>
      <c r="F1502" s="1252"/>
      <c r="G1502" s="1252"/>
      <c r="H1502" s="1252"/>
      <c r="N1502" s="1562"/>
    </row>
    <row r="1503" spans="1:14" x14ac:dyDescent="0.2">
      <c r="A1503" s="1249"/>
      <c r="B1503" s="1252"/>
      <c r="C1503" s="1255"/>
      <c r="D1503" s="1252"/>
      <c r="E1503" s="1252"/>
      <c r="F1503" s="1252"/>
      <c r="G1503" s="1252"/>
      <c r="H1503" s="1252"/>
      <c r="N1503" s="1562"/>
    </row>
    <row r="1504" spans="1:14" x14ac:dyDescent="0.2">
      <c r="A1504" s="1249"/>
      <c r="B1504" s="1252"/>
      <c r="C1504" s="1255"/>
      <c r="D1504" s="1252"/>
      <c r="E1504" s="1252"/>
      <c r="F1504" s="1252"/>
      <c r="G1504" s="1252"/>
      <c r="H1504" s="1252"/>
      <c r="N1504" s="1562"/>
    </row>
    <row r="1505" spans="1:14" x14ac:dyDescent="0.2">
      <c r="A1505" s="1249"/>
      <c r="B1505" s="1252"/>
      <c r="C1505" s="1255"/>
      <c r="D1505" s="1252"/>
      <c r="E1505" s="1252"/>
      <c r="F1505" s="1252"/>
      <c r="G1505" s="1252"/>
      <c r="H1505" s="1252"/>
      <c r="N1505" s="1562"/>
    </row>
    <row r="1506" spans="1:14" x14ac:dyDescent="0.2">
      <c r="A1506" s="1249"/>
      <c r="B1506" s="1252"/>
      <c r="C1506" s="1255"/>
      <c r="D1506" s="1252"/>
      <c r="E1506" s="1252"/>
      <c r="F1506" s="1252"/>
      <c r="G1506" s="1252"/>
      <c r="H1506" s="1252"/>
      <c r="N1506" s="1562"/>
    </row>
    <row r="1507" spans="1:14" x14ac:dyDescent="0.2">
      <c r="A1507" s="1249"/>
      <c r="B1507" s="1252"/>
      <c r="C1507" s="1255"/>
      <c r="D1507" s="1252"/>
      <c r="E1507" s="1252"/>
      <c r="F1507" s="1252"/>
      <c r="G1507" s="1252"/>
      <c r="H1507" s="1252"/>
      <c r="N1507" s="1562"/>
    </row>
    <row r="1508" spans="1:14" x14ac:dyDescent="0.2">
      <c r="A1508" s="1249"/>
      <c r="B1508" s="1252"/>
      <c r="C1508" s="1255"/>
      <c r="D1508" s="1252"/>
      <c r="E1508" s="1252"/>
      <c r="F1508" s="1252"/>
      <c r="G1508" s="1252"/>
      <c r="H1508" s="1252"/>
      <c r="N1508" s="1562"/>
    </row>
    <row r="1509" spans="1:14" x14ac:dyDescent="0.2">
      <c r="A1509" s="1249"/>
      <c r="B1509" s="1252"/>
      <c r="C1509" s="1255"/>
      <c r="D1509" s="1252"/>
      <c r="E1509" s="1252"/>
      <c r="F1509" s="1252"/>
      <c r="G1509" s="1252"/>
      <c r="H1509" s="1252"/>
      <c r="N1509" s="1562"/>
    </row>
    <row r="1510" spans="1:14" x14ac:dyDescent="0.2">
      <c r="A1510" s="1249"/>
      <c r="B1510" s="1252"/>
      <c r="C1510" s="1255"/>
      <c r="D1510" s="1252"/>
      <c r="E1510" s="1252"/>
      <c r="F1510" s="1252"/>
      <c r="G1510" s="1252"/>
      <c r="H1510" s="1252"/>
      <c r="N1510" s="1562"/>
    </row>
    <row r="1511" spans="1:14" x14ac:dyDescent="0.2">
      <c r="A1511" s="1249"/>
      <c r="B1511" s="1252"/>
      <c r="C1511" s="1255"/>
      <c r="D1511" s="1252"/>
      <c r="E1511" s="1252"/>
      <c r="F1511" s="1252"/>
      <c r="G1511" s="1252"/>
      <c r="H1511" s="1252"/>
      <c r="N1511" s="1562"/>
    </row>
    <row r="1512" spans="1:14" x14ac:dyDescent="0.2">
      <c r="A1512" s="1249"/>
      <c r="B1512" s="1252"/>
      <c r="C1512" s="1255"/>
      <c r="D1512" s="1252"/>
      <c r="E1512" s="1252"/>
      <c r="F1512" s="1252"/>
      <c r="G1512" s="1252"/>
      <c r="H1512" s="1252"/>
      <c r="N1512" s="1562"/>
    </row>
    <row r="1513" spans="1:14" x14ac:dyDescent="0.2">
      <c r="A1513" s="1249"/>
      <c r="B1513" s="1252"/>
      <c r="C1513" s="1255"/>
      <c r="D1513" s="1252"/>
      <c r="E1513" s="1252"/>
      <c r="F1513" s="1252"/>
      <c r="G1513" s="1252"/>
      <c r="H1513" s="1252"/>
      <c r="N1513" s="1562"/>
    </row>
    <row r="1514" spans="1:14" x14ac:dyDescent="0.2">
      <c r="A1514" s="1249"/>
      <c r="B1514" s="1252"/>
      <c r="C1514" s="1255"/>
      <c r="D1514" s="1252"/>
      <c r="E1514" s="1252"/>
      <c r="F1514" s="1252"/>
      <c r="G1514" s="1252"/>
      <c r="H1514" s="1252"/>
      <c r="N1514" s="1562"/>
    </row>
    <row r="1515" spans="1:14" x14ac:dyDescent="0.2">
      <c r="A1515" s="1249"/>
      <c r="B1515" s="1252"/>
      <c r="C1515" s="1255"/>
      <c r="D1515" s="1252"/>
      <c r="E1515" s="1252"/>
      <c r="F1515" s="1252"/>
      <c r="G1515" s="1252"/>
      <c r="H1515" s="1252"/>
      <c r="N1515" s="1562"/>
    </row>
    <row r="1516" spans="1:14" x14ac:dyDescent="0.2">
      <c r="A1516" s="1249"/>
      <c r="B1516" s="1252"/>
      <c r="C1516" s="1255"/>
      <c r="D1516" s="1252"/>
      <c r="E1516" s="1252"/>
      <c r="F1516" s="1252"/>
      <c r="G1516" s="1252"/>
      <c r="H1516" s="1252"/>
      <c r="N1516" s="1562"/>
    </row>
    <row r="1517" spans="1:14" x14ac:dyDescent="0.2">
      <c r="A1517" s="1249"/>
      <c r="B1517" s="1252"/>
      <c r="C1517" s="1255"/>
      <c r="D1517" s="1252"/>
      <c r="E1517" s="1252"/>
      <c r="F1517" s="1252"/>
      <c r="G1517" s="1252"/>
      <c r="H1517" s="1252"/>
      <c r="N1517" s="1562"/>
    </row>
    <row r="1518" spans="1:14" x14ac:dyDescent="0.2">
      <c r="A1518" s="1249"/>
      <c r="B1518" s="1252"/>
      <c r="C1518" s="1255"/>
      <c r="D1518" s="1252"/>
      <c r="E1518" s="1252"/>
      <c r="F1518" s="1252"/>
      <c r="G1518" s="1252"/>
      <c r="H1518" s="1252"/>
      <c r="N1518" s="1562"/>
    </row>
    <row r="1519" spans="1:14" x14ac:dyDescent="0.2">
      <c r="A1519" s="1249"/>
      <c r="B1519" s="1252"/>
      <c r="C1519" s="1255"/>
      <c r="D1519" s="1252"/>
      <c r="E1519" s="1252"/>
      <c r="F1519" s="1252"/>
      <c r="G1519" s="1252"/>
      <c r="H1519" s="1252"/>
      <c r="N1519" s="1562"/>
    </row>
    <row r="1520" spans="1:14" x14ac:dyDescent="0.2">
      <c r="A1520" s="1249"/>
      <c r="B1520" s="1252"/>
      <c r="C1520" s="1255"/>
      <c r="D1520" s="1252"/>
      <c r="E1520" s="1252"/>
      <c r="F1520" s="1252"/>
      <c r="G1520" s="1252"/>
      <c r="H1520" s="1252"/>
      <c r="N1520" s="1562"/>
    </row>
    <row r="1521" spans="1:14" x14ac:dyDescent="0.2">
      <c r="A1521" s="1249"/>
      <c r="B1521" s="1252"/>
      <c r="C1521" s="1255"/>
      <c r="D1521" s="1252"/>
      <c r="E1521" s="1252"/>
      <c r="F1521" s="1252"/>
      <c r="G1521" s="1252"/>
      <c r="H1521" s="1252"/>
      <c r="N1521" s="1562"/>
    </row>
    <row r="1522" spans="1:14" x14ac:dyDescent="0.2">
      <c r="A1522" s="1249"/>
      <c r="B1522" s="1252"/>
      <c r="C1522" s="1255"/>
      <c r="D1522" s="1252"/>
      <c r="E1522" s="1252"/>
      <c r="F1522" s="1252"/>
      <c r="G1522" s="1252"/>
      <c r="H1522" s="1252"/>
      <c r="N1522" s="1562"/>
    </row>
    <row r="1523" spans="1:14" x14ac:dyDescent="0.2">
      <c r="A1523" s="1249"/>
      <c r="B1523" s="1252"/>
      <c r="C1523" s="1255"/>
      <c r="D1523" s="1252"/>
      <c r="E1523" s="1252"/>
      <c r="F1523" s="1252"/>
      <c r="G1523" s="1252"/>
      <c r="H1523" s="1252"/>
      <c r="N1523" s="1562"/>
    </row>
    <row r="1524" spans="1:14" x14ac:dyDescent="0.2">
      <c r="A1524" s="1249"/>
      <c r="B1524" s="1252"/>
      <c r="C1524" s="1255"/>
      <c r="D1524" s="1252"/>
      <c r="E1524" s="1252"/>
      <c r="F1524" s="1252"/>
      <c r="G1524" s="1252"/>
      <c r="H1524" s="1252"/>
      <c r="N1524" s="1562"/>
    </row>
    <row r="1525" spans="1:14" x14ac:dyDescent="0.2">
      <c r="A1525" s="1249"/>
      <c r="B1525" s="1252"/>
      <c r="C1525" s="1255"/>
      <c r="D1525" s="1252"/>
      <c r="E1525" s="1252"/>
      <c r="F1525" s="1252"/>
      <c r="G1525" s="1252"/>
      <c r="H1525" s="1252"/>
      <c r="N1525" s="1562"/>
    </row>
    <row r="1526" spans="1:14" x14ac:dyDescent="0.2">
      <c r="A1526" s="1249"/>
      <c r="B1526" s="1252"/>
      <c r="C1526" s="1255"/>
      <c r="D1526" s="1252"/>
      <c r="E1526" s="1252"/>
      <c r="F1526" s="1252"/>
      <c r="G1526" s="1252"/>
      <c r="H1526" s="1252"/>
      <c r="N1526" s="1562"/>
    </row>
    <row r="1527" spans="1:14" x14ac:dyDescent="0.2">
      <c r="A1527" s="1249"/>
      <c r="B1527" s="1252"/>
      <c r="C1527" s="1255"/>
      <c r="D1527" s="1252"/>
      <c r="E1527" s="1252"/>
      <c r="F1527" s="1252"/>
      <c r="G1527" s="1252"/>
      <c r="H1527" s="1252"/>
      <c r="N1527" s="1562"/>
    </row>
    <row r="1528" spans="1:14" x14ac:dyDescent="0.2">
      <c r="A1528" s="1249"/>
      <c r="B1528" s="1252"/>
      <c r="C1528" s="1255"/>
      <c r="D1528" s="1252"/>
      <c r="E1528" s="1252"/>
      <c r="F1528" s="1252"/>
      <c r="G1528" s="1252"/>
      <c r="H1528" s="1252"/>
      <c r="N1528" s="1562"/>
    </row>
    <row r="1529" spans="1:14" x14ac:dyDescent="0.2">
      <c r="A1529" s="1249"/>
      <c r="B1529" s="1252"/>
      <c r="C1529" s="1255"/>
      <c r="D1529" s="1252"/>
      <c r="E1529" s="1252"/>
      <c r="F1529" s="1252"/>
      <c r="G1529" s="1252"/>
      <c r="H1529" s="1252"/>
      <c r="N1529" s="1562"/>
    </row>
    <row r="1530" spans="1:14" x14ac:dyDescent="0.2">
      <c r="A1530" s="1249"/>
      <c r="B1530" s="1252"/>
      <c r="C1530" s="1255"/>
      <c r="D1530" s="1252"/>
      <c r="E1530" s="1252"/>
      <c r="F1530" s="1252"/>
      <c r="G1530" s="1252"/>
      <c r="H1530" s="1252"/>
      <c r="N1530" s="1562"/>
    </row>
    <row r="1531" spans="1:14" x14ac:dyDescent="0.2">
      <c r="A1531" s="1249"/>
      <c r="B1531" s="1252"/>
      <c r="C1531" s="1255"/>
      <c r="D1531" s="1252"/>
      <c r="E1531" s="1252"/>
      <c r="F1531" s="1252"/>
      <c r="G1531" s="1252"/>
      <c r="H1531" s="1252"/>
      <c r="N1531" s="1562"/>
    </row>
    <row r="1532" spans="1:14" x14ac:dyDescent="0.2">
      <c r="A1532" s="1249"/>
      <c r="B1532" s="1252"/>
      <c r="C1532" s="1255"/>
      <c r="D1532" s="1252"/>
      <c r="E1532" s="1252"/>
      <c r="F1532" s="1252"/>
      <c r="G1532" s="1252"/>
      <c r="H1532" s="1252"/>
      <c r="N1532" s="1562"/>
    </row>
    <row r="1533" spans="1:14" x14ac:dyDescent="0.2">
      <c r="A1533" s="1249"/>
      <c r="B1533" s="1252"/>
      <c r="C1533" s="1255"/>
      <c r="D1533" s="1252"/>
      <c r="E1533" s="1252"/>
      <c r="F1533" s="1252"/>
      <c r="G1533" s="1252"/>
      <c r="H1533" s="1252"/>
      <c r="N1533" s="1562"/>
    </row>
    <row r="1534" spans="1:14" x14ac:dyDescent="0.2">
      <c r="A1534" s="1249"/>
      <c r="B1534" s="1252"/>
      <c r="C1534" s="1255"/>
      <c r="D1534" s="1252"/>
      <c r="E1534" s="1252"/>
      <c r="F1534" s="1252"/>
      <c r="G1534" s="1252"/>
      <c r="H1534" s="1252"/>
      <c r="N1534" s="1562"/>
    </row>
    <row r="1535" spans="1:14" x14ac:dyDescent="0.2">
      <c r="A1535" s="1249"/>
      <c r="B1535" s="1252"/>
      <c r="C1535" s="1255"/>
      <c r="D1535" s="1252"/>
      <c r="E1535" s="1252"/>
      <c r="F1535" s="1252"/>
      <c r="G1535" s="1252"/>
      <c r="H1535" s="1252"/>
      <c r="N1535" s="1562"/>
    </row>
    <row r="1536" spans="1:14" x14ac:dyDescent="0.2">
      <c r="A1536" s="1249"/>
      <c r="B1536" s="1252"/>
      <c r="C1536" s="1255"/>
      <c r="D1536" s="1252"/>
      <c r="E1536" s="1252"/>
      <c r="F1536" s="1252"/>
      <c r="G1536" s="1252"/>
      <c r="H1536" s="1252"/>
      <c r="N1536" s="1562"/>
    </row>
    <row r="1537" spans="1:14" x14ac:dyDescent="0.2">
      <c r="A1537" s="1249"/>
      <c r="B1537" s="1252"/>
      <c r="C1537" s="1255"/>
      <c r="D1537" s="1252"/>
      <c r="E1537" s="1252"/>
      <c r="F1537" s="1252"/>
      <c r="G1537" s="1252"/>
      <c r="H1537" s="1252"/>
      <c r="N1537" s="1562"/>
    </row>
    <row r="1538" spans="1:14" x14ac:dyDescent="0.2">
      <c r="A1538" s="1249"/>
      <c r="B1538" s="1252"/>
      <c r="C1538" s="1255"/>
      <c r="D1538" s="1252"/>
      <c r="E1538" s="1252"/>
      <c r="F1538" s="1252"/>
      <c r="G1538" s="1252"/>
      <c r="H1538" s="1252"/>
      <c r="N1538" s="1562"/>
    </row>
    <row r="1539" spans="1:14" x14ac:dyDescent="0.2">
      <c r="A1539" s="1249"/>
      <c r="B1539" s="1252"/>
      <c r="C1539" s="1255"/>
      <c r="D1539" s="1252"/>
      <c r="E1539" s="1252"/>
      <c r="F1539" s="1252"/>
      <c r="G1539" s="1252"/>
      <c r="H1539" s="1252"/>
      <c r="N1539" s="1562"/>
    </row>
    <row r="1540" spans="1:14" x14ac:dyDescent="0.2">
      <c r="A1540" s="1249"/>
      <c r="B1540" s="1252"/>
      <c r="C1540" s="1255"/>
      <c r="D1540" s="1252"/>
      <c r="E1540" s="1252"/>
      <c r="F1540" s="1252"/>
      <c r="G1540" s="1252"/>
      <c r="H1540" s="1252"/>
      <c r="N1540" s="1562"/>
    </row>
    <row r="1541" spans="1:14" x14ac:dyDescent="0.2">
      <c r="A1541" s="1249"/>
      <c r="B1541" s="1252"/>
      <c r="C1541" s="1255"/>
      <c r="D1541" s="1252"/>
      <c r="E1541" s="1252"/>
      <c r="F1541" s="1252"/>
      <c r="G1541" s="1252"/>
      <c r="H1541" s="1252"/>
      <c r="N1541" s="1562"/>
    </row>
    <row r="1542" spans="1:14" x14ac:dyDescent="0.2">
      <c r="A1542" s="1249"/>
      <c r="B1542" s="1252"/>
      <c r="C1542" s="1255"/>
      <c r="D1542" s="1252"/>
      <c r="E1542" s="1252"/>
      <c r="F1542" s="1252"/>
      <c r="G1542" s="1252"/>
      <c r="H1542" s="1252"/>
      <c r="N1542" s="1562"/>
    </row>
    <row r="1543" spans="1:14" x14ac:dyDescent="0.2">
      <c r="A1543" s="1249"/>
      <c r="B1543" s="1252"/>
      <c r="C1543" s="1255"/>
      <c r="D1543" s="1252"/>
      <c r="E1543" s="1252"/>
      <c r="F1543" s="1252"/>
      <c r="G1543" s="1252"/>
      <c r="H1543" s="1252"/>
      <c r="N1543" s="1562"/>
    </row>
    <row r="1544" spans="1:14" x14ac:dyDescent="0.2">
      <c r="A1544" s="1249"/>
      <c r="B1544" s="1252"/>
      <c r="C1544" s="1255"/>
      <c r="D1544" s="1252"/>
      <c r="E1544" s="1252"/>
      <c r="F1544" s="1252"/>
      <c r="G1544" s="1252"/>
      <c r="H1544" s="1252"/>
      <c r="N1544" s="1562"/>
    </row>
    <row r="1545" spans="1:14" x14ac:dyDescent="0.2">
      <c r="A1545" s="1249"/>
      <c r="B1545" s="1252"/>
      <c r="C1545" s="1255"/>
      <c r="D1545" s="1252"/>
      <c r="E1545" s="1252"/>
      <c r="F1545" s="1252"/>
      <c r="G1545" s="1252"/>
      <c r="H1545" s="1252"/>
      <c r="N1545" s="1562"/>
    </row>
    <row r="1546" spans="1:14" x14ac:dyDescent="0.2">
      <c r="A1546" s="1249"/>
      <c r="B1546" s="1252"/>
      <c r="C1546" s="1255"/>
      <c r="D1546" s="1252"/>
      <c r="E1546" s="1252"/>
      <c r="F1546" s="1252"/>
      <c r="G1546" s="1252"/>
      <c r="H1546" s="1252"/>
      <c r="N1546" s="1562"/>
    </row>
    <row r="1547" spans="1:14" x14ac:dyDescent="0.2">
      <c r="A1547" s="1249"/>
      <c r="B1547" s="1252"/>
      <c r="C1547" s="1255"/>
      <c r="D1547" s="1252"/>
      <c r="E1547" s="1252"/>
      <c r="F1547" s="1252"/>
      <c r="G1547" s="1252"/>
      <c r="H1547" s="1252"/>
      <c r="N1547" s="1562"/>
    </row>
    <row r="1548" spans="1:14" x14ac:dyDescent="0.2">
      <c r="A1548" s="1249"/>
      <c r="B1548" s="1252"/>
      <c r="C1548" s="1255"/>
      <c r="D1548" s="1252"/>
      <c r="E1548" s="1252"/>
      <c r="F1548" s="1252"/>
      <c r="G1548" s="1252"/>
      <c r="H1548" s="1252"/>
      <c r="N1548" s="1562"/>
    </row>
    <row r="1549" spans="1:14" x14ac:dyDescent="0.2">
      <c r="A1549" s="1249"/>
      <c r="B1549" s="1252"/>
      <c r="C1549" s="1255"/>
      <c r="D1549" s="1252"/>
      <c r="E1549" s="1252"/>
      <c r="F1549" s="1252"/>
      <c r="G1549" s="1252"/>
      <c r="H1549" s="1252"/>
      <c r="N1549" s="1562"/>
    </row>
    <row r="1550" spans="1:14" x14ac:dyDescent="0.2">
      <c r="A1550" s="1249"/>
      <c r="B1550" s="1252"/>
      <c r="C1550" s="1255"/>
      <c r="D1550" s="1252"/>
      <c r="E1550" s="1252"/>
      <c r="F1550" s="1252"/>
      <c r="G1550" s="1252"/>
      <c r="H1550" s="1252"/>
      <c r="N1550" s="1562"/>
    </row>
    <row r="1551" spans="1:14" x14ac:dyDescent="0.2">
      <c r="A1551" s="1249"/>
      <c r="B1551" s="1252"/>
      <c r="C1551" s="1255"/>
      <c r="D1551" s="1252"/>
      <c r="E1551" s="1252"/>
      <c r="F1551" s="1252"/>
      <c r="G1551" s="1252"/>
      <c r="H1551" s="1252"/>
      <c r="N1551" s="1562"/>
    </row>
    <row r="1552" spans="1:14" x14ac:dyDescent="0.2">
      <c r="A1552" s="1249"/>
      <c r="B1552" s="1252"/>
      <c r="C1552" s="1255"/>
      <c r="D1552" s="1252"/>
      <c r="E1552" s="1252"/>
      <c r="F1552" s="1252"/>
      <c r="G1552" s="1252"/>
      <c r="H1552" s="1252"/>
      <c r="N1552" s="1562"/>
    </row>
    <row r="1553" spans="1:14" x14ac:dyDescent="0.2">
      <c r="A1553" s="1249"/>
      <c r="B1553" s="1252"/>
      <c r="C1553" s="1255"/>
      <c r="D1553" s="1252"/>
      <c r="E1553" s="1252"/>
      <c r="F1553" s="1252"/>
      <c r="G1553" s="1252"/>
      <c r="H1553" s="1252"/>
      <c r="N1553" s="1562"/>
    </row>
    <row r="1554" spans="1:14" x14ac:dyDescent="0.2">
      <c r="A1554" s="1249"/>
      <c r="B1554" s="1252"/>
      <c r="C1554" s="1255"/>
      <c r="D1554" s="1252"/>
      <c r="E1554" s="1252"/>
      <c r="F1554" s="1252"/>
      <c r="G1554" s="1252"/>
      <c r="H1554" s="1252"/>
      <c r="N1554" s="1562"/>
    </row>
    <row r="1555" spans="1:14" x14ac:dyDescent="0.2">
      <c r="A1555" s="1249"/>
      <c r="B1555" s="1252"/>
      <c r="C1555" s="1255"/>
      <c r="D1555" s="1252"/>
      <c r="E1555" s="1252"/>
      <c r="F1555" s="1252"/>
      <c r="G1555" s="1252"/>
      <c r="H1555" s="1252"/>
      <c r="N1555" s="1562"/>
    </row>
    <row r="1556" spans="1:14" x14ac:dyDescent="0.2">
      <c r="A1556" s="1249"/>
      <c r="B1556" s="1252"/>
      <c r="C1556" s="1255"/>
      <c r="D1556" s="1252"/>
      <c r="E1556" s="1252"/>
      <c r="F1556" s="1252"/>
      <c r="G1556" s="1252"/>
      <c r="H1556" s="1252"/>
      <c r="N1556" s="1562"/>
    </row>
    <row r="1557" spans="1:14" x14ac:dyDescent="0.2">
      <c r="A1557" s="1249"/>
      <c r="B1557" s="1252"/>
      <c r="C1557" s="1255"/>
      <c r="D1557" s="1252"/>
      <c r="E1557" s="1252"/>
      <c r="F1557" s="1252"/>
      <c r="G1557" s="1252"/>
      <c r="H1557" s="1252"/>
      <c r="N1557" s="1562"/>
    </row>
    <row r="1558" spans="1:14" x14ac:dyDescent="0.2">
      <c r="A1558" s="1249"/>
      <c r="B1558" s="1252"/>
      <c r="C1558" s="1255"/>
      <c r="D1558" s="1252"/>
      <c r="E1558" s="1252"/>
      <c r="F1558" s="1252"/>
      <c r="G1558" s="1252"/>
      <c r="H1558" s="1252"/>
      <c r="N1558" s="1562"/>
    </row>
    <row r="1559" spans="1:14" x14ac:dyDescent="0.2">
      <c r="A1559" s="1249"/>
      <c r="B1559" s="1252"/>
      <c r="C1559" s="1255"/>
      <c r="D1559" s="1252"/>
      <c r="E1559" s="1252"/>
      <c r="F1559" s="1252"/>
      <c r="G1559" s="1252"/>
      <c r="H1559" s="1252"/>
      <c r="N1559" s="1562"/>
    </row>
    <row r="1560" spans="1:14" x14ac:dyDescent="0.2">
      <c r="A1560" s="1249"/>
      <c r="B1560" s="1252"/>
      <c r="C1560" s="1255"/>
      <c r="D1560" s="1252"/>
      <c r="E1560" s="1252"/>
      <c r="F1560" s="1252"/>
      <c r="G1560" s="1252"/>
      <c r="H1560" s="1252"/>
      <c r="N1560" s="1562"/>
    </row>
    <row r="1561" spans="1:14" x14ac:dyDescent="0.2">
      <c r="A1561" s="1249"/>
      <c r="B1561" s="1252"/>
      <c r="C1561" s="1255"/>
      <c r="D1561" s="1252"/>
      <c r="E1561" s="1252"/>
      <c r="F1561" s="1252"/>
      <c r="G1561" s="1252"/>
      <c r="H1561" s="1252"/>
      <c r="N1561" s="1562"/>
    </row>
    <row r="1562" spans="1:14" x14ac:dyDescent="0.2">
      <c r="A1562" s="1249"/>
      <c r="B1562" s="1252"/>
      <c r="C1562" s="1255"/>
      <c r="D1562" s="1252"/>
      <c r="E1562" s="1252"/>
      <c r="F1562" s="1252"/>
      <c r="G1562" s="1252"/>
      <c r="H1562" s="1252"/>
      <c r="N1562" s="1562"/>
    </row>
    <row r="1563" spans="1:14" x14ac:dyDescent="0.2">
      <c r="A1563" s="1249"/>
      <c r="B1563" s="1252"/>
      <c r="C1563" s="1255"/>
      <c r="D1563" s="1252"/>
      <c r="E1563" s="1252"/>
      <c r="F1563" s="1252"/>
      <c r="G1563" s="1252"/>
      <c r="H1563" s="1252"/>
      <c r="N1563" s="1562"/>
    </row>
    <row r="1564" spans="1:14" x14ac:dyDescent="0.2">
      <c r="A1564" s="1249"/>
      <c r="B1564" s="1252"/>
      <c r="C1564" s="1255"/>
      <c r="D1564" s="1252"/>
      <c r="E1564" s="1252"/>
      <c r="F1564" s="1252"/>
      <c r="G1564" s="1252"/>
      <c r="H1564" s="1252"/>
      <c r="N1564" s="1562"/>
    </row>
    <row r="1565" spans="1:14" x14ac:dyDescent="0.2">
      <c r="A1565" s="1249"/>
      <c r="B1565" s="1252"/>
      <c r="C1565" s="1255"/>
      <c r="D1565" s="1252"/>
      <c r="E1565" s="1252"/>
      <c r="F1565" s="1252"/>
      <c r="G1565" s="1252"/>
      <c r="H1565" s="1252"/>
      <c r="N1565" s="1562"/>
    </row>
    <row r="1566" spans="1:14" x14ac:dyDescent="0.2">
      <c r="A1566" s="1249"/>
      <c r="B1566" s="1252"/>
      <c r="C1566" s="1255"/>
      <c r="D1566" s="1252"/>
      <c r="E1566" s="1252"/>
      <c r="F1566" s="1252"/>
      <c r="G1566" s="1252"/>
      <c r="H1566" s="1252"/>
      <c r="N1566" s="1562"/>
    </row>
    <row r="1567" spans="1:14" x14ac:dyDescent="0.2">
      <c r="A1567" s="1249"/>
      <c r="B1567" s="1252"/>
      <c r="C1567" s="1255"/>
      <c r="D1567" s="1252"/>
      <c r="E1567" s="1252"/>
      <c r="F1567" s="1252"/>
      <c r="G1567" s="1252"/>
      <c r="H1567" s="1252"/>
      <c r="N1567" s="1562"/>
    </row>
    <row r="1568" spans="1:14" x14ac:dyDescent="0.2">
      <c r="A1568" s="1249"/>
      <c r="B1568" s="1252"/>
      <c r="C1568" s="1255"/>
      <c r="D1568" s="1252"/>
      <c r="E1568" s="1252"/>
      <c r="F1568" s="1252"/>
      <c r="G1568" s="1252"/>
      <c r="H1568" s="1252"/>
      <c r="N1568" s="1562"/>
    </row>
    <row r="1569" spans="1:14" x14ac:dyDescent="0.2">
      <c r="A1569" s="1249"/>
      <c r="B1569" s="1252"/>
      <c r="C1569" s="1255"/>
      <c r="D1569" s="1252"/>
      <c r="E1569" s="1252"/>
      <c r="F1569" s="1252"/>
      <c r="G1569" s="1252"/>
      <c r="H1569" s="1252"/>
      <c r="N1569" s="1562"/>
    </row>
    <row r="1570" spans="1:14" x14ac:dyDescent="0.2">
      <c r="A1570" s="1249"/>
      <c r="B1570" s="1252"/>
      <c r="C1570" s="1255"/>
      <c r="D1570" s="1252"/>
      <c r="E1570" s="1252"/>
      <c r="F1570" s="1252"/>
      <c r="G1570" s="1252"/>
      <c r="H1570" s="1252"/>
      <c r="N1570" s="1562"/>
    </row>
    <row r="1571" spans="1:14" x14ac:dyDescent="0.2">
      <c r="A1571" s="1249"/>
      <c r="B1571" s="1252"/>
      <c r="C1571" s="1255"/>
      <c r="D1571" s="1252"/>
      <c r="E1571" s="1252"/>
      <c r="F1571" s="1252"/>
      <c r="G1571" s="1252"/>
      <c r="H1571" s="1252"/>
      <c r="N1571" s="1562"/>
    </row>
    <row r="1572" spans="1:14" x14ac:dyDescent="0.2">
      <c r="A1572" s="1249"/>
      <c r="B1572" s="1252"/>
      <c r="C1572" s="1255"/>
      <c r="D1572" s="1252"/>
      <c r="E1572" s="1252"/>
      <c r="F1572" s="1252"/>
      <c r="G1572" s="1252"/>
      <c r="H1572" s="1252"/>
      <c r="N1572" s="1562"/>
    </row>
    <row r="1573" spans="1:14" x14ac:dyDescent="0.2">
      <c r="A1573" s="1249"/>
      <c r="B1573" s="1252"/>
      <c r="C1573" s="1255"/>
      <c r="D1573" s="1252"/>
      <c r="E1573" s="1252"/>
      <c r="F1573" s="1252"/>
      <c r="G1573" s="1252"/>
      <c r="H1573" s="1252"/>
      <c r="N1573" s="1562"/>
    </row>
    <row r="1574" spans="1:14" x14ac:dyDescent="0.2">
      <c r="A1574" s="1249"/>
      <c r="B1574" s="1252"/>
      <c r="C1574" s="1255"/>
      <c r="D1574" s="1252"/>
      <c r="E1574" s="1252"/>
      <c r="F1574" s="1252"/>
      <c r="G1574" s="1252"/>
      <c r="H1574" s="1252"/>
      <c r="N1574" s="1562"/>
    </row>
    <row r="1575" spans="1:14" x14ac:dyDescent="0.2">
      <c r="A1575" s="1249"/>
      <c r="B1575" s="1252"/>
      <c r="C1575" s="1255"/>
      <c r="D1575" s="1252"/>
      <c r="E1575" s="1252"/>
      <c r="F1575" s="1252"/>
      <c r="G1575" s="1252"/>
      <c r="H1575" s="1252"/>
      <c r="N1575" s="1562"/>
    </row>
    <row r="1576" spans="1:14" x14ac:dyDescent="0.2">
      <c r="A1576" s="1249"/>
      <c r="B1576" s="1252"/>
      <c r="C1576" s="1255"/>
      <c r="D1576" s="1252"/>
      <c r="E1576" s="1252"/>
      <c r="F1576" s="1252"/>
      <c r="G1576" s="1252"/>
      <c r="H1576" s="1252"/>
      <c r="N1576" s="1562"/>
    </row>
    <row r="1577" spans="1:14" x14ac:dyDescent="0.2">
      <c r="A1577" s="1249"/>
      <c r="B1577" s="1252"/>
      <c r="C1577" s="1255"/>
      <c r="D1577" s="1252"/>
      <c r="E1577" s="1252"/>
      <c r="F1577" s="1252"/>
      <c r="G1577" s="1252"/>
      <c r="H1577" s="1252"/>
      <c r="N1577" s="1562"/>
    </row>
    <row r="1578" spans="1:14" x14ac:dyDescent="0.2">
      <c r="A1578" s="1249"/>
      <c r="B1578" s="1252"/>
      <c r="C1578" s="1255"/>
      <c r="D1578" s="1252"/>
      <c r="E1578" s="1252"/>
      <c r="F1578" s="1252"/>
      <c r="G1578" s="1252"/>
      <c r="H1578" s="1252"/>
      <c r="N1578" s="1562"/>
    </row>
    <row r="1579" spans="1:14" x14ac:dyDescent="0.2">
      <c r="A1579" s="1249"/>
      <c r="B1579" s="1252"/>
      <c r="C1579" s="1255"/>
      <c r="D1579" s="1252"/>
      <c r="E1579" s="1252"/>
      <c r="F1579" s="1252"/>
      <c r="G1579" s="1252"/>
      <c r="H1579" s="1252"/>
      <c r="N1579" s="1562"/>
    </row>
    <row r="1580" spans="1:14" x14ac:dyDescent="0.2">
      <c r="A1580" s="1249"/>
      <c r="B1580" s="1252"/>
      <c r="C1580" s="1255"/>
      <c r="D1580" s="1252"/>
      <c r="E1580" s="1252"/>
      <c r="F1580" s="1252"/>
      <c r="G1580" s="1252"/>
      <c r="H1580" s="1252"/>
      <c r="N1580" s="1562"/>
    </row>
    <row r="1581" spans="1:14" x14ac:dyDescent="0.2">
      <c r="A1581" s="1249"/>
      <c r="B1581" s="1252"/>
      <c r="C1581" s="1255"/>
      <c r="D1581" s="1252"/>
      <c r="E1581" s="1252"/>
      <c r="F1581" s="1252"/>
      <c r="G1581" s="1252"/>
      <c r="H1581" s="1252"/>
      <c r="N1581" s="1562"/>
    </row>
    <row r="1582" spans="1:14" x14ac:dyDescent="0.2">
      <c r="A1582" s="1249"/>
      <c r="B1582" s="1252"/>
      <c r="C1582" s="1255"/>
      <c r="D1582" s="1252"/>
      <c r="E1582" s="1252"/>
      <c r="F1582" s="1252"/>
      <c r="G1582" s="1252"/>
      <c r="H1582" s="1252"/>
      <c r="N1582" s="1562"/>
    </row>
    <row r="1583" spans="1:14" x14ac:dyDescent="0.2">
      <c r="A1583" s="1249"/>
      <c r="B1583" s="1252"/>
      <c r="C1583" s="1255"/>
      <c r="D1583" s="1252"/>
      <c r="E1583" s="1252"/>
      <c r="F1583" s="1252"/>
      <c r="G1583" s="1252"/>
      <c r="H1583" s="1252"/>
      <c r="N1583" s="1562"/>
    </row>
    <row r="1584" spans="1:14" x14ac:dyDescent="0.2">
      <c r="A1584" s="1249"/>
      <c r="B1584" s="1252"/>
      <c r="C1584" s="1255"/>
      <c r="D1584" s="1252"/>
      <c r="E1584" s="1252"/>
      <c r="F1584" s="1252"/>
      <c r="G1584" s="1252"/>
      <c r="H1584" s="1252"/>
      <c r="N1584" s="1562"/>
    </row>
    <row r="1585" spans="1:14" x14ac:dyDescent="0.2">
      <c r="A1585" s="1249"/>
      <c r="B1585" s="1252"/>
      <c r="C1585" s="1255"/>
      <c r="D1585" s="1252"/>
      <c r="E1585" s="1252"/>
      <c r="F1585" s="1252"/>
      <c r="G1585" s="1252"/>
      <c r="H1585" s="1252"/>
      <c r="N1585" s="1562"/>
    </row>
    <row r="1586" spans="1:14" x14ac:dyDescent="0.2">
      <c r="A1586" s="1249"/>
      <c r="B1586" s="1252"/>
      <c r="C1586" s="1255"/>
      <c r="D1586" s="1252"/>
      <c r="E1586" s="1252"/>
      <c r="F1586" s="1252"/>
      <c r="G1586" s="1252"/>
      <c r="H1586" s="1252"/>
      <c r="N1586" s="1562"/>
    </row>
    <row r="1587" spans="1:14" x14ac:dyDescent="0.2">
      <c r="A1587" s="1249"/>
      <c r="B1587" s="1252"/>
      <c r="C1587" s="1255"/>
      <c r="D1587" s="1252"/>
      <c r="E1587" s="1252"/>
      <c r="F1587" s="1252"/>
      <c r="G1587" s="1252"/>
      <c r="H1587" s="1252"/>
      <c r="N1587" s="1562"/>
    </row>
    <row r="1588" spans="1:14" x14ac:dyDescent="0.2">
      <c r="A1588" s="1249"/>
      <c r="B1588" s="1252"/>
      <c r="C1588" s="1255"/>
      <c r="D1588" s="1252"/>
      <c r="E1588" s="1252"/>
      <c r="F1588" s="1252"/>
      <c r="G1588" s="1252"/>
      <c r="H1588" s="1252"/>
      <c r="N1588" s="1562"/>
    </row>
    <row r="1589" spans="1:14" x14ac:dyDescent="0.2">
      <c r="A1589" s="1249"/>
      <c r="B1589" s="1252"/>
      <c r="C1589" s="1255"/>
      <c r="D1589" s="1252"/>
      <c r="E1589" s="1252"/>
      <c r="F1589" s="1252"/>
      <c r="G1589" s="1252"/>
      <c r="H1589" s="1252"/>
      <c r="N1589" s="1562"/>
    </row>
    <row r="1590" spans="1:14" x14ac:dyDescent="0.2">
      <c r="A1590" s="1249"/>
      <c r="B1590" s="1252"/>
      <c r="C1590" s="1255"/>
      <c r="D1590" s="1252"/>
      <c r="E1590" s="1252"/>
      <c r="F1590" s="1252"/>
      <c r="G1590" s="1252"/>
      <c r="H1590" s="1252"/>
      <c r="N1590" s="1562"/>
    </row>
    <row r="1591" spans="1:14" x14ac:dyDescent="0.2">
      <c r="A1591" s="1249"/>
      <c r="B1591" s="1252"/>
      <c r="C1591" s="1255"/>
      <c r="D1591" s="1252"/>
      <c r="E1591" s="1252"/>
      <c r="F1591" s="1252"/>
      <c r="G1591" s="1252"/>
      <c r="H1591" s="1252"/>
      <c r="N1591" s="1562"/>
    </row>
    <row r="1592" spans="1:14" x14ac:dyDescent="0.2">
      <c r="A1592" s="1249"/>
      <c r="B1592" s="1252"/>
      <c r="C1592" s="1255"/>
      <c r="D1592" s="1252"/>
      <c r="E1592" s="1252"/>
      <c r="F1592" s="1252"/>
      <c r="G1592" s="1252"/>
      <c r="H1592" s="1252"/>
      <c r="N1592" s="1562"/>
    </row>
    <row r="1593" spans="1:14" x14ac:dyDescent="0.2">
      <c r="A1593" s="1249"/>
      <c r="B1593" s="1252"/>
      <c r="C1593" s="1255"/>
      <c r="D1593" s="1252"/>
      <c r="E1593" s="1252"/>
      <c r="F1593" s="1252"/>
      <c r="G1593" s="1252"/>
      <c r="H1593" s="1252"/>
      <c r="N1593" s="1562"/>
    </row>
    <row r="1594" spans="1:14" x14ac:dyDescent="0.2">
      <c r="A1594" s="1249"/>
      <c r="B1594" s="1252"/>
      <c r="C1594" s="1255"/>
      <c r="D1594" s="1252"/>
      <c r="E1594" s="1252"/>
      <c r="F1594" s="1252"/>
      <c r="G1594" s="1252"/>
      <c r="H1594" s="1252"/>
      <c r="N1594" s="1562"/>
    </row>
    <row r="1595" spans="1:14" x14ac:dyDescent="0.2">
      <c r="A1595" s="1249"/>
      <c r="B1595" s="1252"/>
      <c r="C1595" s="1255"/>
      <c r="D1595" s="1252"/>
      <c r="E1595" s="1252"/>
      <c r="F1595" s="1252"/>
      <c r="G1595" s="1252"/>
      <c r="H1595" s="1252"/>
      <c r="N1595" s="1562"/>
    </row>
    <row r="1596" spans="1:14" x14ac:dyDescent="0.2">
      <c r="A1596" s="1249"/>
      <c r="B1596" s="1252"/>
      <c r="C1596" s="1255"/>
      <c r="D1596" s="1252"/>
      <c r="E1596" s="1252"/>
      <c r="F1596" s="1252"/>
      <c r="G1596" s="1252"/>
      <c r="H1596" s="1252"/>
      <c r="N1596" s="1562"/>
    </row>
    <row r="1597" spans="1:14" x14ac:dyDescent="0.2">
      <c r="A1597" s="1249"/>
      <c r="B1597" s="1252"/>
      <c r="C1597" s="1255"/>
      <c r="D1597" s="1252"/>
      <c r="E1597" s="1252"/>
      <c r="F1597" s="1252"/>
      <c r="G1597" s="1252"/>
      <c r="H1597" s="1252"/>
      <c r="N1597" s="1562"/>
    </row>
    <row r="1598" spans="1:14" x14ac:dyDescent="0.2">
      <c r="A1598" s="1249"/>
      <c r="B1598" s="1252"/>
      <c r="C1598" s="1255"/>
      <c r="D1598" s="1252"/>
      <c r="E1598" s="1252"/>
      <c r="F1598" s="1252"/>
      <c r="G1598" s="1252"/>
      <c r="H1598" s="1252"/>
      <c r="N1598" s="1562"/>
    </row>
    <row r="1599" spans="1:14" x14ac:dyDescent="0.2">
      <c r="A1599" s="1249"/>
      <c r="B1599" s="1252"/>
      <c r="C1599" s="1255"/>
      <c r="D1599" s="1252"/>
      <c r="E1599" s="1252"/>
      <c r="F1599" s="1252"/>
      <c r="G1599" s="1252"/>
      <c r="H1599" s="1252"/>
      <c r="N1599" s="1562"/>
    </row>
    <row r="1600" spans="1:14" x14ac:dyDescent="0.2">
      <c r="A1600" s="1249"/>
      <c r="B1600" s="1252"/>
      <c r="C1600" s="1255"/>
      <c r="D1600" s="1252"/>
      <c r="E1600" s="1252"/>
      <c r="F1600" s="1252"/>
      <c r="G1600" s="1252"/>
      <c r="H1600" s="1252"/>
      <c r="N1600" s="1562"/>
    </row>
    <row r="1601" spans="1:14" x14ac:dyDescent="0.2">
      <c r="A1601" s="1249"/>
      <c r="B1601" s="1252"/>
      <c r="C1601" s="1255"/>
      <c r="D1601" s="1252"/>
      <c r="E1601" s="1252"/>
      <c r="F1601" s="1252"/>
      <c r="G1601" s="1252"/>
      <c r="H1601" s="1252"/>
      <c r="N1601" s="1562"/>
    </row>
    <row r="1602" spans="1:14" x14ac:dyDescent="0.2">
      <c r="A1602" s="1249"/>
      <c r="B1602" s="1252"/>
      <c r="C1602" s="1255"/>
      <c r="D1602" s="1252"/>
      <c r="E1602" s="1252"/>
      <c r="F1602" s="1252"/>
      <c r="G1602" s="1252"/>
      <c r="H1602" s="1252"/>
      <c r="N1602" s="1562"/>
    </row>
    <row r="1603" spans="1:14" x14ac:dyDescent="0.2">
      <c r="A1603" s="1249"/>
      <c r="B1603" s="1252"/>
      <c r="C1603" s="1255"/>
      <c r="D1603" s="1252"/>
      <c r="E1603" s="1252"/>
      <c r="F1603" s="1252"/>
      <c r="G1603" s="1252"/>
      <c r="H1603" s="1252"/>
      <c r="N1603" s="1562"/>
    </row>
    <row r="1604" spans="1:14" x14ac:dyDescent="0.2">
      <c r="A1604" s="1249"/>
      <c r="B1604" s="1252"/>
      <c r="C1604" s="1255"/>
      <c r="D1604" s="1252"/>
      <c r="E1604" s="1252"/>
      <c r="F1604" s="1252"/>
      <c r="G1604" s="1252"/>
      <c r="H1604" s="1252"/>
      <c r="N1604" s="1562"/>
    </row>
    <row r="1605" spans="1:14" x14ac:dyDescent="0.2">
      <c r="A1605" s="1249"/>
      <c r="B1605" s="1252"/>
      <c r="C1605" s="1255"/>
      <c r="D1605" s="1252"/>
      <c r="E1605" s="1252"/>
      <c r="F1605" s="1252"/>
      <c r="G1605" s="1252"/>
      <c r="H1605" s="1252"/>
      <c r="N1605" s="1562"/>
    </row>
    <row r="1606" spans="1:14" x14ac:dyDescent="0.2">
      <c r="A1606" s="1249"/>
      <c r="B1606" s="1252"/>
      <c r="C1606" s="1255"/>
      <c r="D1606" s="1252"/>
      <c r="E1606" s="1252"/>
      <c r="F1606" s="1252"/>
      <c r="G1606" s="1252"/>
      <c r="H1606" s="1252"/>
      <c r="N1606" s="1562"/>
    </row>
    <row r="1607" spans="1:14" x14ac:dyDescent="0.2">
      <c r="A1607" s="1249"/>
      <c r="B1607" s="1252"/>
      <c r="C1607" s="1255"/>
      <c r="D1607" s="1252"/>
      <c r="E1607" s="1252"/>
      <c r="F1607" s="1252"/>
      <c r="G1607" s="1252"/>
      <c r="H1607" s="1252"/>
      <c r="N1607" s="1562"/>
    </row>
    <row r="1608" spans="1:14" x14ac:dyDescent="0.2">
      <c r="A1608" s="1249"/>
      <c r="B1608" s="1252"/>
      <c r="C1608" s="1255"/>
      <c r="D1608" s="1252"/>
      <c r="E1608" s="1252"/>
      <c r="F1608" s="1252"/>
      <c r="G1608" s="1252"/>
      <c r="H1608" s="1252"/>
      <c r="N1608" s="1562"/>
    </row>
    <row r="1609" spans="1:14" x14ac:dyDescent="0.2">
      <c r="A1609" s="1249"/>
      <c r="B1609" s="1252"/>
      <c r="C1609" s="1255"/>
      <c r="D1609" s="1252"/>
      <c r="E1609" s="1252"/>
      <c r="F1609" s="1252"/>
      <c r="G1609" s="1252"/>
      <c r="H1609" s="1252"/>
      <c r="N1609" s="1562"/>
    </row>
    <row r="1610" spans="1:14" x14ac:dyDescent="0.2">
      <c r="A1610" s="1249"/>
      <c r="B1610" s="1252"/>
      <c r="C1610" s="1255"/>
      <c r="D1610" s="1252"/>
      <c r="E1610" s="1252"/>
      <c r="F1610" s="1252"/>
      <c r="G1610" s="1252"/>
      <c r="H1610" s="1252"/>
      <c r="N1610" s="1562"/>
    </row>
    <row r="1611" spans="1:14" x14ac:dyDescent="0.2">
      <c r="A1611" s="1249"/>
      <c r="B1611" s="1252"/>
      <c r="C1611" s="1255"/>
      <c r="D1611" s="1252"/>
      <c r="E1611" s="1252"/>
      <c r="F1611" s="1252"/>
      <c r="G1611" s="1252"/>
      <c r="H1611" s="1252"/>
      <c r="N1611" s="1562"/>
    </row>
    <row r="1612" spans="1:14" x14ac:dyDescent="0.2">
      <c r="A1612" s="1249"/>
      <c r="B1612" s="1252"/>
      <c r="C1612" s="1255"/>
      <c r="D1612" s="1252"/>
      <c r="E1612" s="1252"/>
      <c r="F1612" s="1252"/>
      <c r="G1612" s="1252"/>
      <c r="H1612" s="1252"/>
      <c r="N1612" s="1562"/>
    </row>
    <row r="1613" spans="1:14" x14ac:dyDescent="0.2">
      <c r="A1613" s="1249"/>
      <c r="B1613" s="1252"/>
      <c r="C1613" s="1255"/>
      <c r="D1613" s="1252"/>
      <c r="E1613" s="1252"/>
      <c r="F1613" s="1252"/>
      <c r="G1613" s="1252"/>
      <c r="H1613" s="1252"/>
      <c r="N1613" s="1562"/>
    </row>
    <row r="1614" spans="1:14" x14ac:dyDescent="0.2">
      <c r="A1614" s="1249"/>
      <c r="B1614" s="1252"/>
      <c r="C1614" s="1255"/>
      <c r="D1614" s="1252"/>
      <c r="E1614" s="1252"/>
      <c r="F1614" s="1252"/>
      <c r="G1614" s="1252"/>
      <c r="H1614" s="1252"/>
      <c r="N1614" s="1562"/>
    </row>
    <row r="1615" spans="1:14" x14ac:dyDescent="0.2">
      <c r="A1615" s="1249"/>
      <c r="B1615" s="1252"/>
      <c r="C1615" s="1255"/>
      <c r="D1615" s="1252"/>
      <c r="E1615" s="1252"/>
      <c r="F1615" s="1252"/>
      <c r="G1615" s="1252"/>
      <c r="H1615" s="1252"/>
      <c r="N1615" s="1562"/>
    </row>
    <row r="1616" spans="1:14" x14ac:dyDescent="0.2">
      <c r="A1616" s="1249"/>
      <c r="B1616" s="1252"/>
      <c r="C1616" s="1255"/>
      <c r="D1616" s="1252"/>
      <c r="E1616" s="1252"/>
      <c r="F1616" s="1252"/>
      <c r="G1616" s="1252"/>
      <c r="H1616" s="1252"/>
      <c r="N1616" s="1562"/>
    </row>
    <row r="1617" spans="1:14" x14ac:dyDescent="0.2">
      <c r="A1617" s="1249"/>
      <c r="B1617" s="1252"/>
      <c r="C1617" s="1255"/>
      <c r="D1617" s="1252"/>
      <c r="E1617" s="1252"/>
      <c r="F1617" s="1252"/>
      <c r="G1617" s="1252"/>
      <c r="H1617" s="1252"/>
      <c r="N1617" s="1562"/>
    </row>
    <row r="1618" spans="1:14" x14ac:dyDescent="0.2">
      <c r="A1618" s="1249"/>
      <c r="B1618" s="1252"/>
      <c r="C1618" s="1255"/>
      <c r="D1618" s="1252"/>
      <c r="E1618" s="1252"/>
      <c r="F1618" s="1252"/>
      <c r="G1618" s="1252"/>
      <c r="H1618" s="1252"/>
      <c r="N1618" s="1562"/>
    </row>
    <row r="1619" spans="1:14" x14ac:dyDescent="0.2">
      <c r="A1619" s="1249"/>
      <c r="B1619" s="1252"/>
      <c r="C1619" s="1255"/>
      <c r="D1619" s="1252"/>
      <c r="E1619" s="1252"/>
      <c r="F1619" s="1252"/>
      <c r="G1619" s="1252"/>
      <c r="H1619" s="1252"/>
      <c r="N1619" s="1562"/>
    </row>
    <row r="1620" spans="1:14" x14ac:dyDescent="0.2">
      <c r="A1620" s="1249"/>
      <c r="B1620" s="1252"/>
      <c r="C1620" s="1255"/>
      <c r="D1620" s="1252"/>
      <c r="E1620" s="1252"/>
      <c r="F1620" s="1252"/>
      <c r="G1620" s="1252"/>
      <c r="H1620" s="1252"/>
      <c r="N1620" s="1562"/>
    </row>
    <row r="1621" spans="1:14" x14ac:dyDescent="0.2">
      <c r="A1621" s="1249"/>
      <c r="B1621" s="1252"/>
      <c r="C1621" s="1255"/>
      <c r="D1621" s="1252"/>
      <c r="E1621" s="1252"/>
      <c r="F1621" s="1252"/>
      <c r="G1621" s="1252"/>
      <c r="H1621" s="1252"/>
      <c r="N1621" s="1562"/>
    </row>
    <row r="1622" spans="1:14" x14ac:dyDescent="0.2">
      <c r="A1622" s="1249"/>
      <c r="B1622" s="1252"/>
      <c r="C1622" s="1255"/>
      <c r="D1622" s="1252"/>
      <c r="E1622" s="1252"/>
      <c r="F1622" s="1252"/>
      <c r="G1622" s="1252"/>
      <c r="H1622" s="1252"/>
      <c r="N1622" s="1562"/>
    </row>
    <row r="1623" spans="1:14" x14ac:dyDescent="0.2">
      <c r="A1623" s="1249"/>
      <c r="B1623" s="1252"/>
      <c r="C1623" s="1255"/>
      <c r="D1623" s="1252"/>
      <c r="E1623" s="1252"/>
      <c r="F1623" s="1252"/>
      <c r="G1623" s="1252"/>
      <c r="H1623" s="1252"/>
      <c r="N1623" s="1562"/>
    </row>
    <row r="1624" spans="1:14" x14ac:dyDescent="0.2">
      <c r="A1624" s="1249"/>
      <c r="B1624" s="1252"/>
      <c r="C1624" s="1255"/>
      <c r="D1624" s="1252"/>
      <c r="E1624" s="1252"/>
      <c r="F1624" s="1252"/>
      <c r="G1624" s="1252"/>
      <c r="H1624" s="1252"/>
      <c r="N1624" s="1562"/>
    </row>
    <row r="1625" spans="1:14" x14ac:dyDescent="0.2">
      <c r="A1625" s="1249"/>
      <c r="B1625" s="1252"/>
      <c r="C1625" s="1255"/>
      <c r="D1625" s="1252"/>
      <c r="E1625" s="1252"/>
      <c r="F1625" s="1252"/>
      <c r="G1625" s="1252"/>
      <c r="H1625" s="1252"/>
      <c r="N1625" s="1562"/>
    </row>
    <row r="1626" spans="1:14" x14ac:dyDescent="0.2">
      <c r="A1626" s="1249"/>
      <c r="B1626" s="1252"/>
      <c r="C1626" s="1255"/>
      <c r="D1626" s="1252"/>
      <c r="E1626" s="1252"/>
      <c r="F1626" s="1252"/>
      <c r="G1626" s="1252"/>
      <c r="H1626" s="1252"/>
      <c r="N1626" s="1562"/>
    </row>
    <row r="1627" spans="1:14" x14ac:dyDescent="0.2">
      <c r="A1627" s="1249"/>
      <c r="B1627" s="1252"/>
      <c r="C1627" s="1255"/>
      <c r="D1627" s="1252"/>
      <c r="E1627" s="1252"/>
      <c r="F1627" s="1252"/>
      <c r="G1627" s="1252"/>
      <c r="H1627" s="1252"/>
      <c r="N1627" s="1562"/>
    </row>
    <row r="1628" spans="1:14" x14ac:dyDescent="0.2">
      <c r="A1628" s="1249"/>
      <c r="B1628" s="1252"/>
      <c r="C1628" s="1255"/>
      <c r="D1628" s="1252"/>
      <c r="E1628" s="1252"/>
      <c r="F1628" s="1252"/>
      <c r="G1628" s="1252"/>
      <c r="H1628" s="1252"/>
      <c r="N1628" s="1562"/>
    </row>
    <row r="1629" spans="1:14" x14ac:dyDescent="0.2">
      <c r="A1629" s="1249"/>
      <c r="B1629" s="1252"/>
      <c r="C1629" s="1255"/>
      <c r="D1629" s="1252"/>
      <c r="E1629" s="1252"/>
      <c r="F1629" s="1252"/>
      <c r="G1629" s="1252"/>
      <c r="H1629" s="1252"/>
      <c r="N1629" s="1562"/>
    </row>
    <row r="1630" spans="1:14" x14ac:dyDescent="0.2">
      <c r="A1630" s="1249"/>
      <c r="B1630" s="1252"/>
      <c r="C1630" s="1255"/>
      <c r="D1630" s="1252"/>
      <c r="E1630" s="1252"/>
      <c r="F1630" s="1252"/>
      <c r="G1630" s="1252"/>
      <c r="H1630" s="1252"/>
      <c r="N1630" s="1562"/>
    </row>
    <row r="1631" spans="1:14" x14ac:dyDescent="0.2">
      <c r="A1631" s="1249"/>
      <c r="B1631" s="1252"/>
      <c r="C1631" s="1255"/>
      <c r="D1631" s="1252"/>
      <c r="E1631" s="1252"/>
      <c r="F1631" s="1252"/>
      <c r="G1631" s="1252"/>
      <c r="H1631" s="1252"/>
      <c r="N1631" s="1562"/>
    </row>
    <row r="1632" spans="1:14" x14ac:dyDescent="0.2">
      <c r="A1632" s="1249"/>
      <c r="B1632" s="1252"/>
      <c r="C1632" s="1255"/>
      <c r="D1632" s="1252"/>
      <c r="E1632" s="1252"/>
      <c r="F1632" s="1252"/>
      <c r="G1632" s="1252"/>
      <c r="H1632" s="1252"/>
      <c r="N1632" s="1562"/>
    </row>
    <row r="1633" spans="1:14" x14ac:dyDescent="0.2">
      <c r="A1633" s="1249"/>
      <c r="B1633" s="1252"/>
      <c r="C1633" s="1255"/>
      <c r="D1633" s="1252"/>
      <c r="E1633" s="1252"/>
      <c r="F1633" s="1252"/>
      <c r="G1633" s="1252"/>
      <c r="H1633" s="1252"/>
      <c r="N1633" s="1562"/>
    </row>
    <row r="1634" spans="1:14" x14ac:dyDescent="0.2">
      <c r="A1634" s="1249"/>
      <c r="B1634" s="1252"/>
      <c r="C1634" s="1255"/>
      <c r="D1634" s="1252"/>
      <c r="E1634" s="1252"/>
      <c r="F1634" s="1252"/>
      <c r="G1634" s="1252"/>
      <c r="H1634" s="1252"/>
      <c r="N1634" s="1562"/>
    </row>
    <row r="1635" spans="1:14" x14ac:dyDescent="0.2">
      <c r="A1635" s="1249"/>
      <c r="B1635" s="1252"/>
      <c r="C1635" s="1255"/>
      <c r="D1635" s="1252"/>
      <c r="E1635" s="1252"/>
      <c r="F1635" s="1252"/>
      <c r="G1635" s="1252"/>
      <c r="H1635" s="1252"/>
      <c r="N1635" s="1562"/>
    </row>
    <row r="1636" spans="1:14" x14ac:dyDescent="0.2">
      <c r="A1636" s="1249"/>
      <c r="B1636" s="1252"/>
      <c r="C1636" s="1255"/>
      <c r="D1636" s="1252"/>
      <c r="E1636" s="1252"/>
      <c r="F1636" s="1252"/>
      <c r="G1636" s="1252"/>
      <c r="H1636" s="1252"/>
      <c r="N1636" s="1562"/>
    </row>
    <row r="1637" spans="1:14" x14ac:dyDescent="0.2">
      <c r="A1637" s="1249"/>
      <c r="B1637" s="1252"/>
      <c r="C1637" s="1255"/>
      <c r="D1637" s="1252"/>
      <c r="E1637" s="1252"/>
      <c r="F1637" s="1252"/>
      <c r="G1637" s="1252"/>
      <c r="H1637" s="1252"/>
      <c r="N1637" s="1562"/>
    </row>
    <row r="1638" spans="1:14" x14ac:dyDescent="0.2">
      <c r="A1638" s="1249"/>
      <c r="B1638" s="1252"/>
      <c r="C1638" s="1255"/>
      <c r="D1638" s="1252"/>
      <c r="E1638" s="1252"/>
      <c r="F1638" s="1252"/>
      <c r="G1638" s="1252"/>
      <c r="H1638" s="1252"/>
      <c r="N1638" s="1562"/>
    </row>
    <row r="1639" spans="1:14" x14ac:dyDescent="0.2">
      <c r="A1639" s="1249"/>
      <c r="B1639" s="1252"/>
      <c r="C1639" s="1255"/>
      <c r="D1639" s="1252"/>
      <c r="E1639" s="1252"/>
      <c r="F1639" s="1252"/>
      <c r="G1639" s="1252"/>
      <c r="H1639" s="1252"/>
      <c r="N1639" s="1562"/>
    </row>
    <row r="1640" spans="1:14" x14ac:dyDescent="0.2">
      <c r="A1640" s="1249"/>
      <c r="B1640" s="1252"/>
      <c r="C1640" s="1255"/>
      <c r="D1640" s="1252"/>
      <c r="E1640" s="1252"/>
      <c r="F1640" s="1252"/>
      <c r="G1640" s="1252"/>
      <c r="H1640" s="1252"/>
      <c r="N1640" s="1562"/>
    </row>
    <row r="1641" spans="1:14" x14ac:dyDescent="0.2">
      <c r="A1641" s="1249"/>
      <c r="B1641" s="1252"/>
      <c r="C1641" s="1255"/>
      <c r="D1641" s="1252"/>
      <c r="E1641" s="1252"/>
      <c r="F1641" s="1252"/>
      <c r="G1641" s="1252"/>
      <c r="H1641" s="1252"/>
      <c r="N1641" s="1562"/>
    </row>
    <row r="1642" spans="1:14" x14ac:dyDescent="0.2">
      <c r="A1642" s="1249"/>
      <c r="B1642" s="1252"/>
      <c r="C1642" s="1255"/>
      <c r="D1642" s="1252"/>
      <c r="E1642" s="1252"/>
      <c r="F1642" s="1252"/>
      <c r="G1642" s="1252"/>
      <c r="H1642" s="1252"/>
      <c r="N1642" s="1562"/>
    </row>
    <row r="1643" spans="1:14" x14ac:dyDescent="0.2">
      <c r="A1643" s="1249"/>
      <c r="B1643" s="1252"/>
      <c r="C1643" s="1255"/>
      <c r="D1643" s="1252"/>
      <c r="E1643" s="1252"/>
      <c r="F1643" s="1252"/>
      <c r="G1643" s="1252"/>
      <c r="H1643" s="1252"/>
      <c r="N1643" s="1562"/>
    </row>
    <row r="1644" spans="1:14" x14ac:dyDescent="0.2">
      <c r="A1644" s="1249"/>
      <c r="B1644" s="1252"/>
      <c r="C1644" s="1255"/>
      <c r="D1644" s="1252"/>
      <c r="E1644" s="1252"/>
      <c r="F1644" s="1252"/>
      <c r="G1644" s="1252"/>
      <c r="H1644" s="1252"/>
      <c r="N1644" s="1562"/>
    </row>
    <row r="1645" spans="1:14" x14ac:dyDescent="0.2">
      <c r="A1645" s="1249"/>
      <c r="B1645" s="1252"/>
      <c r="C1645" s="1255"/>
      <c r="D1645" s="1252"/>
      <c r="E1645" s="1252"/>
      <c r="F1645" s="1252"/>
      <c r="G1645" s="1252"/>
      <c r="H1645" s="1252"/>
      <c r="N1645" s="1562"/>
    </row>
    <row r="1646" spans="1:14" x14ac:dyDescent="0.2">
      <c r="A1646" s="1249"/>
      <c r="B1646" s="1252"/>
      <c r="C1646" s="1255"/>
      <c r="D1646" s="1252"/>
      <c r="E1646" s="1252"/>
      <c r="F1646" s="1252"/>
      <c r="G1646" s="1252"/>
      <c r="H1646" s="1252"/>
      <c r="N1646" s="1562"/>
    </row>
    <row r="1647" spans="1:14" x14ac:dyDescent="0.2">
      <c r="A1647" s="1249"/>
      <c r="B1647" s="1252"/>
      <c r="C1647" s="1255"/>
      <c r="D1647" s="1252"/>
      <c r="E1647" s="1252"/>
      <c r="F1647" s="1252"/>
      <c r="G1647" s="1252"/>
      <c r="H1647" s="1252"/>
      <c r="N1647" s="1562"/>
    </row>
    <row r="1648" spans="1:14" x14ac:dyDescent="0.2">
      <c r="A1648" s="1249"/>
      <c r="B1648" s="1252"/>
      <c r="C1648" s="1255"/>
      <c r="D1648" s="1252"/>
      <c r="E1648" s="1252"/>
      <c r="F1648" s="1252"/>
      <c r="G1648" s="1252"/>
      <c r="H1648" s="1252"/>
      <c r="N1648" s="1562"/>
    </row>
    <row r="1649" spans="1:14" x14ac:dyDescent="0.2">
      <c r="A1649" s="1249"/>
      <c r="B1649" s="1252"/>
      <c r="C1649" s="1255"/>
      <c r="D1649" s="1252"/>
      <c r="E1649" s="1252"/>
      <c r="F1649" s="1252"/>
      <c r="G1649" s="1252"/>
      <c r="H1649" s="1252"/>
      <c r="N1649" s="1562"/>
    </row>
    <row r="1650" spans="1:14" x14ac:dyDescent="0.2">
      <c r="A1650" s="1249"/>
      <c r="B1650" s="1252"/>
      <c r="C1650" s="1255"/>
      <c r="D1650" s="1252"/>
      <c r="E1650" s="1252"/>
      <c r="F1650" s="1252"/>
      <c r="G1650" s="1252"/>
      <c r="H1650" s="1252"/>
      <c r="N1650" s="1562"/>
    </row>
    <row r="1651" spans="1:14" x14ac:dyDescent="0.2">
      <c r="A1651" s="1249"/>
      <c r="B1651" s="1252"/>
      <c r="C1651" s="1255"/>
      <c r="D1651" s="1252"/>
      <c r="E1651" s="1252"/>
      <c r="F1651" s="1252"/>
      <c r="G1651" s="1252"/>
      <c r="H1651" s="1252"/>
      <c r="N1651" s="1562"/>
    </row>
    <row r="1652" spans="1:14" x14ac:dyDescent="0.2">
      <c r="A1652" s="1249"/>
      <c r="B1652" s="1252"/>
      <c r="C1652" s="1255"/>
      <c r="D1652" s="1252"/>
      <c r="E1652" s="1252"/>
      <c r="F1652" s="1252"/>
      <c r="G1652" s="1252"/>
      <c r="H1652" s="1252"/>
      <c r="N1652" s="1562"/>
    </row>
    <row r="1653" spans="1:14" x14ac:dyDescent="0.2">
      <c r="A1653" s="1249"/>
      <c r="B1653" s="1252"/>
      <c r="C1653" s="1255"/>
      <c r="D1653" s="1252"/>
      <c r="E1653" s="1252"/>
      <c r="F1653" s="1252"/>
      <c r="G1653" s="1252"/>
      <c r="H1653" s="1252"/>
      <c r="N1653" s="1562"/>
    </row>
    <row r="1654" spans="1:14" x14ac:dyDescent="0.2">
      <c r="A1654" s="1249"/>
      <c r="B1654" s="1252"/>
      <c r="C1654" s="1255"/>
      <c r="D1654" s="1252"/>
      <c r="E1654" s="1252"/>
      <c r="F1654" s="1252"/>
      <c r="G1654" s="1252"/>
      <c r="H1654" s="1252"/>
      <c r="N1654" s="1562"/>
    </row>
    <row r="1655" spans="1:14" x14ac:dyDescent="0.2">
      <c r="A1655" s="1249"/>
      <c r="B1655" s="1252"/>
      <c r="C1655" s="1255"/>
      <c r="D1655" s="1252"/>
      <c r="E1655" s="1252"/>
      <c r="F1655" s="1252"/>
      <c r="G1655" s="1252"/>
      <c r="H1655" s="1252"/>
      <c r="N1655" s="1562"/>
    </row>
    <row r="1656" spans="1:14" x14ac:dyDescent="0.2">
      <c r="A1656" s="1249"/>
      <c r="B1656" s="1252"/>
      <c r="C1656" s="1255"/>
      <c r="D1656" s="1252"/>
      <c r="E1656" s="1252"/>
      <c r="F1656" s="1252"/>
      <c r="G1656" s="1252"/>
      <c r="H1656" s="1252"/>
      <c r="N1656" s="1562"/>
    </row>
    <row r="1657" spans="1:14" x14ac:dyDescent="0.2">
      <c r="A1657" s="1249"/>
      <c r="B1657" s="1252"/>
      <c r="C1657" s="1255"/>
      <c r="D1657" s="1252"/>
      <c r="E1657" s="1252"/>
      <c r="F1657" s="1252"/>
      <c r="G1657" s="1252"/>
      <c r="H1657" s="1252"/>
      <c r="N1657" s="1562"/>
    </row>
    <row r="1658" spans="1:14" x14ac:dyDescent="0.2">
      <c r="A1658" s="1249"/>
      <c r="B1658" s="1252"/>
      <c r="C1658" s="1255"/>
      <c r="D1658" s="1252"/>
      <c r="E1658" s="1252"/>
      <c r="F1658" s="1252"/>
      <c r="G1658" s="1252"/>
      <c r="H1658" s="1252"/>
      <c r="N1658" s="1562"/>
    </row>
    <row r="1659" spans="1:14" x14ac:dyDescent="0.2">
      <c r="A1659" s="1249"/>
      <c r="B1659" s="1252"/>
      <c r="C1659" s="1255"/>
      <c r="D1659" s="1252"/>
      <c r="E1659" s="1252"/>
      <c r="F1659" s="1252"/>
      <c r="G1659" s="1252"/>
      <c r="H1659" s="1252"/>
      <c r="N1659" s="1562"/>
    </row>
    <row r="1660" spans="1:14" x14ac:dyDescent="0.2">
      <c r="A1660" s="1249"/>
      <c r="B1660" s="1252"/>
      <c r="C1660" s="1255"/>
      <c r="D1660" s="1252"/>
      <c r="E1660" s="1252"/>
      <c r="F1660" s="1252"/>
      <c r="G1660" s="1252"/>
      <c r="H1660" s="1252"/>
      <c r="N1660" s="1562"/>
    </row>
    <row r="1661" spans="1:14" x14ac:dyDescent="0.2">
      <c r="A1661" s="1249"/>
      <c r="B1661" s="1252"/>
      <c r="C1661" s="1255"/>
      <c r="D1661" s="1252"/>
      <c r="E1661" s="1252"/>
      <c r="F1661" s="1252"/>
      <c r="G1661" s="1252"/>
      <c r="H1661" s="1252"/>
      <c r="N1661" s="1562"/>
    </row>
    <row r="1662" spans="1:14" x14ac:dyDescent="0.2">
      <c r="A1662" s="1249"/>
      <c r="B1662" s="1252"/>
      <c r="C1662" s="1255"/>
      <c r="D1662" s="1252"/>
      <c r="E1662" s="1252"/>
      <c r="F1662" s="1252"/>
      <c r="G1662" s="1252"/>
      <c r="H1662" s="1252"/>
      <c r="N1662" s="1562"/>
    </row>
    <row r="1663" spans="1:14" x14ac:dyDescent="0.2">
      <c r="A1663" s="1249"/>
      <c r="B1663" s="1252"/>
      <c r="C1663" s="1255"/>
      <c r="D1663" s="1252"/>
      <c r="E1663" s="1252"/>
      <c r="F1663" s="1252"/>
      <c r="G1663" s="1252"/>
      <c r="H1663" s="1252"/>
      <c r="N1663" s="1562"/>
    </row>
    <row r="1664" spans="1:14" x14ac:dyDescent="0.2">
      <c r="A1664" s="1249"/>
      <c r="B1664" s="1252"/>
      <c r="C1664" s="1255"/>
      <c r="D1664" s="1252"/>
      <c r="E1664" s="1252"/>
      <c r="F1664" s="1252"/>
      <c r="G1664" s="1252"/>
      <c r="H1664" s="1252"/>
      <c r="N1664" s="1562"/>
    </row>
    <row r="1665" spans="1:14" x14ac:dyDescent="0.2">
      <c r="A1665" s="1249"/>
      <c r="B1665" s="1252"/>
      <c r="C1665" s="1255"/>
      <c r="D1665" s="1252"/>
      <c r="E1665" s="1252"/>
      <c r="F1665" s="1252"/>
      <c r="G1665" s="1252"/>
      <c r="H1665" s="1252"/>
      <c r="N1665" s="1562"/>
    </row>
    <row r="1666" spans="1:14" x14ac:dyDescent="0.2">
      <c r="A1666" s="1249"/>
      <c r="B1666" s="1252"/>
      <c r="C1666" s="1255"/>
      <c r="D1666" s="1252"/>
      <c r="E1666" s="1252"/>
      <c r="F1666" s="1252"/>
      <c r="G1666" s="1252"/>
      <c r="H1666" s="1252"/>
      <c r="N1666" s="1562"/>
    </row>
    <row r="1667" spans="1:14" x14ac:dyDescent="0.2">
      <c r="A1667" s="1249"/>
      <c r="B1667" s="1252"/>
      <c r="C1667" s="1255"/>
      <c r="D1667" s="1252"/>
      <c r="E1667" s="1252"/>
      <c r="F1667" s="1252"/>
      <c r="G1667" s="1252"/>
      <c r="H1667" s="1252"/>
      <c r="N1667" s="1562"/>
    </row>
    <row r="1668" spans="1:14" x14ac:dyDescent="0.2">
      <c r="A1668" s="1249"/>
      <c r="B1668" s="1252"/>
      <c r="C1668" s="1255"/>
      <c r="D1668" s="1252"/>
      <c r="E1668" s="1252"/>
      <c r="F1668" s="1252"/>
      <c r="G1668" s="1252"/>
      <c r="H1668" s="1252"/>
      <c r="N1668" s="1562"/>
    </row>
    <row r="1669" spans="1:14" x14ac:dyDescent="0.2">
      <c r="A1669" s="1249"/>
      <c r="B1669" s="1252"/>
      <c r="C1669" s="1255"/>
      <c r="D1669" s="1252"/>
      <c r="E1669" s="1252"/>
      <c r="F1669" s="1252"/>
      <c r="G1669" s="1252"/>
      <c r="H1669" s="1252"/>
      <c r="N1669" s="1562"/>
    </row>
    <row r="1670" spans="1:14" x14ac:dyDescent="0.2">
      <c r="A1670" s="1249"/>
      <c r="B1670" s="1252"/>
      <c r="C1670" s="1255"/>
      <c r="D1670" s="1252"/>
      <c r="E1670" s="1252"/>
      <c r="F1670" s="1252"/>
      <c r="G1670" s="1252"/>
      <c r="H1670" s="1252"/>
      <c r="N1670" s="1562"/>
    </row>
    <row r="1671" spans="1:14" x14ac:dyDescent="0.2">
      <c r="A1671" s="1249"/>
      <c r="B1671" s="1252"/>
      <c r="C1671" s="1255"/>
      <c r="D1671" s="1252"/>
      <c r="E1671" s="1252"/>
      <c r="F1671" s="1252"/>
      <c r="G1671" s="1252"/>
      <c r="H1671" s="1252"/>
      <c r="N1671" s="1562"/>
    </row>
    <row r="1672" spans="1:14" x14ac:dyDescent="0.2">
      <c r="A1672" s="1249"/>
      <c r="B1672" s="1252"/>
      <c r="C1672" s="1255"/>
      <c r="D1672" s="1252"/>
      <c r="E1672" s="1252"/>
      <c r="F1672" s="1252"/>
      <c r="G1672" s="1252"/>
      <c r="H1672" s="1252"/>
      <c r="N1672" s="1562"/>
    </row>
    <row r="1673" spans="1:14" x14ac:dyDescent="0.2">
      <c r="A1673" s="1249"/>
      <c r="B1673" s="1252"/>
      <c r="C1673" s="1255"/>
      <c r="D1673" s="1252"/>
      <c r="E1673" s="1252"/>
      <c r="F1673" s="1252"/>
      <c r="G1673" s="1252"/>
      <c r="H1673" s="1252"/>
      <c r="N1673" s="1562"/>
    </row>
    <row r="1674" spans="1:14" x14ac:dyDescent="0.2">
      <c r="A1674" s="1249"/>
      <c r="B1674" s="1252"/>
      <c r="C1674" s="1255"/>
      <c r="D1674" s="1252"/>
      <c r="E1674" s="1252"/>
      <c r="F1674" s="1252"/>
      <c r="G1674" s="1252"/>
      <c r="H1674" s="1252"/>
      <c r="N1674" s="1562"/>
    </row>
    <row r="1675" spans="1:14" x14ac:dyDescent="0.2">
      <c r="A1675" s="1249"/>
      <c r="B1675" s="1252"/>
      <c r="C1675" s="1255"/>
      <c r="D1675" s="1252"/>
      <c r="E1675" s="1252"/>
      <c r="F1675" s="1252"/>
      <c r="G1675" s="1252"/>
      <c r="H1675" s="1252"/>
      <c r="N1675" s="1562"/>
    </row>
    <row r="1676" spans="1:14" x14ac:dyDescent="0.2">
      <c r="A1676" s="1249"/>
      <c r="B1676" s="1252"/>
      <c r="C1676" s="1255"/>
      <c r="D1676" s="1252"/>
      <c r="E1676" s="1252"/>
      <c r="F1676" s="1252"/>
      <c r="G1676" s="1252"/>
      <c r="H1676" s="1252"/>
      <c r="N1676" s="1562"/>
    </row>
    <row r="1677" spans="1:14" x14ac:dyDescent="0.2">
      <c r="A1677" s="1249"/>
      <c r="B1677" s="1252"/>
      <c r="C1677" s="1255"/>
      <c r="D1677" s="1252"/>
      <c r="E1677" s="1252"/>
      <c r="F1677" s="1252"/>
      <c r="G1677" s="1252"/>
      <c r="H1677" s="1252"/>
      <c r="N1677" s="1562"/>
    </row>
    <row r="1678" spans="1:14" x14ac:dyDescent="0.2">
      <c r="A1678" s="1249"/>
      <c r="B1678" s="1252"/>
      <c r="C1678" s="1255"/>
      <c r="D1678" s="1252"/>
      <c r="E1678" s="1252"/>
      <c r="F1678" s="1252"/>
      <c r="G1678" s="1252"/>
      <c r="H1678" s="1252"/>
      <c r="N1678" s="1562"/>
    </row>
    <row r="1679" spans="1:14" x14ac:dyDescent="0.2">
      <c r="A1679" s="1249"/>
      <c r="B1679" s="1252"/>
      <c r="C1679" s="1255"/>
      <c r="D1679" s="1252"/>
      <c r="E1679" s="1252"/>
      <c r="F1679" s="1252"/>
      <c r="G1679" s="1252"/>
      <c r="H1679" s="1252"/>
      <c r="N1679" s="1562"/>
    </row>
    <row r="1680" spans="1:14" x14ac:dyDescent="0.2">
      <c r="A1680" s="1249"/>
      <c r="B1680" s="1252"/>
      <c r="C1680" s="1255"/>
      <c r="D1680" s="1252"/>
      <c r="E1680" s="1252"/>
      <c r="F1680" s="1252"/>
      <c r="G1680" s="1252"/>
      <c r="H1680" s="1252"/>
      <c r="N1680" s="1562"/>
    </row>
    <row r="1681" spans="1:14" x14ac:dyDescent="0.2">
      <c r="A1681" s="1249"/>
      <c r="B1681" s="1252"/>
      <c r="C1681" s="1255"/>
      <c r="D1681" s="1252"/>
      <c r="E1681" s="1252"/>
      <c r="F1681" s="1252"/>
      <c r="G1681" s="1252"/>
      <c r="H1681" s="1252"/>
      <c r="N1681" s="1562"/>
    </row>
    <row r="1682" spans="1:14" x14ac:dyDescent="0.2">
      <c r="A1682" s="1249"/>
      <c r="B1682" s="1252"/>
      <c r="C1682" s="1255"/>
      <c r="D1682" s="1252"/>
      <c r="E1682" s="1252"/>
      <c r="F1682" s="1252"/>
      <c r="G1682" s="1252"/>
      <c r="H1682" s="1252"/>
      <c r="N1682" s="1562"/>
    </row>
    <row r="1683" spans="1:14" x14ac:dyDescent="0.2">
      <c r="A1683" s="1249"/>
      <c r="B1683" s="1252"/>
      <c r="C1683" s="1255"/>
      <c r="D1683" s="1252"/>
      <c r="E1683" s="1252"/>
      <c r="F1683" s="1252"/>
      <c r="G1683" s="1252"/>
      <c r="H1683" s="1252"/>
      <c r="N1683" s="1562"/>
    </row>
    <row r="1684" spans="1:14" x14ac:dyDescent="0.2">
      <c r="A1684" s="1249"/>
      <c r="B1684" s="1252"/>
      <c r="C1684" s="1255"/>
      <c r="D1684" s="1252"/>
      <c r="E1684" s="1252"/>
      <c r="F1684" s="1252"/>
      <c r="G1684" s="1252"/>
      <c r="H1684" s="1252"/>
      <c r="N1684" s="1562"/>
    </row>
    <row r="1685" spans="1:14" x14ac:dyDescent="0.2">
      <c r="A1685" s="1249"/>
      <c r="B1685" s="1252"/>
      <c r="C1685" s="1255"/>
      <c r="D1685" s="1252"/>
      <c r="E1685" s="1252"/>
      <c r="F1685" s="1252"/>
      <c r="G1685" s="1252"/>
      <c r="H1685" s="1252"/>
      <c r="N1685" s="1562"/>
    </row>
    <row r="1686" spans="1:14" x14ac:dyDescent="0.2">
      <c r="A1686" s="1249"/>
      <c r="B1686" s="1252"/>
      <c r="C1686" s="1255"/>
      <c r="D1686" s="1252"/>
      <c r="E1686" s="1252"/>
      <c r="F1686" s="1252"/>
      <c r="G1686" s="1252"/>
      <c r="H1686" s="1252"/>
      <c r="N1686" s="1562"/>
    </row>
    <row r="1687" spans="1:14" x14ac:dyDescent="0.2">
      <c r="A1687" s="1249"/>
      <c r="B1687" s="1252"/>
      <c r="C1687" s="1255"/>
      <c r="D1687" s="1252"/>
      <c r="E1687" s="1252"/>
      <c r="F1687" s="1252"/>
      <c r="G1687" s="1252"/>
      <c r="H1687" s="1252"/>
      <c r="N1687" s="1562"/>
    </row>
    <row r="1688" spans="1:14" x14ac:dyDescent="0.2">
      <c r="A1688" s="1249"/>
      <c r="B1688" s="1252"/>
      <c r="C1688" s="1255"/>
      <c r="D1688" s="1252"/>
      <c r="E1688" s="1252"/>
      <c r="F1688" s="1252"/>
      <c r="G1688" s="1252"/>
      <c r="H1688" s="1252"/>
      <c r="N1688" s="1562"/>
    </row>
    <row r="1689" spans="1:14" x14ac:dyDescent="0.2">
      <c r="A1689" s="1249"/>
      <c r="B1689" s="1252"/>
      <c r="C1689" s="1255"/>
      <c r="D1689" s="1252"/>
      <c r="E1689" s="1252"/>
      <c r="F1689" s="1252"/>
      <c r="G1689" s="1252"/>
      <c r="H1689" s="1252"/>
      <c r="N1689" s="1562"/>
    </row>
    <row r="1690" spans="1:14" x14ac:dyDescent="0.2">
      <c r="A1690" s="1249"/>
      <c r="B1690" s="1252"/>
      <c r="C1690" s="1255"/>
      <c r="D1690" s="1252"/>
      <c r="E1690" s="1252"/>
      <c r="F1690" s="1252"/>
      <c r="G1690" s="1252"/>
      <c r="H1690" s="1252"/>
      <c r="N1690" s="1562"/>
    </row>
    <row r="1691" spans="1:14" x14ac:dyDescent="0.2">
      <c r="A1691" s="1249"/>
      <c r="B1691" s="1252"/>
      <c r="C1691" s="1255"/>
      <c r="D1691" s="1252"/>
      <c r="E1691" s="1252"/>
      <c r="F1691" s="1252"/>
      <c r="G1691" s="1252"/>
      <c r="H1691" s="1252"/>
      <c r="N1691" s="1562"/>
    </row>
    <row r="1692" spans="1:14" x14ac:dyDescent="0.2">
      <c r="A1692" s="1249"/>
      <c r="B1692" s="1252"/>
      <c r="C1692" s="1255"/>
      <c r="D1692" s="1252"/>
      <c r="E1692" s="1252"/>
      <c r="F1692" s="1252"/>
      <c r="G1692" s="1252"/>
      <c r="H1692" s="1252"/>
      <c r="N1692" s="1562"/>
    </row>
    <row r="1693" spans="1:14" x14ac:dyDescent="0.2">
      <c r="A1693" s="1249"/>
      <c r="B1693" s="1252"/>
      <c r="C1693" s="1255"/>
      <c r="D1693" s="1252"/>
      <c r="E1693" s="1252"/>
      <c r="F1693" s="1252"/>
      <c r="G1693" s="1252"/>
      <c r="H1693" s="1252"/>
      <c r="N1693" s="1562"/>
    </row>
    <row r="1694" spans="1:14" x14ac:dyDescent="0.2">
      <c r="A1694" s="1249"/>
      <c r="B1694" s="1252"/>
      <c r="C1694" s="1255"/>
      <c r="D1694" s="1252"/>
      <c r="E1694" s="1252"/>
      <c r="F1694" s="1252"/>
      <c r="G1694" s="1252"/>
      <c r="H1694" s="1252"/>
      <c r="N1694" s="1562"/>
    </row>
    <row r="1695" spans="1:14" x14ac:dyDescent="0.2">
      <c r="A1695" s="1249"/>
      <c r="B1695" s="1252"/>
      <c r="C1695" s="1255"/>
      <c r="D1695" s="1252"/>
      <c r="E1695" s="1252"/>
      <c r="F1695" s="1252"/>
      <c r="G1695" s="1252"/>
      <c r="H1695" s="1252"/>
      <c r="N1695" s="1562"/>
    </row>
    <row r="1696" spans="1:14" x14ac:dyDescent="0.2">
      <c r="A1696" s="1249"/>
      <c r="B1696" s="1252"/>
      <c r="C1696" s="1255"/>
      <c r="D1696" s="1252"/>
      <c r="E1696" s="1252"/>
      <c r="F1696" s="1252"/>
      <c r="G1696" s="1252"/>
      <c r="H1696" s="1252"/>
      <c r="N1696" s="1562"/>
    </row>
    <row r="1697" spans="1:14" x14ac:dyDescent="0.2">
      <c r="A1697" s="1249"/>
      <c r="B1697" s="1252"/>
      <c r="C1697" s="1255"/>
      <c r="D1697" s="1252"/>
      <c r="E1697" s="1252"/>
      <c r="F1697" s="1252"/>
      <c r="G1697" s="1252"/>
      <c r="H1697" s="1252"/>
      <c r="N1697" s="1562"/>
    </row>
    <row r="1698" spans="1:14" x14ac:dyDescent="0.2">
      <c r="A1698" s="1249"/>
      <c r="B1698" s="1252"/>
      <c r="C1698" s="1255"/>
      <c r="D1698" s="1252"/>
      <c r="E1698" s="1252"/>
      <c r="F1698" s="1252"/>
      <c r="G1698" s="1252"/>
      <c r="H1698" s="1252"/>
      <c r="N1698" s="1562"/>
    </row>
    <row r="1699" spans="1:14" x14ac:dyDescent="0.2">
      <c r="A1699" s="1249"/>
      <c r="B1699" s="1252"/>
      <c r="C1699" s="1255"/>
      <c r="D1699" s="1252"/>
      <c r="E1699" s="1252"/>
      <c r="F1699" s="1252"/>
      <c r="G1699" s="1252"/>
      <c r="H1699" s="1252"/>
      <c r="N1699" s="1562"/>
    </row>
    <row r="1700" spans="1:14" x14ac:dyDescent="0.2">
      <c r="A1700" s="1249"/>
      <c r="B1700" s="1252"/>
      <c r="C1700" s="1255"/>
      <c r="D1700" s="1252"/>
      <c r="E1700" s="1252"/>
      <c r="F1700" s="1252"/>
      <c r="G1700" s="1252"/>
      <c r="H1700" s="1252"/>
      <c r="N1700" s="1562"/>
    </row>
    <row r="1701" spans="1:14" x14ac:dyDescent="0.2">
      <c r="A1701" s="1249"/>
      <c r="B1701" s="1252"/>
      <c r="C1701" s="1255"/>
      <c r="D1701" s="1252"/>
      <c r="E1701" s="1252"/>
      <c r="F1701" s="1252"/>
      <c r="G1701" s="1252"/>
      <c r="H1701" s="1252"/>
      <c r="N1701" s="1562"/>
    </row>
    <row r="1702" spans="1:14" x14ac:dyDescent="0.2">
      <c r="A1702" s="1249"/>
      <c r="B1702" s="1252"/>
      <c r="C1702" s="1255"/>
      <c r="D1702" s="1252"/>
      <c r="E1702" s="1252"/>
      <c r="F1702" s="1252"/>
      <c r="G1702" s="1252"/>
      <c r="H1702" s="1252"/>
      <c r="N1702" s="1562"/>
    </row>
    <row r="1703" spans="1:14" x14ac:dyDescent="0.2">
      <c r="A1703" s="1249"/>
      <c r="B1703" s="1252"/>
      <c r="C1703" s="1255"/>
      <c r="D1703" s="1252"/>
      <c r="E1703" s="1252"/>
      <c r="F1703" s="1252"/>
      <c r="G1703" s="1252"/>
      <c r="H1703" s="1252"/>
      <c r="N1703" s="1562"/>
    </row>
    <row r="1704" spans="1:14" x14ac:dyDescent="0.2">
      <c r="A1704" s="1249"/>
      <c r="B1704" s="1252"/>
      <c r="C1704" s="1255"/>
      <c r="D1704" s="1252"/>
      <c r="E1704" s="1252"/>
      <c r="F1704" s="1252"/>
      <c r="G1704" s="1252"/>
      <c r="H1704" s="1252"/>
      <c r="N1704" s="1562"/>
    </row>
    <row r="1705" spans="1:14" x14ac:dyDescent="0.2">
      <c r="A1705" s="1249"/>
      <c r="B1705" s="1252"/>
      <c r="C1705" s="1255"/>
      <c r="D1705" s="1252"/>
      <c r="E1705" s="1252"/>
      <c r="F1705" s="1252"/>
      <c r="G1705" s="1252"/>
      <c r="H1705" s="1252"/>
      <c r="N1705" s="1562"/>
    </row>
    <row r="1706" spans="1:14" x14ac:dyDescent="0.2">
      <c r="A1706" s="1249"/>
      <c r="B1706" s="1252"/>
      <c r="C1706" s="1255"/>
      <c r="D1706" s="1252"/>
      <c r="E1706" s="1252"/>
      <c r="F1706" s="1252"/>
      <c r="G1706" s="1252"/>
      <c r="H1706" s="1252"/>
      <c r="N1706" s="1562"/>
    </row>
    <row r="1707" spans="1:14" x14ac:dyDescent="0.2">
      <c r="A1707" s="1249"/>
      <c r="B1707" s="1252"/>
      <c r="C1707" s="1255"/>
      <c r="D1707" s="1252"/>
      <c r="E1707" s="1252"/>
      <c r="F1707" s="1252"/>
      <c r="G1707" s="1252"/>
      <c r="H1707" s="1252"/>
      <c r="N1707" s="1562"/>
    </row>
    <row r="1708" spans="1:14" x14ac:dyDescent="0.2">
      <c r="A1708" s="1249"/>
      <c r="B1708" s="1252"/>
      <c r="C1708" s="1255"/>
      <c r="D1708" s="1252"/>
      <c r="E1708" s="1252"/>
      <c r="F1708" s="1252"/>
      <c r="G1708" s="1252"/>
      <c r="H1708" s="1252"/>
      <c r="N1708" s="1562"/>
    </row>
    <row r="1709" spans="1:14" x14ac:dyDescent="0.2">
      <c r="A1709" s="1249"/>
      <c r="B1709" s="1252"/>
      <c r="C1709" s="1255"/>
      <c r="D1709" s="1252"/>
      <c r="E1709" s="1252"/>
      <c r="F1709" s="1252"/>
      <c r="G1709" s="1252"/>
      <c r="H1709" s="1252"/>
      <c r="N1709" s="1562"/>
    </row>
    <row r="1710" spans="1:14" x14ac:dyDescent="0.2">
      <c r="A1710" s="1249"/>
      <c r="B1710" s="1252"/>
      <c r="C1710" s="1255"/>
      <c r="D1710" s="1252"/>
      <c r="E1710" s="1252"/>
      <c r="F1710" s="1252"/>
      <c r="G1710" s="1252"/>
      <c r="H1710" s="1252"/>
      <c r="N1710" s="1562"/>
    </row>
    <row r="1711" spans="1:14" x14ac:dyDescent="0.2">
      <c r="A1711" s="1249"/>
      <c r="B1711" s="1252"/>
      <c r="C1711" s="1255"/>
      <c r="D1711" s="1252"/>
      <c r="E1711" s="1252"/>
      <c r="F1711" s="1252"/>
      <c r="G1711" s="1252"/>
      <c r="H1711" s="1252"/>
      <c r="N1711" s="1562"/>
    </row>
    <row r="1712" spans="1:14" x14ac:dyDescent="0.2">
      <c r="A1712" s="1249"/>
      <c r="B1712" s="1252"/>
      <c r="C1712" s="1255"/>
      <c r="D1712" s="1252"/>
      <c r="E1712" s="1252"/>
      <c r="F1712" s="1252"/>
      <c r="G1712" s="1252"/>
      <c r="H1712" s="1252"/>
      <c r="N1712" s="1562"/>
    </row>
    <row r="1713" spans="1:14" x14ac:dyDescent="0.2">
      <c r="A1713" s="1249"/>
      <c r="B1713" s="1252"/>
      <c r="C1713" s="1255"/>
      <c r="D1713" s="1252"/>
      <c r="E1713" s="1252"/>
      <c r="F1713" s="1252"/>
      <c r="G1713" s="1252"/>
      <c r="H1713" s="1252"/>
      <c r="N1713" s="1562"/>
    </row>
    <row r="1714" spans="1:14" x14ac:dyDescent="0.2">
      <c r="A1714" s="1249"/>
      <c r="B1714" s="1252"/>
      <c r="C1714" s="1255"/>
      <c r="D1714" s="1252"/>
      <c r="E1714" s="1252"/>
      <c r="F1714" s="1252"/>
      <c r="G1714" s="1252"/>
      <c r="H1714" s="1252"/>
      <c r="N1714" s="1562"/>
    </row>
    <row r="1715" spans="1:14" x14ac:dyDescent="0.2">
      <c r="A1715" s="1249"/>
      <c r="B1715" s="1252"/>
      <c r="C1715" s="1255"/>
      <c r="D1715" s="1252"/>
      <c r="E1715" s="1252"/>
      <c r="F1715" s="1252"/>
      <c r="G1715" s="1252"/>
      <c r="H1715" s="1252"/>
      <c r="N1715" s="1562"/>
    </row>
    <row r="1716" spans="1:14" x14ac:dyDescent="0.2">
      <c r="A1716" s="1249"/>
      <c r="B1716" s="1252"/>
      <c r="C1716" s="1255"/>
      <c r="D1716" s="1252"/>
      <c r="E1716" s="1252"/>
      <c r="F1716" s="1252"/>
      <c r="G1716" s="1252"/>
      <c r="H1716" s="1252"/>
      <c r="N1716" s="1562"/>
    </row>
    <row r="1717" spans="1:14" x14ac:dyDescent="0.2">
      <c r="A1717" s="1249"/>
      <c r="B1717" s="1252"/>
      <c r="C1717" s="1255"/>
      <c r="D1717" s="1252"/>
      <c r="E1717" s="1252"/>
      <c r="F1717" s="1252"/>
      <c r="G1717" s="1252"/>
      <c r="H1717" s="1252"/>
      <c r="N1717" s="1562"/>
    </row>
    <row r="1718" spans="1:14" x14ac:dyDescent="0.2">
      <c r="A1718" s="1249"/>
      <c r="B1718" s="1252"/>
      <c r="C1718" s="1255"/>
      <c r="D1718" s="1252"/>
      <c r="E1718" s="1252"/>
      <c r="F1718" s="1252"/>
      <c r="G1718" s="1252"/>
      <c r="H1718" s="1252"/>
      <c r="N1718" s="1562"/>
    </row>
    <row r="1719" spans="1:14" x14ac:dyDescent="0.2">
      <c r="A1719" s="1249"/>
      <c r="B1719" s="1252"/>
      <c r="C1719" s="1255"/>
      <c r="D1719" s="1252"/>
      <c r="E1719" s="1252"/>
      <c r="F1719" s="1252"/>
      <c r="G1719" s="1252"/>
      <c r="H1719" s="1252"/>
      <c r="N1719" s="1562"/>
    </row>
    <row r="1720" spans="1:14" x14ac:dyDescent="0.2">
      <c r="A1720" s="1249"/>
      <c r="B1720" s="1252"/>
      <c r="C1720" s="1255"/>
      <c r="D1720" s="1252"/>
      <c r="E1720" s="1252"/>
      <c r="F1720" s="1252"/>
      <c r="G1720" s="1252"/>
      <c r="H1720" s="1252"/>
      <c r="N1720" s="1562"/>
    </row>
    <row r="1721" spans="1:14" x14ac:dyDescent="0.2">
      <c r="A1721" s="1249"/>
      <c r="B1721" s="1252"/>
      <c r="C1721" s="1255"/>
      <c r="D1721" s="1252"/>
      <c r="E1721" s="1252"/>
      <c r="F1721" s="1252"/>
      <c r="G1721" s="1252"/>
      <c r="H1721" s="1252"/>
      <c r="N1721" s="1562"/>
    </row>
    <row r="1722" spans="1:14" x14ac:dyDescent="0.2">
      <c r="A1722" s="1249"/>
      <c r="B1722" s="1252"/>
      <c r="C1722" s="1255"/>
      <c r="D1722" s="1252"/>
      <c r="E1722" s="1252"/>
      <c r="F1722" s="1252"/>
      <c r="G1722" s="1252"/>
      <c r="H1722" s="1252"/>
      <c r="N1722" s="1562"/>
    </row>
    <row r="1723" spans="1:14" x14ac:dyDescent="0.2">
      <c r="A1723" s="1249"/>
      <c r="B1723" s="1252"/>
      <c r="C1723" s="1255"/>
      <c r="D1723" s="1252"/>
      <c r="E1723" s="1252"/>
      <c r="F1723" s="1252"/>
      <c r="G1723" s="1252"/>
      <c r="H1723" s="1252"/>
      <c r="N1723" s="1562"/>
    </row>
    <row r="1724" spans="1:14" x14ac:dyDescent="0.2">
      <c r="A1724" s="1249"/>
      <c r="B1724" s="1252"/>
      <c r="C1724" s="1255"/>
      <c r="D1724" s="1252"/>
      <c r="E1724" s="1252"/>
      <c r="F1724" s="1252"/>
      <c r="G1724" s="1252"/>
      <c r="H1724" s="1252"/>
      <c r="N1724" s="1562"/>
    </row>
    <row r="1725" spans="1:14" x14ac:dyDescent="0.2">
      <c r="A1725" s="1249"/>
      <c r="B1725" s="1252"/>
      <c r="C1725" s="1255"/>
      <c r="D1725" s="1252"/>
      <c r="E1725" s="1252"/>
      <c r="F1725" s="1252"/>
      <c r="G1725" s="1252"/>
      <c r="H1725" s="1252"/>
      <c r="N1725" s="1562"/>
    </row>
    <row r="1726" spans="1:14" x14ac:dyDescent="0.2">
      <c r="A1726" s="1249"/>
      <c r="B1726" s="1252"/>
      <c r="C1726" s="1255"/>
      <c r="D1726" s="1252"/>
      <c r="E1726" s="1252"/>
      <c r="F1726" s="1252"/>
      <c r="G1726" s="1252"/>
      <c r="H1726" s="1252"/>
      <c r="N1726" s="1562"/>
    </row>
    <row r="1727" spans="1:14" x14ac:dyDescent="0.2">
      <c r="A1727" s="1249"/>
      <c r="B1727" s="1252"/>
      <c r="C1727" s="1255"/>
      <c r="D1727" s="1252"/>
      <c r="E1727" s="1252"/>
      <c r="F1727" s="1252"/>
      <c r="G1727" s="1252"/>
      <c r="H1727" s="1252"/>
      <c r="N1727" s="1562"/>
    </row>
    <row r="1728" spans="1:14" x14ac:dyDescent="0.2">
      <c r="A1728" s="1249"/>
      <c r="B1728" s="1252"/>
      <c r="C1728" s="1255"/>
      <c r="D1728" s="1252"/>
      <c r="E1728" s="1252"/>
      <c r="F1728" s="1252"/>
      <c r="G1728" s="1252"/>
      <c r="H1728" s="1252"/>
      <c r="N1728" s="1562"/>
    </row>
    <row r="1729" spans="1:14" x14ac:dyDescent="0.2">
      <c r="A1729" s="1249"/>
      <c r="B1729" s="1252"/>
      <c r="C1729" s="1255"/>
      <c r="D1729" s="1252"/>
      <c r="E1729" s="1252"/>
      <c r="F1729" s="1252"/>
      <c r="G1729" s="1252"/>
      <c r="H1729" s="1252"/>
      <c r="N1729" s="1562"/>
    </row>
    <row r="1730" spans="1:14" x14ac:dyDescent="0.2">
      <c r="A1730" s="1249"/>
      <c r="B1730" s="1252"/>
      <c r="C1730" s="1255"/>
      <c r="D1730" s="1252"/>
      <c r="E1730" s="1252"/>
      <c r="F1730" s="1252"/>
      <c r="G1730" s="1252"/>
      <c r="H1730" s="1252"/>
      <c r="N1730" s="1562"/>
    </row>
    <row r="1731" spans="1:14" x14ac:dyDescent="0.2">
      <c r="A1731" s="1249"/>
      <c r="B1731" s="1252"/>
      <c r="C1731" s="1255"/>
      <c r="D1731" s="1252"/>
      <c r="E1731" s="1252"/>
      <c r="F1731" s="1252"/>
      <c r="G1731" s="1252"/>
      <c r="H1731" s="1252"/>
      <c r="N1731" s="1562"/>
    </row>
    <row r="1732" spans="1:14" x14ac:dyDescent="0.2">
      <c r="A1732" s="1249"/>
      <c r="B1732" s="1252"/>
      <c r="C1732" s="1255"/>
      <c r="D1732" s="1252"/>
      <c r="E1732" s="1252"/>
      <c r="F1732" s="1252"/>
      <c r="G1732" s="1252"/>
      <c r="H1732" s="1252"/>
      <c r="N1732" s="1562"/>
    </row>
    <row r="1733" spans="1:14" x14ac:dyDescent="0.2">
      <c r="A1733" s="1249"/>
      <c r="B1733" s="1252"/>
      <c r="C1733" s="1255"/>
      <c r="D1733" s="1252"/>
      <c r="E1733" s="1252"/>
      <c r="F1733" s="1252"/>
      <c r="G1733" s="1252"/>
      <c r="H1733" s="1252"/>
      <c r="N1733" s="1562"/>
    </row>
    <row r="1734" spans="1:14" x14ac:dyDescent="0.2">
      <c r="A1734" s="1249"/>
      <c r="B1734" s="1252"/>
      <c r="C1734" s="1255"/>
      <c r="D1734" s="1252"/>
      <c r="E1734" s="1252"/>
      <c r="F1734" s="1252"/>
      <c r="G1734" s="1252"/>
      <c r="H1734" s="1252"/>
      <c r="N1734" s="1562"/>
    </row>
    <row r="1735" spans="1:14" x14ac:dyDescent="0.2">
      <c r="A1735" s="1249"/>
      <c r="B1735" s="1252"/>
      <c r="C1735" s="1255"/>
      <c r="D1735" s="1252"/>
      <c r="E1735" s="1252"/>
      <c r="F1735" s="1252"/>
      <c r="G1735" s="1252"/>
      <c r="H1735" s="1252"/>
      <c r="N1735" s="1562"/>
    </row>
    <row r="1736" spans="1:14" x14ac:dyDescent="0.2">
      <c r="A1736" s="1249"/>
      <c r="B1736" s="1252"/>
      <c r="C1736" s="1255"/>
      <c r="D1736" s="1252"/>
      <c r="E1736" s="1252"/>
      <c r="F1736" s="1252"/>
      <c r="G1736" s="1252"/>
      <c r="H1736" s="1252"/>
      <c r="N1736" s="1562"/>
    </row>
    <row r="1737" spans="1:14" x14ac:dyDescent="0.2">
      <c r="A1737" s="1249"/>
      <c r="B1737" s="1252"/>
      <c r="C1737" s="1255"/>
      <c r="D1737" s="1252"/>
      <c r="E1737" s="1252"/>
      <c r="F1737" s="1252"/>
      <c r="G1737" s="1252"/>
      <c r="H1737" s="1252"/>
      <c r="N1737" s="1562"/>
    </row>
    <row r="1738" spans="1:14" x14ac:dyDescent="0.2">
      <c r="A1738" s="1249"/>
      <c r="B1738" s="1252"/>
      <c r="C1738" s="1255"/>
      <c r="D1738" s="1252"/>
      <c r="E1738" s="1252"/>
      <c r="F1738" s="1252"/>
      <c r="G1738" s="1252"/>
      <c r="H1738" s="1252"/>
      <c r="N1738" s="1562"/>
    </row>
    <row r="1739" spans="1:14" x14ac:dyDescent="0.2">
      <c r="A1739" s="1249"/>
      <c r="B1739" s="1252"/>
      <c r="C1739" s="1255"/>
      <c r="D1739" s="1252"/>
      <c r="E1739" s="1252"/>
      <c r="F1739" s="1252"/>
      <c r="G1739" s="1252"/>
      <c r="H1739" s="1252"/>
      <c r="N1739" s="1562"/>
    </row>
    <row r="1740" spans="1:14" x14ac:dyDescent="0.2">
      <c r="A1740" s="1249"/>
      <c r="B1740" s="1252"/>
      <c r="C1740" s="1255"/>
      <c r="D1740" s="1252"/>
      <c r="E1740" s="1252"/>
      <c r="F1740" s="1252"/>
      <c r="G1740" s="1252"/>
      <c r="H1740" s="1252"/>
      <c r="N1740" s="1562"/>
    </row>
    <row r="1741" spans="1:14" x14ac:dyDescent="0.2">
      <c r="A1741" s="1249"/>
      <c r="B1741" s="1252"/>
      <c r="C1741" s="1255"/>
      <c r="D1741" s="1252"/>
      <c r="E1741" s="1252"/>
      <c r="F1741" s="1252"/>
      <c r="G1741" s="1252"/>
      <c r="H1741" s="1252"/>
      <c r="N1741" s="1562"/>
    </row>
    <row r="1742" spans="1:14" x14ac:dyDescent="0.2">
      <c r="A1742" s="1249"/>
      <c r="B1742" s="1252"/>
      <c r="C1742" s="1255"/>
      <c r="D1742" s="1252"/>
      <c r="E1742" s="1252"/>
      <c r="F1742" s="1252"/>
      <c r="G1742" s="1252"/>
      <c r="H1742" s="1252"/>
      <c r="N1742" s="1562"/>
    </row>
    <row r="1743" spans="1:14" x14ac:dyDescent="0.2">
      <c r="A1743" s="1249"/>
      <c r="B1743" s="1252"/>
      <c r="C1743" s="1255"/>
      <c r="D1743" s="1252"/>
      <c r="E1743" s="1252"/>
      <c r="F1743" s="1252"/>
      <c r="G1743" s="1252"/>
      <c r="H1743" s="1252"/>
      <c r="N1743" s="1562"/>
    </row>
    <row r="1744" spans="1:14" x14ac:dyDescent="0.2">
      <c r="A1744" s="1249"/>
      <c r="B1744" s="1252"/>
      <c r="C1744" s="1255"/>
      <c r="D1744" s="1252"/>
      <c r="E1744" s="1252"/>
      <c r="F1744" s="1252"/>
      <c r="G1744" s="1252"/>
      <c r="H1744" s="1252"/>
      <c r="N1744" s="1562"/>
    </row>
    <row r="1745" spans="1:14" x14ac:dyDescent="0.2">
      <c r="A1745" s="1249"/>
      <c r="B1745" s="1252"/>
      <c r="C1745" s="1255"/>
      <c r="D1745" s="1252"/>
      <c r="E1745" s="1252"/>
      <c r="F1745" s="1252"/>
      <c r="G1745" s="1252"/>
      <c r="H1745" s="1252"/>
      <c r="N1745" s="1562"/>
    </row>
    <row r="1746" spans="1:14" x14ac:dyDescent="0.2">
      <c r="A1746" s="1249"/>
      <c r="B1746" s="1252"/>
      <c r="C1746" s="1255"/>
      <c r="D1746" s="1252"/>
      <c r="E1746" s="1252"/>
      <c r="F1746" s="1252"/>
      <c r="G1746" s="1252"/>
      <c r="H1746" s="1252"/>
      <c r="N1746" s="1562"/>
    </row>
    <row r="1747" spans="1:14" x14ac:dyDescent="0.2">
      <c r="A1747" s="1249"/>
      <c r="B1747" s="1252"/>
      <c r="C1747" s="1255"/>
      <c r="D1747" s="1252"/>
      <c r="E1747" s="1252"/>
      <c r="F1747" s="1252"/>
      <c r="G1747" s="1252"/>
      <c r="H1747" s="1252"/>
      <c r="N1747" s="1562"/>
    </row>
    <row r="1748" spans="1:14" x14ac:dyDescent="0.2">
      <c r="A1748" s="1249"/>
      <c r="B1748" s="1252"/>
      <c r="C1748" s="1255"/>
      <c r="D1748" s="1252"/>
      <c r="E1748" s="1252"/>
      <c r="F1748" s="1252"/>
      <c r="G1748" s="1252"/>
      <c r="H1748" s="1252"/>
      <c r="N1748" s="1562"/>
    </row>
    <row r="1749" spans="1:14" x14ac:dyDescent="0.2">
      <c r="A1749" s="1249"/>
      <c r="B1749" s="1252"/>
      <c r="C1749" s="1255"/>
      <c r="D1749" s="1252"/>
      <c r="E1749" s="1252"/>
      <c r="F1749" s="1252"/>
      <c r="G1749" s="1252"/>
      <c r="H1749" s="1252"/>
      <c r="N1749" s="1562"/>
    </row>
    <row r="1750" spans="1:14" x14ac:dyDescent="0.2">
      <c r="A1750" s="1249"/>
      <c r="B1750" s="1252"/>
      <c r="C1750" s="1255"/>
      <c r="D1750" s="1252"/>
      <c r="E1750" s="1252"/>
      <c r="F1750" s="1252"/>
      <c r="G1750" s="1252"/>
      <c r="H1750" s="1252"/>
      <c r="N1750" s="1562"/>
    </row>
    <row r="1751" spans="1:14" x14ac:dyDescent="0.2">
      <c r="A1751" s="1249"/>
      <c r="B1751" s="1252"/>
      <c r="C1751" s="1255"/>
      <c r="D1751" s="1252"/>
      <c r="E1751" s="1252"/>
      <c r="F1751" s="1252"/>
      <c r="G1751" s="1252"/>
      <c r="H1751" s="1252"/>
      <c r="N1751" s="1562"/>
    </row>
    <row r="1752" spans="1:14" x14ac:dyDescent="0.2">
      <c r="A1752" s="1249"/>
      <c r="B1752" s="1252"/>
      <c r="C1752" s="1255"/>
      <c r="D1752" s="1252"/>
      <c r="E1752" s="1252"/>
      <c r="F1752" s="1252"/>
      <c r="G1752" s="1252"/>
      <c r="H1752" s="1252"/>
      <c r="N1752" s="1562"/>
    </row>
    <row r="1753" spans="1:14" x14ac:dyDescent="0.2">
      <c r="A1753" s="1249"/>
      <c r="B1753" s="1252"/>
      <c r="C1753" s="1255"/>
      <c r="D1753" s="1252"/>
      <c r="E1753" s="1252"/>
      <c r="F1753" s="1252"/>
      <c r="G1753" s="1252"/>
      <c r="H1753" s="1252"/>
      <c r="N1753" s="1562"/>
    </row>
    <row r="1754" spans="1:14" x14ac:dyDescent="0.2">
      <c r="A1754" s="1249"/>
      <c r="B1754" s="1252"/>
      <c r="C1754" s="1255"/>
      <c r="D1754" s="1252"/>
      <c r="E1754" s="1252"/>
      <c r="F1754" s="1252"/>
      <c r="G1754" s="1252"/>
      <c r="H1754" s="1252"/>
      <c r="N1754" s="1562"/>
    </row>
    <row r="1755" spans="1:14" x14ac:dyDescent="0.2">
      <c r="A1755" s="1249"/>
      <c r="B1755" s="1252"/>
      <c r="C1755" s="1255"/>
      <c r="D1755" s="1252"/>
      <c r="E1755" s="1252"/>
      <c r="F1755" s="1252"/>
      <c r="G1755" s="1252"/>
      <c r="H1755" s="1252"/>
      <c r="N1755" s="1562"/>
    </row>
    <row r="1756" spans="1:14" x14ac:dyDescent="0.2">
      <c r="A1756" s="1249"/>
      <c r="B1756" s="1252"/>
      <c r="C1756" s="1255"/>
      <c r="D1756" s="1252"/>
      <c r="E1756" s="1252"/>
      <c r="F1756" s="1252"/>
      <c r="G1756" s="1252"/>
      <c r="H1756" s="1252"/>
      <c r="N1756" s="1562"/>
    </row>
    <row r="1757" spans="1:14" x14ac:dyDescent="0.2">
      <c r="A1757" s="1249"/>
      <c r="B1757" s="1252"/>
      <c r="C1757" s="1255"/>
      <c r="D1757" s="1252"/>
      <c r="E1757" s="1252"/>
      <c r="F1757" s="1252"/>
      <c r="G1757" s="1252"/>
      <c r="H1757" s="1252"/>
      <c r="N1757" s="1562"/>
    </row>
    <row r="1758" spans="1:14" x14ac:dyDescent="0.2">
      <c r="A1758" s="1249"/>
      <c r="B1758" s="1252"/>
      <c r="C1758" s="1255"/>
      <c r="D1758" s="1252"/>
      <c r="E1758" s="1252"/>
      <c r="F1758" s="1252"/>
      <c r="G1758" s="1252"/>
      <c r="H1758" s="1252"/>
      <c r="N1758" s="1562"/>
    </row>
    <row r="1759" spans="1:14" x14ac:dyDescent="0.2">
      <c r="A1759" s="1249"/>
      <c r="B1759" s="1252"/>
      <c r="C1759" s="1255"/>
      <c r="D1759" s="1252"/>
      <c r="E1759" s="1252"/>
      <c r="F1759" s="1252"/>
      <c r="G1759" s="1252"/>
      <c r="H1759" s="1252"/>
      <c r="N1759" s="1562"/>
    </row>
    <row r="1760" spans="1:14" x14ac:dyDescent="0.2">
      <c r="A1760" s="1249"/>
      <c r="B1760" s="1252"/>
      <c r="C1760" s="1255"/>
      <c r="D1760" s="1252"/>
      <c r="E1760" s="1252"/>
      <c r="F1760" s="1252"/>
      <c r="G1760" s="1252"/>
      <c r="H1760" s="1252"/>
      <c r="N1760" s="1562"/>
    </row>
    <row r="1761" spans="1:14" x14ac:dyDescent="0.2">
      <c r="A1761" s="1249"/>
      <c r="B1761" s="1252"/>
      <c r="C1761" s="1255"/>
      <c r="D1761" s="1252"/>
      <c r="E1761" s="1252"/>
      <c r="F1761" s="1252"/>
      <c r="G1761" s="1252"/>
      <c r="H1761" s="1252"/>
      <c r="N1761" s="1562"/>
    </row>
    <row r="1762" spans="1:14" x14ac:dyDescent="0.2">
      <c r="A1762" s="1249"/>
      <c r="B1762" s="1252"/>
      <c r="C1762" s="1255"/>
      <c r="D1762" s="1252"/>
      <c r="E1762" s="1252"/>
      <c r="F1762" s="1252"/>
      <c r="G1762" s="1252"/>
      <c r="H1762" s="1252"/>
      <c r="N1762" s="1562"/>
    </row>
    <row r="1763" spans="1:14" x14ac:dyDescent="0.2">
      <c r="A1763" s="1249"/>
      <c r="B1763" s="1252"/>
      <c r="C1763" s="1255"/>
      <c r="D1763" s="1252"/>
      <c r="E1763" s="1252"/>
      <c r="F1763" s="1252"/>
      <c r="G1763" s="1252"/>
      <c r="H1763" s="1252"/>
      <c r="N1763" s="1562"/>
    </row>
    <row r="1764" spans="1:14" x14ac:dyDescent="0.2">
      <c r="A1764" s="1249"/>
      <c r="B1764" s="1252"/>
      <c r="C1764" s="1255"/>
      <c r="D1764" s="1252"/>
      <c r="E1764" s="1252"/>
      <c r="F1764" s="1252"/>
      <c r="G1764" s="1252"/>
      <c r="H1764" s="1252"/>
      <c r="N1764" s="1562"/>
    </row>
    <row r="1765" spans="1:14" x14ac:dyDescent="0.2">
      <c r="A1765" s="1249"/>
      <c r="B1765" s="1252"/>
      <c r="C1765" s="1255"/>
      <c r="D1765" s="1252"/>
      <c r="E1765" s="1252"/>
      <c r="F1765" s="1252"/>
      <c r="G1765" s="1252"/>
      <c r="H1765" s="1252"/>
      <c r="N1765" s="1562"/>
    </row>
    <row r="1766" spans="1:14" x14ac:dyDescent="0.2">
      <c r="A1766" s="1249"/>
      <c r="B1766" s="1252"/>
      <c r="C1766" s="1255"/>
      <c r="D1766" s="1252"/>
      <c r="E1766" s="1252"/>
      <c r="F1766" s="1252"/>
      <c r="G1766" s="1252"/>
      <c r="H1766" s="1252"/>
      <c r="N1766" s="1562"/>
    </row>
    <row r="1767" spans="1:14" x14ac:dyDescent="0.2">
      <c r="A1767" s="1249"/>
      <c r="B1767" s="1252"/>
      <c r="C1767" s="1255"/>
      <c r="D1767" s="1252"/>
      <c r="E1767" s="1252"/>
      <c r="F1767" s="1252"/>
      <c r="G1767" s="1252"/>
      <c r="H1767" s="1252"/>
      <c r="N1767" s="1562"/>
    </row>
    <row r="1768" spans="1:14" x14ac:dyDescent="0.2">
      <c r="A1768" s="1249"/>
      <c r="B1768" s="1252"/>
      <c r="C1768" s="1255"/>
      <c r="D1768" s="1252"/>
      <c r="E1768" s="1252"/>
      <c r="F1768" s="1252"/>
      <c r="G1768" s="1252"/>
      <c r="H1768" s="1252"/>
      <c r="N1768" s="1562"/>
    </row>
    <row r="1769" spans="1:14" x14ac:dyDescent="0.2">
      <c r="A1769" s="1249"/>
      <c r="B1769" s="1252"/>
      <c r="C1769" s="1255"/>
      <c r="D1769" s="1252"/>
      <c r="E1769" s="1252"/>
      <c r="F1769" s="1252"/>
      <c r="G1769" s="1252"/>
      <c r="H1769" s="1252"/>
      <c r="N1769" s="1562"/>
    </row>
    <row r="1770" spans="1:14" x14ac:dyDescent="0.2">
      <c r="A1770" s="1249"/>
      <c r="B1770" s="1252"/>
      <c r="C1770" s="1255"/>
      <c r="D1770" s="1252"/>
      <c r="E1770" s="1252"/>
      <c r="F1770" s="1252"/>
      <c r="G1770" s="1252"/>
      <c r="H1770" s="1252"/>
      <c r="N1770" s="1562"/>
    </row>
    <row r="1771" spans="1:14" x14ac:dyDescent="0.2">
      <c r="A1771" s="1249"/>
      <c r="B1771" s="1252"/>
      <c r="C1771" s="1255"/>
      <c r="D1771" s="1252"/>
      <c r="E1771" s="1252"/>
      <c r="F1771" s="1252"/>
      <c r="G1771" s="1252"/>
      <c r="H1771" s="1252"/>
      <c r="N1771" s="1562"/>
    </row>
    <row r="1772" spans="1:14" x14ac:dyDescent="0.2">
      <c r="A1772" s="1249"/>
      <c r="B1772" s="1252"/>
      <c r="C1772" s="1255"/>
      <c r="D1772" s="1252"/>
      <c r="E1772" s="1252"/>
      <c r="F1772" s="1252"/>
      <c r="G1772" s="1252"/>
      <c r="H1772" s="1252"/>
      <c r="N1772" s="1562"/>
    </row>
    <row r="1773" spans="1:14" x14ac:dyDescent="0.2">
      <c r="A1773" s="1249"/>
      <c r="B1773" s="1252"/>
      <c r="C1773" s="1255"/>
      <c r="D1773" s="1252"/>
      <c r="E1773" s="1252"/>
      <c r="F1773" s="1252"/>
      <c r="G1773" s="1252"/>
      <c r="H1773" s="1252"/>
      <c r="N1773" s="1562"/>
    </row>
    <row r="1774" spans="1:14" x14ac:dyDescent="0.2">
      <c r="A1774" s="1249"/>
      <c r="B1774" s="1252"/>
      <c r="C1774" s="1255"/>
      <c r="D1774" s="1252"/>
      <c r="E1774" s="1252"/>
      <c r="F1774" s="1252"/>
      <c r="G1774" s="1252"/>
      <c r="H1774" s="1252"/>
      <c r="N1774" s="1562"/>
    </row>
    <row r="1775" spans="1:14" x14ac:dyDescent="0.2">
      <c r="A1775" s="1249"/>
      <c r="B1775" s="1252"/>
      <c r="C1775" s="1255"/>
      <c r="D1775" s="1252"/>
      <c r="E1775" s="1252"/>
      <c r="F1775" s="1252"/>
      <c r="G1775" s="1252"/>
      <c r="H1775" s="1252"/>
      <c r="N1775" s="1562"/>
    </row>
    <row r="1776" spans="1:14" x14ac:dyDescent="0.2">
      <c r="A1776" s="1249"/>
      <c r="B1776" s="1252"/>
      <c r="C1776" s="1255"/>
      <c r="D1776" s="1252"/>
      <c r="E1776" s="1252"/>
      <c r="F1776" s="1252"/>
      <c r="G1776" s="1252"/>
      <c r="H1776" s="1252"/>
      <c r="N1776" s="1562"/>
    </row>
    <row r="1777" spans="1:14" x14ac:dyDescent="0.2">
      <c r="A1777" s="1249"/>
      <c r="B1777" s="1252"/>
      <c r="C1777" s="1255"/>
      <c r="D1777" s="1252"/>
      <c r="E1777" s="1252"/>
      <c r="F1777" s="1252"/>
      <c r="G1777" s="1252"/>
      <c r="H1777" s="1252"/>
      <c r="N1777" s="1562"/>
    </row>
    <row r="1778" spans="1:14" x14ac:dyDescent="0.2">
      <c r="A1778" s="1249"/>
      <c r="B1778" s="1252"/>
      <c r="C1778" s="1255"/>
      <c r="D1778" s="1252"/>
      <c r="E1778" s="1252"/>
      <c r="F1778" s="1252"/>
      <c r="G1778" s="1252"/>
      <c r="H1778" s="1252"/>
      <c r="N1778" s="1562"/>
    </row>
    <row r="1779" spans="1:14" x14ac:dyDescent="0.2">
      <c r="A1779" s="1249"/>
      <c r="B1779" s="1252"/>
      <c r="C1779" s="1255"/>
      <c r="D1779" s="1252"/>
      <c r="E1779" s="1252"/>
      <c r="F1779" s="1252"/>
      <c r="G1779" s="1252"/>
      <c r="H1779" s="1252"/>
      <c r="N1779" s="1562"/>
    </row>
    <row r="1780" spans="1:14" x14ac:dyDescent="0.2">
      <c r="A1780" s="1249"/>
      <c r="B1780" s="1252"/>
      <c r="C1780" s="1255"/>
      <c r="D1780" s="1252"/>
      <c r="E1780" s="1252"/>
      <c r="F1780" s="1252"/>
      <c r="G1780" s="1252"/>
      <c r="H1780" s="1252"/>
      <c r="N1780" s="1562"/>
    </row>
    <row r="1781" spans="1:14" x14ac:dyDescent="0.2">
      <c r="A1781" s="1249"/>
      <c r="B1781" s="1252"/>
      <c r="C1781" s="1255"/>
      <c r="D1781" s="1252"/>
      <c r="E1781" s="1252"/>
      <c r="F1781" s="1252"/>
      <c r="G1781" s="1252"/>
      <c r="H1781" s="1252"/>
      <c r="N1781" s="1562"/>
    </row>
    <row r="1782" spans="1:14" x14ac:dyDescent="0.2">
      <c r="A1782" s="1249"/>
      <c r="B1782" s="1252"/>
      <c r="C1782" s="1255"/>
      <c r="D1782" s="1252"/>
      <c r="E1782" s="1252"/>
      <c r="F1782" s="1252"/>
      <c r="G1782" s="1252"/>
      <c r="H1782" s="1252"/>
      <c r="N1782" s="1562"/>
    </row>
    <row r="1783" spans="1:14" x14ac:dyDescent="0.2">
      <c r="A1783" s="1249"/>
      <c r="B1783" s="1252"/>
      <c r="C1783" s="1255"/>
      <c r="D1783" s="1252"/>
      <c r="E1783" s="1252"/>
      <c r="F1783" s="1252"/>
      <c r="G1783" s="1252"/>
      <c r="H1783" s="1252"/>
      <c r="N1783" s="1562"/>
    </row>
    <row r="1784" spans="1:14" x14ac:dyDescent="0.2">
      <c r="A1784" s="1249"/>
      <c r="B1784" s="1252"/>
      <c r="C1784" s="1255"/>
      <c r="D1784" s="1252"/>
      <c r="E1784" s="1252"/>
      <c r="F1784" s="1252"/>
      <c r="G1784" s="1252"/>
      <c r="H1784" s="1252"/>
      <c r="N1784" s="1562"/>
    </row>
    <row r="1785" spans="1:14" x14ac:dyDescent="0.2">
      <c r="A1785" s="1249"/>
      <c r="B1785" s="1252"/>
      <c r="C1785" s="1255"/>
      <c r="D1785" s="1252"/>
      <c r="E1785" s="1252"/>
      <c r="F1785" s="1252"/>
      <c r="G1785" s="1252"/>
      <c r="H1785" s="1252"/>
      <c r="N1785" s="1562"/>
    </row>
    <row r="1786" spans="1:14" x14ac:dyDescent="0.2">
      <c r="A1786" s="1249"/>
      <c r="B1786" s="1252"/>
      <c r="C1786" s="1255"/>
      <c r="D1786" s="1252"/>
      <c r="E1786" s="1252"/>
      <c r="F1786" s="1252"/>
      <c r="G1786" s="1252"/>
      <c r="H1786" s="1252"/>
      <c r="N1786" s="1562"/>
    </row>
    <row r="1787" spans="1:14" x14ac:dyDescent="0.2">
      <c r="A1787" s="1249"/>
      <c r="B1787" s="1252"/>
      <c r="C1787" s="1255"/>
      <c r="D1787" s="1252"/>
      <c r="E1787" s="1252"/>
      <c r="F1787" s="1252"/>
      <c r="G1787" s="1252"/>
      <c r="H1787" s="1252"/>
      <c r="N1787" s="1562"/>
    </row>
    <row r="1788" spans="1:14" x14ac:dyDescent="0.2">
      <c r="A1788" s="1249"/>
      <c r="B1788" s="1252"/>
      <c r="C1788" s="1255"/>
      <c r="D1788" s="1252"/>
      <c r="E1788" s="1252"/>
      <c r="F1788" s="1252"/>
      <c r="G1788" s="1252"/>
      <c r="H1788" s="1252"/>
      <c r="N1788" s="1562"/>
    </row>
    <row r="1789" spans="1:14" x14ac:dyDescent="0.2">
      <c r="A1789" s="1249"/>
      <c r="B1789" s="1252"/>
      <c r="C1789" s="1255"/>
      <c r="D1789" s="1252"/>
      <c r="E1789" s="1252"/>
      <c r="F1789" s="1252"/>
      <c r="G1789" s="1252"/>
      <c r="H1789" s="1252"/>
      <c r="N1789" s="1562"/>
    </row>
    <row r="1790" spans="1:14" x14ac:dyDescent="0.2">
      <c r="A1790" s="1249"/>
      <c r="B1790" s="1252"/>
      <c r="C1790" s="1255"/>
      <c r="D1790" s="1252"/>
      <c r="E1790" s="1252"/>
      <c r="F1790" s="1252"/>
      <c r="G1790" s="1252"/>
      <c r="H1790" s="1252"/>
      <c r="N1790" s="1562"/>
    </row>
    <row r="1791" spans="1:14" x14ac:dyDescent="0.2">
      <c r="A1791" s="1249"/>
      <c r="B1791" s="1252"/>
      <c r="C1791" s="1255"/>
      <c r="D1791" s="1252"/>
      <c r="E1791" s="1252"/>
      <c r="F1791" s="1252"/>
      <c r="G1791" s="1252"/>
      <c r="H1791" s="1252"/>
      <c r="N1791" s="1562"/>
    </row>
    <row r="1792" spans="1:14" x14ac:dyDescent="0.2">
      <c r="A1792" s="1249"/>
      <c r="B1792" s="1252"/>
      <c r="C1792" s="1255"/>
      <c r="D1792" s="1252"/>
      <c r="E1792" s="1252"/>
      <c r="F1792" s="1252"/>
      <c r="G1792" s="1252"/>
      <c r="H1792" s="1252"/>
      <c r="N1792" s="1562"/>
    </row>
    <row r="1793" spans="1:14" x14ac:dyDescent="0.2">
      <c r="A1793" s="1249"/>
      <c r="B1793" s="1252"/>
      <c r="C1793" s="1255"/>
      <c r="D1793" s="1252"/>
      <c r="E1793" s="1252"/>
      <c r="F1793" s="1252"/>
      <c r="G1793" s="1252"/>
      <c r="H1793" s="1252"/>
      <c r="N1793" s="1562"/>
    </row>
    <row r="1794" spans="1:14" x14ac:dyDescent="0.2">
      <c r="A1794" s="1249"/>
      <c r="B1794" s="1252"/>
      <c r="C1794" s="1255"/>
      <c r="D1794" s="1252"/>
      <c r="E1794" s="1252"/>
      <c r="F1794" s="1252"/>
      <c r="G1794" s="1252"/>
      <c r="H1794" s="1252"/>
      <c r="N1794" s="1562"/>
    </row>
    <row r="1795" spans="1:14" x14ac:dyDescent="0.2">
      <c r="A1795" s="1249"/>
      <c r="B1795" s="1252"/>
      <c r="C1795" s="1255"/>
      <c r="D1795" s="1252"/>
      <c r="E1795" s="1252"/>
      <c r="F1795" s="1252"/>
      <c r="G1795" s="1252"/>
      <c r="H1795" s="1252"/>
      <c r="N1795" s="1562"/>
    </row>
    <row r="1796" spans="1:14" x14ac:dyDescent="0.2">
      <c r="A1796" s="1249"/>
      <c r="B1796" s="1252"/>
      <c r="C1796" s="1255"/>
      <c r="D1796" s="1252"/>
      <c r="E1796" s="1252"/>
      <c r="F1796" s="1252"/>
      <c r="G1796" s="1252"/>
      <c r="H1796" s="1252"/>
      <c r="N1796" s="1562"/>
    </row>
    <row r="1797" spans="1:14" x14ac:dyDescent="0.2">
      <c r="A1797" s="1249"/>
      <c r="B1797" s="1252"/>
      <c r="C1797" s="1255"/>
      <c r="D1797" s="1252"/>
      <c r="E1797" s="1252"/>
      <c r="F1797" s="1252"/>
      <c r="G1797" s="1252"/>
      <c r="H1797" s="1252"/>
      <c r="N1797" s="1562"/>
    </row>
    <row r="1798" spans="1:14" x14ac:dyDescent="0.2">
      <c r="A1798" s="1249"/>
      <c r="B1798" s="1252"/>
      <c r="C1798" s="1255"/>
      <c r="D1798" s="1252"/>
      <c r="E1798" s="1252"/>
      <c r="F1798" s="1252"/>
      <c r="G1798" s="1252"/>
      <c r="H1798" s="1252"/>
      <c r="N1798" s="1562"/>
    </row>
    <row r="1799" spans="1:14" x14ac:dyDescent="0.2">
      <c r="A1799" s="1249"/>
      <c r="B1799" s="1252"/>
      <c r="C1799" s="1255"/>
      <c r="D1799" s="1252"/>
      <c r="E1799" s="1252"/>
      <c r="F1799" s="1252"/>
      <c r="G1799" s="1252"/>
      <c r="H1799" s="1252"/>
      <c r="N1799" s="1562"/>
    </row>
    <row r="1800" spans="1:14" x14ac:dyDescent="0.2">
      <c r="A1800" s="1249"/>
      <c r="B1800" s="1252"/>
      <c r="C1800" s="1255"/>
      <c r="D1800" s="1252"/>
      <c r="E1800" s="1252"/>
      <c r="F1800" s="1252"/>
      <c r="G1800" s="1252"/>
      <c r="H1800" s="1252"/>
      <c r="N1800" s="1562"/>
    </row>
    <row r="1801" spans="1:14" x14ac:dyDescent="0.2">
      <c r="A1801" s="1249"/>
      <c r="B1801" s="1252"/>
      <c r="C1801" s="1255"/>
      <c r="D1801" s="1252"/>
      <c r="E1801" s="1252"/>
      <c r="F1801" s="1252"/>
      <c r="G1801" s="1252"/>
      <c r="H1801" s="1252"/>
      <c r="N1801" s="1562"/>
    </row>
    <row r="1802" spans="1:14" x14ac:dyDescent="0.2">
      <c r="A1802" s="1249"/>
      <c r="B1802" s="1252"/>
      <c r="C1802" s="1255"/>
      <c r="D1802" s="1252"/>
      <c r="E1802" s="1252"/>
      <c r="F1802" s="1252"/>
      <c r="G1802" s="1252"/>
      <c r="H1802" s="1252"/>
      <c r="N1802" s="1562"/>
    </row>
    <row r="1803" spans="1:14" x14ac:dyDescent="0.2">
      <c r="A1803" s="1249"/>
      <c r="B1803" s="1252"/>
      <c r="C1803" s="1255"/>
      <c r="D1803" s="1252"/>
      <c r="E1803" s="1252"/>
      <c r="F1803" s="1252"/>
      <c r="G1803" s="1252"/>
      <c r="H1803" s="1252"/>
      <c r="N1803" s="1562"/>
    </row>
    <row r="1804" spans="1:14" x14ac:dyDescent="0.2">
      <c r="A1804" s="1249"/>
      <c r="B1804" s="1252"/>
      <c r="C1804" s="1255"/>
      <c r="D1804" s="1252"/>
      <c r="E1804" s="1252"/>
      <c r="F1804" s="1252"/>
      <c r="G1804" s="1252"/>
      <c r="H1804" s="1252"/>
      <c r="N1804" s="1562"/>
    </row>
    <row r="1805" spans="1:14" x14ac:dyDescent="0.2">
      <c r="A1805" s="1249"/>
      <c r="B1805" s="1252"/>
      <c r="C1805" s="1255"/>
      <c r="D1805" s="1252"/>
      <c r="E1805" s="1252"/>
      <c r="F1805" s="1252"/>
      <c r="G1805" s="1252"/>
      <c r="H1805" s="1252"/>
      <c r="N1805" s="1562"/>
    </row>
    <row r="1806" spans="1:14" x14ac:dyDescent="0.2">
      <c r="A1806" s="1249"/>
      <c r="B1806" s="1252"/>
      <c r="C1806" s="1255"/>
      <c r="D1806" s="1252"/>
      <c r="E1806" s="1252"/>
      <c r="F1806" s="1252"/>
      <c r="G1806" s="1252"/>
      <c r="H1806" s="1252"/>
      <c r="N1806" s="1562"/>
    </row>
    <row r="1807" spans="1:14" x14ac:dyDescent="0.2">
      <c r="A1807" s="1249"/>
      <c r="B1807" s="1252"/>
      <c r="C1807" s="1255"/>
      <c r="D1807" s="1252"/>
      <c r="E1807" s="1252"/>
      <c r="F1807" s="1252"/>
      <c r="G1807" s="1252"/>
      <c r="H1807" s="1252"/>
      <c r="N1807" s="1562"/>
    </row>
    <row r="1808" spans="1:14" x14ac:dyDescent="0.2">
      <c r="A1808" s="1249"/>
      <c r="B1808" s="1252"/>
      <c r="C1808" s="1255"/>
      <c r="D1808" s="1252"/>
      <c r="E1808" s="1252"/>
      <c r="F1808" s="1252"/>
      <c r="G1808" s="1252"/>
      <c r="H1808" s="1252"/>
      <c r="N1808" s="1562"/>
    </row>
    <row r="1809" spans="1:14" x14ac:dyDescent="0.2">
      <c r="A1809" s="1249"/>
      <c r="B1809" s="1252"/>
      <c r="C1809" s="1255"/>
      <c r="D1809" s="1252"/>
      <c r="E1809" s="1252"/>
      <c r="F1809" s="1252"/>
      <c r="G1809" s="1252"/>
      <c r="H1809" s="1252"/>
      <c r="N1809" s="1562"/>
    </row>
    <row r="1810" spans="1:14" x14ac:dyDescent="0.2">
      <c r="A1810" s="1249"/>
      <c r="B1810" s="1252"/>
      <c r="C1810" s="1255"/>
      <c r="D1810" s="1252"/>
      <c r="E1810" s="1252"/>
      <c r="F1810" s="1252"/>
      <c r="G1810" s="1252"/>
      <c r="H1810" s="1252"/>
      <c r="N1810" s="1562"/>
    </row>
  </sheetData>
  <mergeCells count="47"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I4:M4"/>
    <mergeCell ref="N4:N7"/>
    <mergeCell ref="J5:J7"/>
    <mergeCell ref="K5:M5"/>
    <mergeCell ref="C29:C33"/>
    <mergeCell ref="C35:C36"/>
    <mergeCell ref="G5:H5"/>
    <mergeCell ref="G6:G7"/>
    <mergeCell ref="H6:H7"/>
    <mergeCell ref="N37:N49"/>
    <mergeCell ref="C39:C44"/>
    <mergeCell ref="C48:C49"/>
    <mergeCell ref="A77:M77"/>
    <mergeCell ref="A63:A67"/>
    <mergeCell ref="C65:C67"/>
    <mergeCell ref="N64:N67"/>
    <mergeCell ref="A68:A72"/>
    <mergeCell ref="N69:N72"/>
    <mergeCell ref="C70:C72"/>
    <mergeCell ref="J1:L1"/>
    <mergeCell ref="A8:B8"/>
    <mergeCell ref="A73:A76"/>
    <mergeCell ref="N74:N76"/>
    <mergeCell ref="C75:C76"/>
    <mergeCell ref="A50:A62"/>
    <mergeCell ref="N50:N62"/>
    <mergeCell ref="C52:C58"/>
    <mergeCell ref="C60:C62"/>
    <mergeCell ref="A37:A49"/>
    <mergeCell ref="A12:A26"/>
    <mergeCell ref="N12:N26"/>
    <mergeCell ref="C13:C20"/>
    <mergeCell ref="C22:C26"/>
    <mergeCell ref="A27:A36"/>
    <mergeCell ref="N27:N3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02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W554"/>
  <sheetViews>
    <sheetView showGridLines="0" view="pageBreakPreview" zoomScaleNormal="100" zoomScaleSheetLayoutView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O2" sqref="O2"/>
    </sheetView>
  </sheetViews>
  <sheetFormatPr defaultRowHeight="11.25" x14ac:dyDescent="0.2"/>
  <cols>
    <col min="1" max="1" width="2.85546875" style="1580" customWidth="1"/>
    <col min="2" max="2" width="44" style="1581" customWidth="1"/>
    <col min="3" max="3" width="11.42578125" style="1581" customWidth="1"/>
    <col min="4" max="4" width="13.7109375" style="1581" customWidth="1"/>
    <col min="5" max="5" width="11.28515625" style="1581" hidden="1" customWidth="1"/>
    <col min="6" max="6" width="13.42578125" style="1581" hidden="1" customWidth="1"/>
    <col min="7" max="7" width="12.7109375" style="1581" customWidth="1"/>
    <col min="8" max="8" width="14.5703125" style="1581" customWidth="1"/>
    <col min="9" max="9" width="12.140625" style="1581" customWidth="1"/>
    <col min="10" max="10" width="11.42578125" style="1794" customWidth="1"/>
    <col min="11" max="11" width="11.7109375" style="1585" customWidth="1"/>
    <col min="12" max="12" width="10.140625" style="1585" customWidth="1"/>
    <col min="13" max="13" width="12.85546875" style="1582" customWidth="1"/>
    <col min="14" max="14" width="11.5703125" style="1583" customWidth="1"/>
    <col min="15" max="16384" width="9.140625" style="1581"/>
  </cols>
  <sheetData>
    <row r="1" spans="1:101" ht="18.75" customHeight="1" x14ac:dyDescent="0.3">
      <c r="I1" s="43"/>
      <c r="J1" s="43"/>
      <c r="K1" s="3038" t="s">
        <v>374</v>
      </c>
      <c r="L1" s="3038"/>
    </row>
    <row r="2" spans="1:101" ht="30" customHeight="1" x14ac:dyDescent="0.2">
      <c r="I2" s="1079"/>
      <c r="J2" s="1581"/>
      <c r="K2" s="1581"/>
      <c r="L2" s="1581"/>
      <c r="M2" s="274"/>
      <c r="N2" s="1078"/>
    </row>
    <row r="3" spans="1:101" ht="12" customHeight="1" thickBot="1" x14ac:dyDescent="0.25">
      <c r="A3" s="1584"/>
      <c r="B3" s="1585"/>
      <c r="I3" s="1079"/>
      <c r="J3" s="1581"/>
      <c r="K3" s="1581"/>
      <c r="L3" s="1581"/>
      <c r="M3" s="274"/>
      <c r="N3" s="1078"/>
    </row>
    <row r="4" spans="1:101" s="1587" customFormat="1" ht="48.75" customHeight="1" thickBot="1" x14ac:dyDescent="0.25">
      <c r="A4" s="3409" t="s">
        <v>210</v>
      </c>
      <c r="B4" s="3409"/>
      <c r="C4" s="3409"/>
      <c r="D4" s="3409"/>
      <c r="E4" s="3409"/>
      <c r="F4" s="3409"/>
      <c r="G4" s="3409"/>
      <c r="H4" s="3409"/>
      <c r="I4" s="3409"/>
      <c r="J4" s="3409"/>
      <c r="K4" s="3409"/>
      <c r="L4" s="3409"/>
      <c r="M4" s="3409"/>
      <c r="N4" s="3410"/>
      <c r="O4" s="1586"/>
      <c r="P4" s="1586"/>
      <c r="Q4" s="1586"/>
      <c r="R4" s="1586"/>
      <c r="S4" s="1586"/>
      <c r="T4" s="1586"/>
      <c r="U4" s="1586"/>
      <c r="V4" s="1586"/>
      <c r="W4" s="1586"/>
      <c r="X4" s="1586"/>
      <c r="Y4" s="1586"/>
      <c r="Z4" s="1586"/>
      <c r="AA4" s="1586"/>
      <c r="AB4" s="1586"/>
      <c r="AC4" s="1586"/>
      <c r="AD4" s="1586"/>
      <c r="AE4" s="1586"/>
      <c r="AF4" s="1586"/>
      <c r="AG4" s="1586"/>
      <c r="AH4" s="1586"/>
      <c r="AI4" s="1586"/>
      <c r="AJ4" s="1586"/>
      <c r="AK4" s="1586"/>
      <c r="AL4" s="1586"/>
      <c r="AM4" s="1586"/>
      <c r="AN4" s="1586"/>
      <c r="AO4" s="1586"/>
      <c r="AP4" s="1586"/>
      <c r="AQ4" s="1586"/>
      <c r="AR4" s="1586"/>
      <c r="AS4" s="1586"/>
      <c r="AT4" s="1586"/>
      <c r="AU4" s="1586"/>
      <c r="AV4" s="1586"/>
      <c r="AW4" s="1586"/>
      <c r="AX4" s="1586"/>
      <c r="AY4" s="1586"/>
      <c r="AZ4" s="1586"/>
      <c r="BA4" s="1586"/>
      <c r="BB4" s="1586"/>
      <c r="BC4" s="1586"/>
      <c r="BD4" s="1586"/>
      <c r="BE4" s="1586"/>
      <c r="BF4" s="1586"/>
      <c r="BG4" s="1586"/>
      <c r="BH4" s="1586"/>
      <c r="BI4" s="1586"/>
      <c r="BJ4" s="1586"/>
      <c r="BK4" s="1586"/>
      <c r="BL4" s="1586"/>
      <c r="BM4" s="1586"/>
      <c r="BN4" s="1586"/>
      <c r="BO4" s="1586"/>
      <c r="BP4" s="1586"/>
      <c r="BQ4" s="1586"/>
      <c r="BR4" s="1586"/>
      <c r="BS4" s="1586"/>
      <c r="BT4" s="1586"/>
      <c r="BU4" s="1586"/>
      <c r="BV4" s="1586"/>
      <c r="BW4" s="1586"/>
      <c r="BX4" s="1586"/>
      <c r="BY4" s="1586"/>
      <c r="BZ4" s="1586"/>
      <c r="CA4" s="1586"/>
      <c r="CB4" s="1586"/>
      <c r="CC4" s="1586"/>
      <c r="CD4" s="1586"/>
      <c r="CE4" s="1586"/>
      <c r="CF4" s="1586"/>
      <c r="CG4" s="1586"/>
      <c r="CH4" s="1586"/>
      <c r="CI4" s="1586"/>
      <c r="CJ4" s="1586"/>
      <c r="CK4" s="1586"/>
      <c r="CL4" s="1586"/>
      <c r="CM4" s="1586"/>
      <c r="CN4" s="1586"/>
      <c r="CO4" s="1586"/>
      <c r="CP4" s="1586"/>
      <c r="CQ4" s="1586"/>
      <c r="CR4" s="1586"/>
      <c r="CS4" s="1586"/>
      <c r="CT4" s="1586"/>
      <c r="CU4" s="1586"/>
      <c r="CV4" s="1586"/>
      <c r="CW4" s="1586"/>
    </row>
    <row r="5" spans="1:101" s="472" customFormat="1" ht="36.75" customHeight="1" x14ac:dyDescent="0.2">
      <c r="A5" s="3411" t="s">
        <v>24</v>
      </c>
      <c r="B5" s="3414" t="s">
        <v>25</v>
      </c>
      <c r="C5" s="3406" t="s">
        <v>26</v>
      </c>
      <c r="D5" s="3010" t="s">
        <v>317</v>
      </c>
      <c r="E5" s="3011"/>
      <c r="F5" s="3011"/>
      <c r="G5" s="3011"/>
      <c r="H5" s="3012"/>
      <c r="I5" s="3010" t="s">
        <v>314</v>
      </c>
      <c r="J5" s="3011"/>
      <c r="K5" s="3011"/>
      <c r="L5" s="3011"/>
      <c r="M5" s="3011"/>
      <c r="N5" s="3317" t="s">
        <v>27</v>
      </c>
    </row>
    <row r="6" spans="1:101" s="472" customFormat="1" ht="22.5" customHeight="1" x14ac:dyDescent="0.2">
      <c r="A6" s="3412"/>
      <c r="B6" s="3415"/>
      <c r="C6" s="3407"/>
      <c r="D6" s="3013" t="s">
        <v>0</v>
      </c>
      <c r="E6" s="3042" t="s">
        <v>163</v>
      </c>
      <c r="F6" s="3045" t="s">
        <v>286</v>
      </c>
      <c r="G6" s="3032" t="s">
        <v>260</v>
      </c>
      <c r="H6" s="3033"/>
      <c r="I6" s="3005" t="s">
        <v>311</v>
      </c>
      <c r="J6" s="3282" t="s">
        <v>309</v>
      </c>
      <c r="K6" s="3040" t="s">
        <v>313</v>
      </c>
      <c r="L6" s="3041"/>
      <c r="M6" s="3041"/>
      <c r="N6" s="3318"/>
    </row>
    <row r="7" spans="1:101" s="472" customFormat="1" ht="52.5" customHeight="1" x14ac:dyDescent="0.2">
      <c r="A7" s="3412"/>
      <c r="B7" s="3415"/>
      <c r="C7" s="3407"/>
      <c r="D7" s="3014"/>
      <c r="E7" s="3043"/>
      <c r="F7" s="3046"/>
      <c r="G7" s="3034" t="s">
        <v>318</v>
      </c>
      <c r="H7" s="3036" t="s">
        <v>221</v>
      </c>
      <c r="I7" s="3006"/>
      <c r="J7" s="3283"/>
      <c r="K7" s="2998" t="s">
        <v>312</v>
      </c>
      <c r="L7" s="3230" t="s">
        <v>310</v>
      </c>
      <c r="M7" s="3232" t="s">
        <v>315</v>
      </c>
      <c r="N7" s="3318"/>
    </row>
    <row r="8" spans="1:101" s="472" customFormat="1" ht="44.25" customHeight="1" thickBot="1" x14ac:dyDescent="0.25">
      <c r="A8" s="3413"/>
      <c r="B8" s="3416"/>
      <c r="C8" s="3408"/>
      <c r="D8" s="3234"/>
      <c r="E8" s="3235"/>
      <c r="F8" s="3236"/>
      <c r="G8" s="3237"/>
      <c r="H8" s="3238"/>
      <c r="I8" s="3336"/>
      <c r="J8" s="3284"/>
      <c r="K8" s="3229"/>
      <c r="L8" s="3231"/>
      <c r="M8" s="3233"/>
      <c r="N8" s="3319"/>
    </row>
    <row r="9" spans="1:101" s="1594" customFormat="1" ht="15.75" customHeight="1" thickBot="1" x14ac:dyDescent="0.25">
      <c r="A9" s="3444">
        <v>1</v>
      </c>
      <c r="B9" s="3445"/>
      <c r="C9" s="1588">
        <v>2</v>
      </c>
      <c r="D9" s="1589">
        <v>3</v>
      </c>
      <c r="E9" s="1590">
        <v>4</v>
      </c>
      <c r="F9" s="1590">
        <v>5</v>
      </c>
      <c r="G9" s="1590">
        <v>4</v>
      </c>
      <c r="H9" s="1591">
        <v>5</v>
      </c>
      <c r="I9" s="1589">
        <v>6</v>
      </c>
      <c r="J9" s="1590">
        <v>7</v>
      </c>
      <c r="K9" s="1590">
        <v>8</v>
      </c>
      <c r="L9" s="1592">
        <v>9</v>
      </c>
      <c r="M9" s="1590">
        <v>10</v>
      </c>
      <c r="N9" s="1593">
        <v>11</v>
      </c>
    </row>
    <row r="10" spans="1:101" s="274" customFormat="1" ht="18" customHeight="1" thickBot="1" x14ac:dyDescent="0.25">
      <c r="A10" s="1595"/>
      <c r="B10" s="267" t="s">
        <v>164</v>
      </c>
      <c r="C10" s="268"/>
      <c r="D10" s="50">
        <f>D11+D12</f>
        <v>880279</v>
      </c>
      <c r="E10" s="1596">
        <f t="shared" ref="E10:G10" si="0">E11+E12</f>
        <v>0</v>
      </c>
      <c r="F10" s="1596">
        <f t="shared" si="0"/>
        <v>0</v>
      </c>
      <c r="G10" s="54">
        <f t="shared" si="0"/>
        <v>221817</v>
      </c>
      <c r="H10" s="54">
        <f>H11+H12</f>
        <v>658462</v>
      </c>
      <c r="I10" s="50">
        <f>I11+I12</f>
        <v>205523</v>
      </c>
      <c r="J10" s="270">
        <f>I10/D10*100</f>
        <v>23.347484149911562</v>
      </c>
      <c r="K10" s="54">
        <f t="shared" ref="K10" si="1">K11+K12</f>
        <v>205523</v>
      </c>
      <c r="L10" s="270">
        <f>K10/G10*100</f>
        <v>92.654305125396164</v>
      </c>
      <c r="M10" s="51">
        <f t="shared" ref="M10:M20" si="2">+K10-G10</f>
        <v>-16294</v>
      </c>
      <c r="N10" s="1597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</row>
    <row r="11" spans="1:101" s="285" customFormat="1" ht="15" customHeight="1" thickTop="1" x14ac:dyDescent="0.2">
      <c r="A11" s="1598"/>
      <c r="B11" s="276" t="s">
        <v>165</v>
      </c>
      <c r="C11" s="277"/>
      <c r="D11" s="62">
        <f>D22+D31+D40</f>
        <v>880279</v>
      </c>
      <c r="E11" s="62">
        <f t="shared" ref="E11:H11" si="3">E22+E31+E40</f>
        <v>0</v>
      </c>
      <c r="F11" s="59">
        <f t="shared" si="3"/>
        <v>0</v>
      </c>
      <c r="G11" s="60">
        <f t="shared" si="3"/>
        <v>221817</v>
      </c>
      <c r="H11" s="1262">
        <f t="shared" si="3"/>
        <v>658462</v>
      </c>
      <c r="I11" s="62">
        <f>I22+I31+I40</f>
        <v>205523</v>
      </c>
      <c r="J11" s="936">
        <f>I11/D11*100</f>
        <v>23.347484149911562</v>
      </c>
      <c r="K11" s="1262">
        <f>K22+K31+K40</f>
        <v>205523</v>
      </c>
      <c r="L11" s="936">
        <f>K11/G11*100</f>
        <v>92.654305125396164</v>
      </c>
      <c r="M11" s="60">
        <f t="shared" si="2"/>
        <v>-16294</v>
      </c>
      <c r="N11" s="1599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</row>
    <row r="12" spans="1:101" s="274" customFormat="1" ht="15" customHeight="1" thickBot="1" x14ac:dyDescent="0.25">
      <c r="A12" s="1600"/>
      <c r="B12" s="287" t="s">
        <v>166</v>
      </c>
      <c r="C12" s="288"/>
      <c r="D12" s="1601">
        <v>0</v>
      </c>
      <c r="E12" s="1602">
        <v>0</v>
      </c>
      <c r="F12" s="1602">
        <v>0</v>
      </c>
      <c r="G12" s="1602">
        <v>0</v>
      </c>
      <c r="H12" s="1602">
        <v>0</v>
      </c>
      <c r="I12" s="1601">
        <v>0</v>
      </c>
      <c r="J12" s="1603">
        <v>0</v>
      </c>
      <c r="K12" s="1604">
        <v>0</v>
      </c>
      <c r="L12" s="1605">
        <v>0</v>
      </c>
      <c r="M12" s="1606">
        <f t="shared" si="2"/>
        <v>0</v>
      </c>
      <c r="N12" s="1597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</row>
    <row r="13" spans="1:101" s="1580" customFormat="1" ht="13.5" customHeight="1" x14ac:dyDescent="0.2">
      <c r="A13" s="3420"/>
      <c r="B13" s="297" t="s">
        <v>2</v>
      </c>
      <c r="C13" s="298"/>
      <c r="D13" s="1607">
        <f>+D14+D16</f>
        <v>880279</v>
      </c>
      <c r="E13" s="1608">
        <f t="shared" ref="E13:H13" si="4">+E14+E16</f>
        <v>0</v>
      </c>
      <c r="F13" s="1608">
        <f t="shared" si="4"/>
        <v>0</v>
      </c>
      <c r="G13" s="1609">
        <f t="shared" si="4"/>
        <v>221817</v>
      </c>
      <c r="H13" s="1609">
        <f t="shared" si="4"/>
        <v>658462</v>
      </c>
      <c r="I13" s="1607">
        <f>+I14+I16</f>
        <v>205523</v>
      </c>
      <c r="J13" s="303">
        <f t="shared" ref="J13:J20" si="5">I13/D13*100</f>
        <v>23.347484149911562</v>
      </c>
      <c r="K13" s="1609">
        <f t="shared" ref="K13" si="6">+K14+K16</f>
        <v>205523</v>
      </c>
      <c r="L13" s="303">
        <f t="shared" ref="L13:L20" si="7">K13/G13*100</f>
        <v>92.654305125396164</v>
      </c>
      <c r="M13" s="1610">
        <f t="shared" si="2"/>
        <v>-16294</v>
      </c>
      <c r="N13" s="3423" t="s">
        <v>78</v>
      </c>
    </row>
    <row r="14" spans="1:101" s="1616" customFormat="1" ht="14.25" customHeight="1" x14ac:dyDescent="0.2">
      <c r="A14" s="3421"/>
      <c r="B14" s="1611" t="s">
        <v>3</v>
      </c>
      <c r="C14" s="3426" t="s">
        <v>78</v>
      </c>
      <c r="D14" s="1612">
        <f t="shared" ref="D14:H14" si="8">+D15</f>
        <v>370618</v>
      </c>
      <c r="E14" s="1613">
        <f t="shared" si="8"/>
        <v>0</v>
      </c>
      <c r="F14" s="1613">
        <f t="shared" si="8"/>
        <v>0</v>
      </c>
      <c r="G14" s="1614">
        <f t="shared" si="8"/>
        <v>85191</v>
      </c>
      <c r="H14" s="1614">
        <f t="shared" si="8"/>
        <v>285427</v>
      </c>
      <c r="I14" s="1612">
        <f>+I15</f>
        <v>79393</v>
      </c>
      <c r="J14" s="311">
        <f t="shared" si="5"/>
        <v>21.421787392949074</v>
      </c>
      <c r="K14" s="1614">
        <f t="shared" ref="K14" si="9">+K15</f>
        <v>79393</v>
      </c>
      <c r="L14" s="311">
        <f t="shared" si="7"/>
        <v>93.19411674942188</v>
      </c>
      <c r="M14" s="1615">
        <f t="shared" si="2"/>
        <v>-5798</v>
      </c>
      <c r="N14" s="3424"/>
      <c r="O14" s="284"/>
      <c r="P14" s="284"/>
      <c r="Q14" s="284"/>
      <c r="R14" s="284"/>
    </row>
    <row r="15" spans="1:101" s="1622" customFormat="1" ht="13.5" customHeight="1" x14ac:dyDescent="0.2">
      <c r="A15" s="3421"/>
      <c r="B15" s="1617" t="s">
        <v>4</v>
      </c>
      <c r="C15" s="3426"/>
      <c r="D15" s="1618">
        <f>D24+D33</f>
        <v>370618</v>
      </c>
      <c r="E15" s="1619">
        <f t="shared" ref="E15:F15" si="10">E24</f>
        <v>0</v>
      </c>
      <c r="F15" s="1619">
        <f t="shared" si="10"/>
        <v>0</v>
      </c>
      <c r="G15" s="1620">
        <f t="shared" ref="G15:K15" si="11">G24+G33</f>
        <v>85191</v>
      </c>
      <c r="H15" s="1620">
        <f>H24+H33</f>
        <v>285427</v>
      </c>
      <c r="I15" s="1618">
        <f t="shared" si="11"/>
        <v>79393</v>
      </c>
      <c r="J15" s="320">
        <f t="shared" si="5"/>
        <v>21.421787392949074</v>
      </c>
      <c r="K15" s="1618">
        <f t="shared" si="11"/>
        <v>79393</v>
      </c>
      <c r="L15" s="320">
        <f t="shared" si="7"/>
        <v>93.19411674942188</v>
      </c>
      <c r="M15" s="1621">
        <f t="shared" si="2"/>
        <v>-5798</v>
      </c>
      <c r="N15" s="3424"/>
    </row>
    <row r="16" spans="1:101" s="1616" customFormat="1" ht="13.5" customHeight="1" x14ac:dyDescent="0.2">
      <c r="A16" s="3421"/>
      <c r="B16" s="1278" t="s">
        <v>12</v>
      </c>
      <c r="C16" s="3426"/>
      <c r="D16" s="1612">
        <f t="shared" ref="D16:H16" si="12">D17</f>
        <v>509661</v>
      </c>
      <c r="E16" s="1613">
        <f t="shared" si="12"/>
        <v>0</v>
      </c>
      <c r="F16" s="1613">
        <f t="shared" si="12"/>
        <v>0</v>
      </c>
      <c r="G16" s="1614">
        <f t="shared" si="12"/>
        <v>136626</v>
      </c>
      <c r="H16" s="1614">
        <f t="shared" si="12"/>
        <v>373035</v>
      </c>
      <c r="I16" s="1612">
        <f t="shared" ref="I16:K16" si="13">I17</f>
        <v>126130</v>
      </c>
      <c r="J16" s="1623">
        <f t="shared" si="5"/>
        <v>24.747822572258816</v>
      </c>
      <c r="K16" s="1614">
        <f t="shared" si="13"/>
        <v>126130</v>
      </c>
      <c r="L16" s="1624">
        <f t="shared" si="7"/>
        <v>92.317714051498243</v>
      </c>
      <c r="M16" s="1615">
        <f t="shared" si="2"/>
        <v>-10496</v>
      </c>
      <c r="N16" s="3424"/>
      <c r="O16" s="1284"/>
      <c r="P16" s="1284"/>
      <c r="Q16" s="1284"/>
      <c r="R16" s="1284"/>
    </row>
    <row r="17" spans="1:18" s="1627" customFormat="1" ht="14.1" customHeight="1" x14ac:dyDescent="0.2">
      <c r="A17" s="3421"/>
      <c r="B17" s="351" t="s">
        <v>13</v>
      </c>
      <c r="C17" s="3426"/>
      <c r="D17" s="1618">
        <f>D26+D35+D42</f>
        <v>509661</v>
      </c>
      <c r="E17" s="1619">
        <f t="shared" ref="E17:I17" si="14">E26+E35+E42</f>
        <v>0</v>
      </c>
      <c r="F17" s="1619">
        <f t="shared" si="14"/>
        <v>0</v>
      </c>
      <c r="G17" s="1620">
        <f t="shared" si="14"/>
        <v>136626</v>
      </c>
      <c r="H17" s="1620">
        <f t="shared" si="14"/>
        <v>373035</v>
      </c>
      <c r="I17" s="1618">
        <f t="shared" si="14"/>
        <v>126130</v>
      </c>
      <c r="J17" s="1625">
        <f t="shared" si="5"/>
        <v>24.747822572258816</v>
      </c>
      <c r="K17" s="1618">
        <f>K26+K35+K42</f>
        <v>126130</v>
      </c>
      <c r="L17" s="1626">
        <f t="shared" si="7"/>
        <v>92.317714051498243</v>
      </c>
      <c r="M17" s="1621">
        <f t="shared" si="2"/>
        <v>-10496</v>
      </c>
      <c r="N17" s="3424"/>
      <c r="O17" s="273"/>
      <c r="P17" s="273"/>
      <c r="Q17" s="273"/>
      <c r="R17" s="273"/>
    </row>
    <row r="18" spans="1:18" s="1627" customFormat="1" ht="14.1" customHeight="1" x14ac:dyDescent="0.2">
      <c r="A18" s="3421"/>
      <c r="B18" s="334" t="s">
        <v>16</v>
      </c>
      <c r="C18" s="1628"/>
      <c r="D18" s="1629">
        <f t="shared" ref="D18:H18" si="15">+D19</f>
        <v>509661</v>
      </c>
      <c r="E18" s="1630">
        <f t="shared" si="15"/>
        <v>0</v>
      </c>
      <c r="F18" s="1630">
        <f t="shared" si="15"/>
        <v>0</v>
      </c>
      <c r="G18" s="1315">
        <f t="shared" si="15"/>
        <v>157963</v>
      </c>
      <c r="H18" s="1315">
        <f t="shared" si="15"/>
        <v>351698</v>
      </c>
      <c r="I18" s="1629">
        <f t="shared" ref="I18:K18" si="16">+I19</f>
        <v>158034</v>
      </c>
      <c r="J18" s="1631">
        <f t="shared" si="5"/>
        <v>31.007669804046216</v>
      </c>
      <c r="K18" s="1315">
        <f t="shared" si="16"/>
        <v>158034</v>
      </c>
      <c r="L18" s="1631">
        <f t="shared" si="7"/>
        <v>100.04494723447897</v>
      </c>
      <c r="M18" s="1320">
        <f t="shared" si="2"/>
        <v>71</v>
      </c>
      <c r="N18" s="3424"/>
      <c r="O18" s="273"/>
      <c r="P18" s="273"/>
      <c r="Q18" s="273"/>
      <c r="R18" s="273"/>
    </row>
    <row r="19" spans="1:18" s="1616" customFormat="1" ht="14.1" customHeight="1" x14ac:dyDescent="0.2">
      <c r="A19" s="3421"/>
      <c r="B19" s="1278" t="s">
        <v>12</v>
      </c>
      <c r="C19" s="3426"/>
      <c r="D19" s="1612">
        <f t="shared" ref="D19:K19" si="17">D20</f>
        <v>509661</v>
      </c>
      <c r="E19" s="1613">
        <f t="shared" si="17"/>
        <v>0</v>
      </c>
      <c r="F19" s="1613">
        <f t="shared" si="17"/>
        <v>0</v>
      </c>
      <c r="G19" s="1614">
        <f t="shared" si="17"/>
        <v>157963</v>
      </c>
      <c r="H19" s="1614">
        <f t="shared" si="17"/>
        <v>351698</v>
      </c>
      <c r="I19" s="1612">
        <f t="shared" si="17"/>
        <v>158034</v>
      </c>
      <c r="J19" s="1625">
        <f t="shared" si="5"/>
        <v>31.007669804046216</v>
      </c>
      <c r="K19" s="1614">
        <f t="shared" si="17"/>
        <v>158034</v>
      </c>
      <c r="L19" s="1626">
        <f t="shared" si="7"/>
        <v>100.04494723447897</v>
      </c>
      <c r="M19" s="1615">
        <f t="shared" si="2"/>
        <v>71</v>
      </c>
      <c r="N19" s="3424"/>
      <c r="O19" s="1284"/>
      <c r="P19" s="1284"/>
      <c r="Q19" s="1284"/>
      <c r="R19" s="1284"/>
    </row>
    <row r="20" spans="1:18" s="1627" customFormat="1" ht="13.5" thickBot="1" x14ac:dyDescent="0.25">
      <c r="A20" s="3422"/>
      <c r="B20" s="1632" t="s">
        <v>13</v>
      </c>
      <c r="C20" s="3427"/>
      <c r="D20" s="1633">
        <f>D29+D38+D45</f>
        <v>509661</v>
      </c>
      <c r="E20" s="1634">
        <f t="shared" ref="E20:I20" si="18">E29+E38+E45</f>
        <v>0</v>
      </c>
      <c r="F20" s="1634">
        <f t="shared" si="18"/>
        <v>0</v>
      </c>
      <c r="G20" s="1634">
        <f t="shared" si="18"/>
        <v>157963</v>
      </c>
      <c r="H20" s="1635">
        <f t="shared" si="18"/>
        <v>351698</v>
      </c>
      <c r="I20" s="1636">
        <f t="shared" si="18"/>
        <v>158034</v>
      </c>
      <c r="J20" s="1625">
        <f t="shared" si="5"/>
        <v>31.007669804046216</v>
      </c>
      <c r="K20" s="1637">
        <f>K29+K38+K45</f>
        <v>158034</v>
      </c>
      <c r="L20" s="1626">
        <f t="shared" si="7"/>
        <v>100.04494723447897</v>
      </c>
      <c r="M20" s="1634">
        <f t="shared" si="2"/>
        <v>71</v>
      </c>
      <c r="N20" s="3425"/>
      <c r="O20" s="273"/>
      <c r="P20" s="273"/>
      <c r="Q20" s="273"/>
      <c r="R20" s="273"/>
    </row>
    <row r="21" spans="1:18" s="20" customFormat="1" ht="65.25" customHeight="1" x14ac:dyDescent="0.2">
      <c r="A21" s="3428" t="s">
        <v>32</v>
      </c>
      <c r="B21" s="1638" t="s">
        <v>267</v>
      </c>
      <c r="C21" s="1639" t="s">
        <v>173</v>
      </c>
      <c r="D21" s="1640"/>
      <c r="E21" s="1641"/>
      <c r="F21" s="1641"/>
      <c r="G21" s="1642"/>
      <c r="H21" s="1643"/>
      <c r="I21" s="1644"/>
      <c r="J21" s="1645"/>
      <c r="K21" s="1646"/>
      <c r="L21" s="1647"/>
      <c r="M21" s="1648"/>
      <c r="N21" s="3431" t="s">
        <v>212</v>
      </c>
    </row>
    <row r="22" spans="1:18" s="20" customFormat="1" ht="13.5" customHeight="1" x14ac:dyDescent="0.2">
      <c r="A22" s="3429"/>
      <c r="B22" s="334" t="s">
        <v>2</v>
      </c>
      <c r="C22" s="27"/>
      <c r="D22" s="415">
        <f t="shared" ref="D22" si="19">+D23+D25</f>
        <v>84809</v>
      </c>
      <c r="E22" s="593">
        <f>+E23+E25</f>
        <v>0</v>
      </c>
      <c r="F22" s="593">
        <f>+F23+F25</f>
        <v>0</v>
      </c>
      <c r="G22" s="416">
        <f t="shared" ref="G22:H22" si="20">+G23+G25</f>
        <v>59727</v>
      </c>
      <c r="H22" s="453">
        <f t="shared" si="20"/>
        <v>25082</v>
      </c>
      <c r="I22" s="415">
        <f>+E22+F22+K22</f>
        <v>57581</v>
      </c>
      <c r="J22" s="29">
        <f>I22/D22*100</f>
        <v>67.894916813074076</v>
      </c>
      <c r="K22" s="416">
        <f>K23+K25</f>
        <v>57581</v>
      </c>
      <c r="L22" s="29">
        <f t="shared" ref="L22:L29" si="21">K22/G22*100</f>
        <v>96.406985115609359</v>
      </c>
      <c r="M22" s="416">
        <f t="shared" ref="M22:M29" si="22">+K22-G22</f>
        <v>-2146</v>
      </c>
      <c r="N22" s="3432"/>
    </row>
    <row r="23" spans="1:18" s="20" customFormat="1" ht="13.5" customHeight="1" x14ac:dyDescent="0.2">
      <c r="A23" s="3429"/>
      <c r="B23" s="1649" t="s">
        <v>17</v>
      </c>
      <c r="C23" s="3211" t="s">
        <v>268</v>
      </c>
      <c r="D23" s="558">
        <f t="shared" ref="D23:H23" si="23">+D24</f>
        <v>21203</v>
      </c>
      <c r="E23" s="585">
        <f t="shared" si="23"/>
        <v>0</v>
      </c>
      <c r="F23" s="585">
        <f t="shared" si="23"/>
        <v>0</v>
      </c>
      <c r="G23" s="559">
        <f t="shared" si="23"/>
        <v>15308</v>
      </c>
      <c r="H23" s="604">
        <f t="shared" si="23"/>
        <v>5895</v>
      </c>
      <c r="I23" s="558">
        <f t="shared" ref="I23:I38" si="24">+E23+F23+K23</f>
        <v>14588</v>
      </c>
      <c r="J23" s="1650">
        <f t="shared" ref="J23:J29" si="25">I23/D23*100</f>
        <v>68.801584681413004</v>
      </c>
      <c r="K23" s="1651">
        <f>K24</f>
        <v>14588</v>
      </c>
      <c r="L23" s="1650">
        <f t="shared" si="21"/>
        <v>95.296576953227074</v>
      </c>
      <c r="M23" s="559">
        <f t="shared" si="22"/>
        <v>-720</v>
      </c>
      <c r="N23" s="3432"/>
    </row>
    <row r="24" spans="1:18" s="20" customFormat="1" ht="13.5" customHeight="1" x14ac:dyDescent="0.2">
      <c r="A24" s="3429"/>
      <c r="B24" s="460" t="s">
        <v>4</v>
      </c>
      <c r="C24" s="3434"/>
      <c r="D24" s="1652">
        <f>+E24+F24+G24+H24</f>
        <v>21203</v>
      </c>
      <c r="E24" s="470">
        <v>0</v>
      </c>
      <c r="F24" s="470">
        <v>0</v>
      </c>
      <c r="G24" s="463">
        <v>15308</v>
      </c>
      <c r="H24" s="1653">
        <v>5895</v>
      </c>
      <c r="I24" s="1422">
        <f t="shared" si="24"/>
        <v>14588</v>
      </c>
      <c r="J24" s="465">
        <f t="shared" si="25"/>
        <v>68.801584681413004</v>
      </c>
      <c r="K24" s="463">
        <v>14588</v>
      </c>
      <c r="L24" s="465">
        <f t="shared" si="21"/>
        <v>95.296576953227074</v>
      </c>
      <c r="M24" s="463">
        <f t="shared" si="22"/>
        <v>-720</v>
      </c>
      <c r="N24" s="3432"/>
    </row>
    <row r="25" spans="1:18" s="20" customFormat="1" ht="13.5" customHeight="1" x14ac:dyDescent="0.2">
      <c r="A25" s="3429"/>
      <c r="B25" s="473" t="s">
        <v>12</v>
      </c>
      <c r="C25" s="3434"/>
      <c r="D25" s="474">
        <f t="shared" ref="D25:H25" si="26">+D26</f>
        <v>63606</v>
      </c>
      <c r="E25" s="607">
        <f t="shared" si="26"/>
        <v>0</v>
      </c>
      <c r="F25" s="607">
        <f t="shared" si="26"/>
        <v>0</v>
      </c>
      <c r="G25" s="520">
        <f t="shared" si="26"/>
        <v>44419</v>
      </c>
      <c r="H25" s="521">
        <f t="shared" si="26"/>
        <v>19187</v>
      </c>
      <c r="I25" s="474">
        <f t="shared" si="24"/>
        <v>42993</v>
      </c>
      <c r="J25" s="176">
        <f t="shared" si="25"/>
        <v>67.592679935855102</v>
      </c>
      <c r="K25" s="916">
        <f>K26</f>
        <v>42993</v>
      </c>
      <c r="L25" s="176">
        <f t="shared" si="21"/>
        <v>96.789662081541678</v>
      </c>
      <c r="M25" s="520">
        <f t="shared" si="22"/>
        <v>-1426</v>
      </c>
      <c r="N25" s="3432"/>
    </row>
    <row r="26" spans="1:18" s="20" customFormat="1" ht="13.5" customHeight="1" x14ac:dyDescent="0.2">
      <c r="A26" s="3429"/>
      <c r="B26" s="1654" t="s">
        <v>13</v>
      </c>
      <c r="C26" s="3435"/>
      <c r="D26" s="1652">
        <f>+E26+F26+G26+H26</f>
        <v>63606</v>
      </c>
      <c r="E26" s="470">
        <v>0</v>
      </c>
      <c r="F26" s="1655">
        <v>0</v>
      </c>
      <c r="G26" s="1069">
        <v>44419</v>
      </c>
      <c r="H26" s="467">
        <v>19187</v>
      </c>
      <c r="I26" s="1422">
        <f t="shared" si="24"/>
        <v>42993</v>
      </c>
      <c r="J26" s="1656">
        <f t="shared" si="25"/>
        <v>67.592679935855102</v>
      </c>
      <c r="K26" s="1657">
        <v>42993</v>
      </c>
      <c r="L26" s="1656">
        <f t="shared" si="21"/>
        <v>96.789662081541678</v>
      </c>
      <c r="M26" s="1069">
        <f t="shared" si="22"/>
        <v>-1426</v>
      </c>
      <c r="N26" s="3432"/>
    </row>
    <row r="27" spans="1:18" s="20" customFormat="1" ht="13.5" customHeight="1" x14ac:dyDescent="0.2">
      <c r="A27" s="3429"/>
      <c r="B27" s="334" t="s">
        <v>16</v>
      </c>
      <c r="C27" s="1658"/>
      <c r="D27" s="1659">
        <f>+D28</f>
        <v>63606</v>
      </c>
      <c r="E27" s="1660">
        <f t="shared" ref="E27:H28" si="27">+E28</f>
        <v>0</v>
      </c>
      <c r="F27" s="1661">
        <f t="shared" si="27"/>
        <v>0</v>
      </c>
      <c r="G27" s="1662">
        <f t="shared" si="27"/>
        <v>50885</v>
      </c>
      <c r="H27" s="1663">
        <f t="shared" si="27"/>
        <v>12721</v>
      </c>
      <c r="I27" s="1664">
        <f t="shared" si="24"/>
        <v>50885</v>
      </c>
      <c r="J27" s="29">
        <f t="shared" si="25"/>
        <v>80.000314435745054</v>
      </c>
      <c r="K27" s="416">
        <f>K28</f>
        <v>50885</v>
      </c>
      <c r="L27" s="29">
        <f t="shared" si="21"/>
        <v>100</v>
      </c>
      <c r="M27" s="1662">
        <f t="shared" si="22"/>
        <v>0</v>
      </c>
      <c r="N27" s="3432"/>
    </row>
    <row r="28" spans="1:18" s="1670" customFormat="1" ht="12.75" customHeight="1" x14ac:dyDescent="0.2">
      <c r="A28" s="3429"/>
      <c r="B28" s="1665" t="s">
        <v>12</v>
      </c>
      <c r="C28" s="3436" t="s">
        <v>269</v>
      </c>
      <c r="D28" s="1666">
        <f>+D29</f>
        <v>63606</v>
      </c>
      <c r="E28" s="477">
        <f t="shared" si="27"/>
        <v>0</v>
      </c>
      <c r="F28" s="477">
        <f t="shared" si="27"/>
        <v>0</v>
      </c>
      <c r="G28" s="475">
        <f t="shared" si="27"/>
        <v>50885</v>
      </c>
      <c r="H28" s="479">
        <f t="shared" si="27"/>
        <v>12721</v>
      </c>
      <c r="I28" s="1667">
        <f t="shared" si="24"/>
        <v>50885</v>
      </c>
      <c r="J28" s="1668">
        <f t="shared" si="25"/>
        <v>80.000314435745054</v>
      </c>
      <c r="K28" s="1669">
        <f>K29</f>
        <v>50885</v>
      </c>
      <c r="L28" s="1668">
        <f t="shared" si="21"/>
        <v>100</v>
      </c>
      <c r="M28" s="475">
        <f t="shared" si="22"/>
        <v>0</v>
      </c>
      <c r="N28" s="3432"/>
    </row>
    <row r="29" spans="1:18" s="20" customFormat="1" ht="17.25" customHeight="1" thickBot="1" x14ac:dyDescent="0.25">
      <c r="A29" s="3430"/>
      <c r="B29" s="1671" t="s">
        <v>13</v>
      </c>
      <c r="C29" s="3101"/>
      <c r="D29" s="500">
        <f>+E29+F29+G29+H29</f>
        <v>63606</v>
      </c>
      <c r="E29" s="526">
        <v>0</v>
      </c>
      <c r="F29" s="526">
        <v>0</v>
      </c>
      <c r="G29" s="502">
        <v>50885</v>
      </c>
      <c r="H29" s="507">
        <v>12721</v>
      </c>
      <c r="I29" s="1449">
        <f t="shared" si="24"/>
        <v>50885</v>
      </c>
      <c r="J29" s="33">
        <f t="shared" si="25"/>
        <v>80.000314435745054</v>
      </c>
      <c r="K29" s="922">
        <v>50885</v>
      </c>
      <c r="L29" s="33">
        <f t="shared" si="21"/>
        <v>100</v>
      </c>
      <c r="M29" s="502">
        <f t="shared" si="22"/>
        <v>0</v>
      </c>
      <c r="N29" s="3433"/>
    </row>
    <row r="30" spans="1:18" s="20" customFormat="1" ht="30" customHeight="1" x14ac:dyDescent="0.2">
      <c r="A30" s="3428" t="s">
        <v>35</v>
      </c>
      <c r="B30" s="1638" t="s">
        <v>270</v>
      </c>
      <c r="C30" s="1639"/>
      <c r="D30" s="1644"/>
      <c r="E30" s="1672"/>
      <c r="F30" s="1672"/>
      <c r="G30" s="1648"/>
      <c r="H30" s="1673"/>
      <c r="I30" s="1644"/>
      <c r="J30" s="1645"/>
      <c r="K30" s="1646"/>
      <c r="L30" s="1645"/>
      <c r="M30" s="1648"/>
      <c r="N30" s="3431" t="s">
        <v>212</v>
      </c>
    </row>
    <row r="31" spans="1:18" s="20" customFormat="1" ht="17.25" customHeight="1" x14ac:dyDescent="0.2">
      <c r="A31" s="3429"/>
      <c r="B31" s="334" t="s">
        <v>2</v>
      </c>
      <c r="C31" s="27"/>
      <c r="D31" s="415">
        <f t="shared" ref="D31" si="28">+D32+D34</f>
        <v>727950</v>
      </c>
      <c r="E31" s="593">
        <v>0</v>
      </c>
      <c r="F31" s="593">
        <v>0</v>
      </c>
      <c r="G31" s="416">
        <f t="shared" ref="G31:H31" si="29">+G32+G34</f>
        <v>145590</v>
      </c>
      <c r="H31" s="453">
        <f t="shared" si="29"/>
        <v>582360</v>
      </c>
      <c r="I31" s="415">
        <f t="shared" si="24"/>
        <v>131442</v>
      </c>
      <c r="J31" s="29">
        <f t="shared" ref="J31:J38" si="30">I31/D31*100</f>
        <v>18.056459921697918</v>
      </c>
      <c r="K31" s="416">
        <f>K32+K34</f>
        <v>131442</v>
      </c>
      <c r="L31" s="29">
        <f t="shared" ref="L31:L38" si="31">K31/G31*100</f>
        <v>90.282299608489595</v>
      </c>
      <c r="M31" s="416">
        <f t="shared" ref="M31:M38" si="32">+K31-G31</f>
        <v>-14148</v>
      </c>
      <c r="N31" s="3432"/>
    </row>
    <row r="32" spans="1:18" s="20" customFormat="1" ht="17.25" customHeight="1" x14ac:dyDescent="0.2">
      <c r="A32" s="3429"/>
      <c r="B32" s="1649" t="s">
        <v>17</v>
      </c>
      <c r="C32" s="3211" t="s">
        <v>271</v>
      </c>
      <c r="D32" s="558">
        <f t="shared" ref="D32" si="33">+D33</f>
        <v>349415</v>
      </c>
      <c r="E32" s="585">
        <v>0</v>
      </c>
      <c r="F32" s="585">
        <v>0</v>
      </c>
      <c r="G32" s="559">
        <f t="shared" ref="G32:H32" si="34">+G33</f>
        <v>69883</v>
      </c>
      <c r="H32" s="604">
        <f t="shared" si="34"/>
        <v>279532</v>
      </c>
      <c r="I32" s="558">
        <f t="shared" si="24"/>
        <v>64805</v>
      </c>
      <c r="J32" s="1650">
        <f t="shared" si="30"/>
        <v>18.546713793054103</v>
      </c>
      <c r="K32" s="1651">
        <f>K33</f>
        <v>64805</v>
      </c>
      <c r="L32" s="1650">
        <f t="shared" si="31"/>
        <v>92.733568965270521</v>
      </c>
      <c r="M32" s="559">
        <f t="shared" si="32"/>
        <v>-5078</v>
      </c>
      <c r="N32" s="3432"/>
    </row>
    <row r="33" spans="1:14" s="20" customFormat="1" ht="17.25" customHeight="1" thickBot="1" x14ac:dyDescent="0.25">
      <c r="A33" s="3429"/>
      <c r="B33" s="460" t="s">
        <v>4</v>
      </c>
      <c r="C33" s="3088"/>
      <c r="D33" s="461">
        <f>+E33+F33+G33+H33</f>
        <v>349415</v>
      </c>
      <c r="E33" s="470">
        <v>0</v>
      </c>
      <c r="F33" s="470">
        <v>0</v>
      </c>
      <c r="G33" s="463">
        <v>69883</v>
      </c>
      <c r="H33" s="467">
        <f>69883+69883+69883+69883</f>
        <v>279532</v>
      </c>
      <c r="I33" s="1422">
        <f t="shared" si="24"/>
        <v>64805</v>
      </c>
      <c r="J33" s="465">
        <f t="shared" si="30"/>
        <v>18.546713793054103</v>
      </c>
      <c r="K33" s="463">
        <v>64805</v>
      </c>
      <c r="L33" s="465">
        <f t="shared" si="31"/>
        <v>92.733568965270521</v>
      </c>
      <c r="M33" s="463">
        <f t="shared" si="32"/>
        <v>-5078</v>
      </c>
      <c r="N33" s="3432"/>
    </row>
    <row r="34" spans="1:14" s="20" customFormat="1" ht="15" customHeight="1" x14ac:dyDescent="0.2">
      <c r="A34" s="3437"/>
      <c r="B34" s="473" t="s">
        <v>12</v>
      </c>
      <c r="C34" s="3302"/>
      <c r="D34" s="474">
        <f t="shared" ref="D34" si="35">+D35</f>
        <v>378535</v>
      </c>
      <c r="E34" s="607">
        <v>0</v>
      </c>
      <c r="F34" s="607">
        <v>0</v>
      </c>
      <c r="G34" s="520">
        <f t="shared" ref="G34:H34" si="36">+G35</f>
        <v>75707</v>
      </c>
      <c r="H34" s="521">
        <f t="shared" si="36"/>
        <v>302828</v>
      </c>
      <c r="I34" s="474">
        <f t="shared" si="24"/>
        <v>66637</v>
      </c>
      <c r="J34" s="176">
        <f t="shared" si="30"/>
        <v>17.603920377243849</v>
      </c>
      <c r="K34" s="916">
        <f>K35</f>
        <v>66637</v>
      </c>
      <c r="L34" s="176">
        <f t="shared" si="31"/>
        <v>88.019601886219249</v>
      </c>
      <c r="M34" s="520">
        <f t="shared" si="32"/>
        <v>-9070</v>
      </c>
      <c r="N34" s="3431"/>
    </row>
    <row r="35" spans="1:14" s="20" customFormat="1" ht="15" customHeight="1" x14ac:dyDescent="0.2">
      <c r="A35" s="3429"/>
      <c r="B35" s="1674" t="s">
        <v>13</v>
      </c>
      <c r="C35" s="3087"/>
      <c r="D35" s="461">
        <f>+E35+F35+G35+H35</f>
        <v>378535</v>
      </c>
      <c r="E35" s="470">
        <v>0</v>
      </c>
      <c r="F35" s="470">
        <v>0</v>
      </c>
      <c r="G35" s="463">
        <v>75707</v>
      </c>
      <c r="H35" s="467">
        <f>75707+75707+75707+75707</f>
        <v>302828</v>
      </c>
      <c r="I35" s="1422">
        <f t="shared" si="24"/>
        <v>66637</v>
      </c>
      <c r="J35" s="465">
        <f t="shared" si="30"/>
        <v>17.603920377243849</v>
      </c>
      <c r="K35" s="463">
        <v>66637</v>
      </c>
      <c r="L35" s="465">
        <f t="shared" si="31"/>
        <v>88.019601886219249</v>
      </c>
      <c r="M35" s="463">
        <f t="shared" si="32"/>
        <v>-9070</v>
      </c>
      <c r="N35" s="3432"/>
    </row>
    <row r="36" spans="1:14" s="20" customFormat="1" ht="17.25" customHeight="1" thickBot="1" x14ac:dyDescent="0.25">
      <c r="A36" s="3429"/>
      <c r="B36" s="334" t="s">
        <v>16</v>
      </c>
      <c r="C36" s="27"/>
      <c r="D36" s="415">
        <f>+D37</f>
        <v>378535</v>
      </c>
      <c r="E36" s="593">
        <v>0</v>
      </c>
      <c r="F36" s="593">
        <v>0</v>
      </c>
      <c r="G36" s="416">
        <f t="shared" ref="G36:H37" si="37">+G37</f>
        <v>52995</v>
      </c>
      <c r="H36" s="453">
        <f t="shared" si="37"/>
        <v>325540</v>
      </c>
      <c r="I36" s="415">
        <f t="shared" si="24"/>
        <v>53066</v>
      </c>
      <c r="J36" s="29">
        <f t="shared" si="30"/>
        <v>14.018782939490404</v>
      </c>
      <c r="K36" s="416">
        <f>K37</f>
        <v>53066</v>
      </c>
      <c r="L36" s="29">
        <f t="shared" si="31"/>
        <v>100.13397490329277</v>
      </c>
      <c r="M36" s="416">
        <f t="shared" si="32"/>
        <v>71</v>
      </c>
      <c r="N36" s="3432"/>
    </row>
    <row r="37" spans="1:14" s="20" customFormat="1" ht="17.25" customHeight="1" x14ac:dyDescent="0.2">
      <c r="A37" s="3437"/>
      <c r="B37" s="1665" t="s">
        <v>12</v>
      </c>
      <c r="C37" s="3193" t="s">
        <v>271</v>
      </c>
      <c r="D37" s="474">
        <f>+D38</f>
        <v>378535</v>
      </c>
      <c r="E37" s="477">
        <v>0</v>
      </c>
      <c r="F37" s="477">
        <v>0</v>
      </c>
      <c r="G37" s="475">
        <f t="shared" si="37"/>
        <v>52995</v>
      </c>
      <c r="H37" s="479">
        <f t="shared" si="37"/>
        <v>325540</v>
      </c>
      <c r="I37" s="474">
        <f t="shared" si="24"/>
        <v>53066</v>
      </c>
      <c r="J37" s="31">
        <f t="shared" si="30"/>
        <v>14.018782939490404</v>
      </c>
      <c r="K37" s="475">
        <f>K38</f>
        <v>53066</v>
      </c>
      <c r="L37" s="31">
        <f t="shared" si="31"/>
        <v>100.13397490329277</v>
      </c>
      <c r="M37" s="475">
        <f t="shared" si="32"/>
        <v>71</v>
      </c>
      <c r="N37" s="3431"/>
    </row>
    <row r="38" spans="1:14" s="20" customFormat="1" ht="18.75" customHeight="1" thickBot="1" x14ac:dyDescent="0.25">
      <c r="A38" s="3430"/>
      <c r="B38" s="1671" t="s">
        <v>13</v>
      </c>
      <c r="C38" s="3090"/>
      <c r="D38" s="500">
        <f>+E38+F38+G38+H38</f>
        <v>378535</v>
      </c>
      <c r="E38" s="526">
        <v>0</v>
      </c>
      <c r="F38" s="526">
        <v>0</v>
      </c>
      <c r="G38" s="502">
        <v>52995</v>
      </c>
      <c r="H38" s="507">
        <f>75707+75707+75707+75707+22712</f>
        <v>325540</v>
      </c>
      <c r="I38" s="1449">
        <f t="shared" si="24"/>
        <v>53066</v>
      </c>
      <c r="J38" s="33">
        <f t="shared" si="30"/>
        <v>14.018782939490404</v>
      </c>
      <c r="K38" s="922">
        <v>53066</v>
      </c>
      <c r="L38" s="33">
        <f t="shared" si="31"/>
        <v>100.13397490329277</v>
      </c>
      <c r="M38" s="502">
        <f t="shared" si="32"/>
        <v>71</v>
      </c>
      <c r="N38" s="3433"/>
    </row>
    <row r="39" spans="1:14" s="20" customFormat="1" ht="66" customHeight="1" x14ac:dyDescent="0.2">
      <c r="A39" s="3438" t="s">
        <v>40</v>
      </c>
      <c r="B39" s="1638" t="s">
        <v>369</v>
      </c>
      <c r="C39" s="1675" t="s">
        <v>320</v>
      </c>
      <c r="D39" s="1644"/>
      <c r="E39" s="1672"/>
      <c r="F39" s="1672"/>
      <c r="G39" s="1648"/>
      <c r="H39" s="1673"/>
      <c r="I39" s="1644"/>
      <c r="J39" s="1645"/>
      <c r="K39" s="1646"/>
      <c r="L39" s="1645"/>
      <c r="M39" s="1648"/>
      <c r="N39" s="3339" t="s">
        <v>322</v>
      </c>
    </row>
    <row r="40" spans="1:14" s="20" customFormat="1" ht="17.25" customHeight="1" x14ac:dyDescent="0.2">
      <c r="A40" s="3439"/>
      <c r="B40" s="566" t="s">
        <v>2</v>
      </c>
      <c r="C40" s="21"/>
      <c r="D40" s="415">
        <f>+D41</f>
        <v>67520</v>
      </c>
      <c r="E40" s="593">
        <v>0</v>
      </c>
      <c r="F40" s="593">
        <v>0</v>
      </c>
      <c r="G40" s="416">
        <f>+G41</f>
        <v>16500</v>
      </c>
      <c r="H40" s="453">
        <f>+H41</f>
        <v>51020</v>
      </c>
      <c r="I40" s="415">
        <f t="shared" ref="I40:I45" si="38">+E40+F40+K40</f>
        <v>16500</v>
      </c>
      <c r="J40" s="29">
        <f t="shared" ref="J40:J45" si="39">I40/D40*100</f>
        <v>24.437203791469194</v>
      </c>
      <c r="K40" s="416">
        <f>K41</f>
        <v>16500</v>
      </c>
      <c r="L40" s="29">
        <f t="shared" ref="L40:L45" si="40">K40/G40*100</f>
        <v>100</v>
      </c>
      <c r="M40" s="416">
        <f t="shared" ref="M40:M45" si="41">+K40-G40</f>
        <v>0</v>
      </c>
      <c r="N40" s="3144"/>
    </row>
    <row r="41" spans="1:14" s="20" customFormat="1" ht="16.5" customHeight="1" x14ac:dyDescent="0.2">
      <c r="A41" s="3439"/>
      <c r="B41" s="2995" t="s">
        <v>12</v>
      </c>
      <c r="C41" s="3144" t="s">
        <v>321</v>
      </c>
      <c r="D41" s="558">
        <f t="shared" ref="D41" si="42">+D42</f>
        <v>67520</v>
      </c>
      <c r="E41" s="585">
        <v>0</v>
      </c>
      <c r="F41" s="585">
        <v>0</v>
      </c>
      <c r="G41" s="559">
        <f t="shared" ref="G41:H41" si="43">+G42</f>
        <v>16500</v>
      </c>
      <c r="H41" s="604">
        <f t="shared" si="43"/>
        <v>51020</v>
      </c>
      <c r="I41" s="913">
        <f t="shared" si="38"/>
        <v>16500</v>
      </c>
      <c r="J41" s="1676">
        <f t="shared" si="39"/>
        <v>24.437203791469194</v>
      </c>
      <c r="K41" s="1651">
        <f>K42</f>
        <v>16500</v>
      </c>
      <c r="L41" s="1676">
        <f t="shared" si="40"/>
        <v>100</v>
      </c>
      <c r="M41" s="560">
        <f t="shared" si="41"/>
        <v>0</v>
      </c>
      <c r="N41" s="3144"/>
    </row>
    <row r="42" spans="1:14" s="20" customFormat="1" ht="13.5" customHeight="1" x14ac:dyDescent="0.2">
      <c r="A42" s="3439"/>
      <c r="B42" s="460" t="s">
        <v>13</v>
      </c>
      <c r="C42" s="3144"/>
      <c r="D42" s="461">
        <f>+E42+F42+G42+H42</f>
        <v>67520</v>
      </c>
      <c r="E42" s="470">
        <v>0</v>
      </c>
      <c r="F42" s="470">
        <v>0</v>
      </c>
      <c r="G42" s="463">
        <v>16500</v>
      </c>
      <c r="H42" s="467">
        <f>32000+19020</f>
        <v>51020</v>
      </c>
      <c r="I42" s="1422">
        <f t="shared" si="38"/>
        <v>16500</v>
      </c>
      <c r="J42" s="465">
        <f t="shared" si="39"/>
        <v>24.437203791469194</v>
      </c>
      <c r="K42" s="463">
        <v>16500</v>
      </c>
      <c r="L42" s="465">
        <f t="shared" si="40"/>
        <v>100</v>
      </c>
      <c r="M42" s="463">
        <f t="shared" si="41"/>
        <v>0</v>
      </c>
      <c r="N42" s="3144"/>
    </row>
    <row r="43" spans="1:14" s="20" customFormat="1" ht="17.25" customHeight="1" x14ac:dyDescent="0.2">
      <c r="A43" s="3439"/>
      <c r="B43" s="566" t="s">
        <v>16</v>
      </c>
      <c r="C43" s="22"/>
      <c r="D43" s="415">
        <f>+D44</f>
        <v>67520</v>
      </c>
      <c r="E43" s="593">
        <v>0</v>
      </c>
      <c r="F43" s="593">
        <v>0</v>
      </c>
      <c r="G43" s="416">
        <f t="shared" ref="G43:H44" si="44">+G44</f>
        <v>54083</v>
      </c>
      <c r="H43" s="453">
        <f t="shared" si="44"/>
        <v>13437</v>
      </c>
      <c r="I43" s="415">
        <f t="shared" si="38"/>
        <v>54083</v>
      </c>
      <c r="J43" s="29">
        <f t="shared" si="39"/>
        <v>80.099229857819907</v>
      </c>
      <c r="K43" s="416">
        <f>K44</f>
        <v>54083</v>
      </c>
      <c r="L43" s="29">
        <f t="shared" si="40"/>
        <v>100</v>
      </c>
      <c r="M43" s="416">
        <f t="shared" si="41"/>
        <v>0</v>
      </c>
      <c r="N43" s="3144"/>
    </row>
    <row r="44" spans="1:14" s="20" customFormat="1" ht="16.5" customHeight="1" x14ac:dyDescent="0.2">
      <c r="A44" s="3439"/>
      <c r="B44" s="2996" t="s">
        <v>12</v>
      </c>
      <c r="C44" s="3144" t="s">
        <v>321</v>
      </c>
      <c r="D44" s="474">
        <f>+D45</f>
        <v>67520</v>
      </c>
      <c r="E44" s="477">
        <v>0</v>
      </c>
      <c r="F44" s="477">
        <v>0</v>
      </c>
      <c r="G44" s="475">
        <f t="shared" si="44"/>
        <v>54083</v>
      </c>
      <c r="H44" s="479">
        <f t="shared" si="44"/>
        <v>13437</v>
      </c>
      <c r="I44" s="474">
        <f t="shared" si="38"/>
        <v>54083</v>
      </c>
      <c r="J44" s="31">
        <f t="shared" si="39"/>
        <v>80.099229857819907</v>
      </c>
      <c r="K44" s="475">
        <f>K45</f>
        <v>54083</v>
      </c>
      <c r="L44" s="31">
        <f t="shared" si="40"/>
        <v>100</v>
      </c>
      <c r="M44" s="475">
        <f t="shared" si="41"/>
        <v>0</v>
      </c>
      <c r="N44" s="3144"/>
    </row>
    <row r="45" spans="1:14" s="20" customFormat="1" ht="16.5" customHeight="1" thickBot="1" x14ac:dyDescent="0.25">
      <c r="A45" s="3440"/>
      <c r="B45" s="1671" t="s">
        <v>13</v>
      </c>
      <c r="C45" s="3145"/>
      <c r="D45" s="500">
        <f>+E45+F45+G45+H45</f>
        <v>67520</v>
      </c>
      <c r="E45" s="526">
        <v>0</v>
      </c>
      <c r="F45" s="526">
        <v>0</v>
      </c>
      <c r="G45" s="502">
        <v>54083</v>
      </c>
      <c r="H45" s="507">
        <v>13437</v>
      </c>
      <c r="I45" s="1449">
        <f t="shared" si="38"/>
        <v>54083</v>
      </c>
      <c r="J45" s="33">
        <f t="shared" si="39"/>
        <v>80.099229857819907</v>
      </c>
      <c r="K45" s="922">
        <v>54083</v>
      </c>
      <c r="L45" s="33">
        <f t="shared" si="40"/>
        <v>100</v>
      </c>
      <c r="M45" s="502">
        <f t="shared" si="41"/>
        <v>0</v>
      </c>
      <c r="N45" s="3145"/>
    </row>
    <row r="46" spans="1:14" s="20" customFormat="1" ht="7.5" customHeight="1" x14ac:dyDescent="0.2">
      <c r="A46" s="1677"/>
      <c r="B46" s="1678"/>
      <c r="C46" s="1679"/>
      <c r="D46" s="1680"/>
      <c r="E46" s="1681"/>
      <c r="F46" s="1681"/>
      <c r="G46" s="1682"/>
      <c r="H46" s="1682"/>
      <c r="I46" s="1683"/>
      <c r="J46" s="1684"/>
      <c r="K46" s="1685"/>
      <c r="L46" s="1684"/>
      <c r="M46" s="1682"/>
      <c r="N46" s="1686"/>
    </row>
    <row r="47" spans="1:14" s="20" customFormat="1" ht="25.5" customHeight="1" thickBot="1" x14ac:dyDescent="0.25">
      <c r="A47" s="3417" t="s">
        <v>211</v>
      </c>
      <c r="B47" s="3418"/>
      <c r="C47" s="3418"/>
      <c r="D47" s="3418"/>
      <c r="E47" s="3418"/>
      <c r="F47" s="3418"/>
      <c r="G47" s="3418"/>
      <c r="H47" s="3418"/>
      <c r="I47" s="3418"/>
      <c r="J47" s="3418"/>
      <c r="K47" s="3418"/>
      <c r="L47" s="3418"/>
      <c r="M47" s="3418"/>
      <c r="N47" s="3419"/>
    </row>
    <row r="48" spans="1:14" s="20" customFormat="1" ht="20.25" customHeight="1" thickBot="1" x14ac:dyDescent="0.25">
      <c r="A48" s="3441"/>
      <c r="B48" s="1687" t="s">
        <v>164</v>
      </c>
      <c r="C48" s="1688"/>
      <c r="D48" s="1689">
        <f t="shared" ref="D48:H48" si="45">D49+D50</f>
        <v>16994203</v>
      </c>
      <c r="E48" s="1690">
        <f t="shared" si="45"/>
        <v>10901413</v>
      </c>
      <c r="F48" s="1690">
        <f t="shared" si="45"/>
        <v>0</v>
      </c>
      <c r="G48" s="1690">
        <f t="shared" si="45"/>
        <v>1787840</v>
      </c>
      <c r="H48" s="1691">
        <f t="shared" si="45"/>
        <v>4304950</v>
      </c>
      <c r="I48" s="1692">
        <f>I49+I50</f>
        <v>12689252</v>
      </c>
      <c r="J48" s="1693">
        <f>I48/D48*100</f>
        <v>74.668120652671973</v>
      </c>
      <c r="K48" s="1690">
        <f>K49+K50</f>
        <v>1787839</v>
      </c>
      <c r="L48" s="1693">
        <f>K48/G48*100</f>
        <v>99.99994406658314</v>
      </c>
      <c r="M48" s="1690">
        <f t="shared" ref="M48:M57" si="46">+K48-G48</f>
        <v>-1</v>
      </c>
      <c r="N48" s="1694"/>
    </row>
    <row r="49" spans="1:101" s="20" customFormat="1" ht="18.75" customHeight="1" thickTop="1" x14ac:dyDescent="0.2">
      <c r="A49" s="3442"/>
      <c r="B49" s="276" t="s">
        <v>165</v>
      </c>
      <c r="C49" s="1695"/>
      <c r="D49" s="1696">
        <v>0</v>
      </c>
      <c r="E49" s="1697">
        <v>0</v>
      </c>
      <c r="F49" s="1697">
        <v>0</v>
      </c>
      <c r="G49" s="1697">
        <v>0</v>
      </c>
      <c r="H49" s="1698">
        <v>0</v>
      </c>
      <c r="I49" s="1699">
        <v>0</v>
      </c>
      <c r="J49" s="280">
        <v>0</v>
      </c>
      <c r="K49" s="1697">
        <v>0</v>
      </c>
      <c r="L49" s="280">
        <v>0</v>
      </c>
      <c r="M49" s="1700">
        <f t="shared" si="46"/>
        <v>0</v>
      </c>
      <c r="N49" s="1701"/>
    </row>
    <row r="50" spans="1:101" s="20" customFormat="1" ht="15.75" thickBot="1" x14ac:dyDescent="0.25">
      <c r="A50" s="3443"/>
      <c r="B50" s="1702" t="s">
        <v>166</v>
      </c>
      <c r="C50" s="1703"/>
      <c r="D50" s="293">
        <f>D65+D72+D82</f>
        <v>16994203</v>
      </c>
      <c r="E50" s="295">
        <f>E65+E72</f>
        <v>10901413</v>
      </c>
      <c r="F50" s="295">
        <f>F65+F72</f>
        <v>0</v>
      </c>
      <c r="G50" s="295">
        <f>G65+G72+G82</f>
        <v>1787840</v>
      </c>
      <c r="H50" s="292">
        <f>H65+H72+H82</f>
        <v>4304950</v>
      </c>
      <c r="I50" s="1704">
        <f>I65+I72+I82</f>
        <v>12689252</v>
      </c>
      <c r="J50" s="294">
        <f t="shared" ref="J50:J63" si="47">I50/D50*100</f>
        <v>74.668120652671973</v>
      </c>
      <c r="K50" s="295">
        <f>K65+K72+K82</f>
        <v>1787839</v>
      </c>
      <c r="L50" s="294">
        <f>K50/G50*100</f>
        <v>99.99994406658314</v>
      </c>
      <c r="M50" s="295">
        <f t="shared" si="46"/>
        <v>-1</v>
      </c>
      <c r="N50" s="1705"/>
    </row>
    <row r="51" spans="1:101" s="1712" customFormat="1" ht="13.5" customHeight="1" x14ac:dyDescent="0.2">
      <c r="A51" s="3464"/>
      <c r="B51" s="297" t="s">
        <v>2</v>
      </c>
      <c r="C51" s="1706"/>
      <c r="D51" s="1707">
        <f>+D52+D56</f>
        <v>31608922</v>
      </c>
      <c r="E51" s="1708">
        <f>+E52+E56</f>
        <v>10901413</v>
      </c>
      <c r="F51" s="1708">
        <f>F52+F56</f>
        <v>20000</v>
      </c>
      <c r="G51" s="1708">
        <f>+G52+G56</f>
        <v>10117695</v>
      </c>
      <c r="H51" s="1709">
        <f>+H52+H56</f>
        <v>10569814</v>
      </c>
      <c r="I51" s="1707">
        <f>+I52+I56</f>
        <v>18470191</v>
      </c>
      <c r="J51" s="1710">
        <f t="shared" si="47"/>
        <v>58.43347330858041</v>
      </c>
      <c r="K51" s="1708">
        <f>K52+K56</f>
        <v>7568778</v>
      </c>
      <c r="L51" s="1710">
        <f>K51/G51*100</f>
        <v>74.807335069894876</v>
      </c>
      <c r="M51" s="1708">
        <f t="shared" si="46"/>
        <v>-2548917</v>
      </c>
      <c r="N51" s="3456" t="s">
        <v>78</v>
      </c>
      <c r="O51" s="1711"/>
      <c r="P51" s="1711"/>
      <c r="Q51" s="1711"/>
      <c r="R51" s="1711"/>
      <c r="S51" s="1711"/>
      <c r="T51" s="1711"/>
      <c r="U51" s="1711"/>
      <c r="V51" s="1711"/>
      <c r="W51" s="1711"/>
      <c r="X51" s="1711"/>
      <c r="Y51" s="1711"/>
      <c r="Z51" s="1711"/>
      <c r="AA51" s="1711"/>
      <c r="AB51" s="1711"/>
      <c r="AC51" s="1711"/>
      <c r="AD51" s="1711"/>
      <c r="AE51" s="1711"/>
      <c r="AF51" s="1711"/>
      <c r="AG51" s="1711"/>
      <c r="AH51" s="1711"/>
      <c r="AI51" s="1711"/>
      <c r="AJ51" s="1711"/>
      <c r="AK51" s="1711"/>
      <c r="AL51" s="1711"/>
      <c r="AM51" s="1711"/>
      <c r="AN51" s="1711"/>
      <c r="AO51" s="1711"/>
      <c r="AP51" s="1711"/>
      <c r="AQ51" s="1711"/>
      <c r="AR51" s="1711"/>
      <c r="AS51" s="1711"/>
      <c r="AT51" s="1711"/>
      <c r="AU51" s="1711"/>
      <c r="AV51" s="1711"/>
      <c r="AW51" s="1711"/>
      <c r="AX51" s="1711"/>
      <c r="AY51" s="1711"/>
      <c r="AZ51" s="1711"/>
      <c r="BA51" s="1711"/>
      <c r="BB51" s="1711"/>
      <c r="BC51" s="1711"/>
      <c r="BD51" s="1711"/>
      <c r="BE51" s="1711"/>
      <c r="BF51" s="1711"/>
      <c r="BG51" s="1711"/>
      <c r="BH51" s="1711"/>
      <c r="BI51" s="1711"/>
      <c r="BJ51" s="1711"/>
      <c r="BK51" s="1711"/>
      <c r="BL51" s="1711"/>
      <c r="BM51" s="1711"/>
      <c r="BN51" s="1711"/>
      <c r="BO51" s="1711"/>
      <c r="BP51" s="1711"/>
      <c r="BQ51" s="1711"/>
      <c r="BR51" s="1711"/>
      <c r="BS51" s="1711"/>
      <c r="BT51" s="1711"/>
      <c r="BU51" s="1711"/>
      <c r="BV51" s="1711"/>
      <c r="BW51" s="1711"/>
      <c r="BX51" s="1711"/>
      <c r="BY51" s="1711"/>
      <c r="BZ51" s="1711"/>
      <c r="CA51" s="1711"/>
      <c r="CB51" s="1711"/>
      <c r="CC51" s="1711"/>
      <c r="CD51" s="1711"/>
      <c r="CE51" s="1711"/>
      <c r="CF51" s="1711"/>
      <c r="CG51" s="1711"/>
      <c r="CH51" s="1711"/>
      <c r="CI51" s="1711"/>
      <c r="CJ51" s="1711"/>
      <c r="CK51" s="1711"/>
      <c r="CL51" s="1711"/>
      <c r="CM51" s="1711"/>
      <c r="CN51" s="1711"/>
      <c r="CO51" s="1711"/>
      <c r="CP51" s="1711"/>
      <c r="CQ51" s="1711"/>
      <c r="CR51" s="1711"/>
      <c r="CS51" s="1711"/>
      <c r="CT51" s="1711"/>
      <c r="CU51" s="1711"/>
      <c r="CV51" s="1711"/>
      <c r="CW51" s="1711"/>
    </row>
    <row r="52" spans="1:101" s="1712" customFormat="1" ht="13.5" customHeight="1" x14ac:dyDescent="0.2">
      <c r="A52" s="3465"/>
      <c r="B52" s="1713" t="s">
        <v>17</v>
      </c>
      <c r="C52" s="3461"/>
      <c r="D52" s="1346">
        <f>D54+D53+D55</f>
        <v>20647883</v>
      </c>
      <c r="E52" s="1348">
        <f>E54+E53+E55</f>
        <v>10901413</v>
      </c>
      <c r="F52" s="1348">
        <f t="shared" ref="F52:H52" si="48">F54+F53+F55</f>
        <v>5000</v>
      </c>
      <c r="G52" s="1348">
        <f t="shared" si="48"/>
        <v>3870304</v>
      </c>
      <c r="H52" s="1344">
        <f t="shared" si="48"/>
        <v>5871166</v>
      </c>
      <c r="I52" s="1346">
        <f t="shared" ref="I52" si="49">I54+I53+I55</f>
        <v>14134487</v>
      </c>
      <c r="J52" s="1714">
        <f t="shared" si="47"/>
        <v>68.454896804674846</v>
      </c>
      <c r="K52" s="1348">
        <f t="shared" ref="K52" si="50">K54+K53+K55</f>
        <v>3233074</v>
      </c>
      <c r="L52" s="1715">
        <f t="shared" ref="L52:L54" si="51">K52/G52*100</f>
        <v>83.53540187024069</v>
      </c>
      <c r="M52" s="1348">
        <f t="shared" si="46"/>
        <v>-637230</v>
      </c>
      <c r="N52" s="3457"/>
      <c r="O52" s="1711"/>
      <c r="P52" s="1711"/>
      <c r="Q52" s="1711"/>
      <c r="R52" s="1711"/>
      <c r="S52" s="1711"/>
      <c r="T52" s="1711"/>
      <c r="U52" s="1711"/>
      <c r="V52" s="1711"/>
      <c r="W52" s="1711"/>
      <c r="X52" s="1711"/>
      <c r="Y52" s="1711"/>
      <c r="Z52" s="1711"/>
      <c r="AA52" s="1711"/>
      <c r="AB52" s="1711"/>
      <c r="AC52" s="1711"/>
      <c r="AD52" s="1711"/>
      <c r="AE52" s="1711"/>
      <c r="AF52" s="1711"/>
      <c r="AG52" s="1711"/>
      <c r="AH52" s="1711"/>
      <c r="AI52" s="1711"/>
      <c r="AJ52" s="1711"/>
      <c r="AK52" s="1711"/>
      <c r="AL52" s="1711"/>
      <c r="AM52" s="1711"/>
      <c r="AN52" s="1711"/>
      <c r="AO52" s="1711"/>
      <c r="AP52" s="1711"/>
      <c r="AQ52" s="1711"/>
      <c r="AR52" s="1711"/>
      <c r="AS52" s="1711"/>
      <c r="AT52" s="1711"/>
      <c r="AU52" s="1711"/>
      <c r="AV52" s="1711"/>
      <c r="AW52" s="1711"/>
      <c r="AX52" s="1711"/>
      <c r="AY52" s="1711"/>
      <c r="AZ52" s="1711"/>
      <c r="BA52" s="1711"/>
      <c r="BB52" s="1711"/>
      <c r="BC52" s="1711"/>
      <c r="BD52" s="1711"/>
      <c r="BE52" s="1711"/>
      <c r="BF52" s="1711"/>
      <c r="BG52" s="1711"/>
      <c r="BH52" s="1711"/>
      <c r="BI52" s="1711"/>
      <c r="BJ52" s="1711"/>
      <c r="BK52" s="1711"/>
      <c r="BL52" s="1711"/>
      <c r="BM52" s="1711"/>
      <c r="BN52" s="1711"/>
      <c r="BO52" s="1711"/>
      <c r="BP52" s="1711"/>
      <c r="BQ52" s="1711"/>
      <c r="BR52" s="1711"/>
      <c r="BS52" s="1711"/>
      <c r="BT52" s="1711"/>
      <c r="BU52" s="1711"/>
      <c r="BV52" s="1711"/>
      <c r="BW52" s="1711"/>
      <c r="BX52" s="1711"/>
      <c r="BY52" s="1711"/>
      <c r="BZ52" s="1711"/>
      <c r="CA52" s="1711"/>
      <c r="CB52" s="1711"/>
      <c r="CC52" s="1711"/>
      <c r="CD52" s="1711"/>
      <c r="CE52" s="1711"/>
      <c r="CF52" s="1711"/>
      <c r="CG52" s="1711"/>
      <c r="CH52" s="1711"/>
      <c r="CI52" s="1711"/>
      <c r="CJ52" s="1711"/>
      <c r="CK52" s="1711"/>
      <c r="CL52" s="1711"/>
      <c r="CM52" s="1711"/>
      <c r="CN52" s="1711"/>
      <c r="CO52" s="1711"/>
      <c r="CP52" s="1711"/>
      <c r="CQ52" s="1711"/>
      <c r="CR52" s="1711"/>
      <c r="CS52" s="1711"/>
      <c r="CT52" s="1711"/>
      <c r="CU52" s="1711"/>
      <c r="CV52" s="1711"/>
      <c r="CW52" s="1711"/>
    </row>
    <row r="53" spans="1:101" s="1712" customFormat="1" ht="13.5" customHeight="1" x14ac:dyDescent="0.2">
      <c r="A53" s="3465"/>
      <c r="B53" s="1716" t="s">
        <v>214</v>
      </c>
      <c r="C53" s="3461"/>
      <c r="D53" s="1341">
        <f t="shared" ref="D53:H53" si="52">D71</f>
        <v>3653680</v>
      </c>
      <c r="E53" s="1342">
        <f t="shared" si="52"/>
        <v>0</v>
      </c>
      <c r="F53" s="1342">
        <f t="shared" si="52"/>
        <v>5000</v>
      </c>
      <c r="G53" s="1342">
        <f t="shared" si="52"/>
        <v>2082464</v>
      </c>
      <c r="H53" s="1331">
        <f t="shared" si="52"/>
        <v>1566216</v>
      </c>
      <c r="I53" s="1341">
        <f t="shared" ref="I53" si="53">I71</f>
        <v>1445235</v>
      </c>
      <c r="J53" s="1717">
        <f t="shared" si="47"/>
        <v>39.555598738805806</v>
      </c>
      <c r="K53" s="1342">
        <f t="shared" ref="K53" si="54">K71</f>
        <v>1445235</v>
      </c>
      <c r="L53" s="1715">
        <f t="shared" si="51"/>
        <v>69.400239331868406</v>
      </c>
      <c r="M53" s="1342">
        <f t="shared" si="46"/>
        <v>-637229</v>
      </c>
      <c r="N53" s="3457"/>
      <c r="O53" s="1711"/>
      <c r="P53" s="1711"/>
      <c r="Q53" s="1711"/>
      <c r="R53" s="1711"/>
      <c r="S53" s="1711"/>
      <c r="T53" s="1711"/>
      <c r="U53" s="1711"/>
      <c r="V53" s="1711"/>
      <c r="W53" s="1711"/>
      <c r="X53" s="1711"/>
      <c r="Y53" s="1711"/>
      <c r="Z53" s="1711"/>
      <c r="AA53" s="1711"/>
      <c r="AB53" s="1711"/>
      <c r="AC53" s="1711"/>
      <c r="AD53" s="1711"/>
      <c r="AE53" s="1711"/>
      <c r="AF53" s="1711"/>
      <c r="AG53" s="1711"/>
      <c r="AH53" s="1711"/>
      <c r="AI53" s="1711"/>
      <c r="AJ53" s="1711"/>
      <c r="AK53" s="1711"/>
      <c r="AL53" s="1711"/>
      <c r="AM53" s="1711"/>
      <c r="AN53" s="1711"/>
      <c r="AO53" s="1711"/>
      <c r="AP53" s="1711"/>
      <c r="AQ53" s="1711"/>
      <c r="AR53" s="1711"/>
      <c r="AS53" s="1711"/>
      <c r="AT53" s="1711"/>
      <c r="AU53" s="1711"/>
      <c r="AV53" s="1711"/>
      <c r="AW53" s="1711"/>
      <c r="AX53" s="1711"/>
      <c r="AY53" s="1711"/>
      <c r="AZ53" s="1711"/>
      <c r="BA53" s="1711"/>
      <c r="BB53" s="1711"/>
      <c r="BC53" s="1711"/>
      <c r="BD53" s="1711"/>
      <c r="BE53" s="1711"/>
      <c r="BF53" s="1711"/>
      <c r="BG53" s="1711"/>
      <c r="BH53" s="1711"/>
      <c r="BI53" s="1711"/>
      <c r="BJ53" s="1711"/>
      <c r="BK53" s="1711"/>
      <c r="BL53" s="1711"/>
      <c r="BM53" s="1711"/>
      <c r="BN53" s="1711"/>
      <c r="BO53" s="1711"/>
      <c r="BP53" s="1711"/>
      <c r="BQ53" s="1711"/>
      <c r="BR53" s="1711"/>
      <c r="BS53" s="1711"/>
      <c r="BT53" s="1711"/>
      <c r="BU53" s="1711"/>
      <c r="BV53" s="1711"/>
      <c r="BW53" s="1711"/>
      <c r="BX53" s="1711"/>
      <c r="BY53" s="1711"/>
      <c r="BZ53" s="1711"/>
      <c r="CA53" s="1711"/>
      <c r="CB53" s="1711"/>
      <c r="CC53" s="1711"/>
      <c r="CD53" s="1711"/>
      <c r="CE53" s="1711"/>
      <c r="CF53" s="1711"/>
      <c r="CG53" s="1711"/>
      <c r="CH53" s="1711"/>
      <c r="CI53" s="1711"/>
      <c r="CJ53" s="1711"/>
      <c r="CK53" s="1711"/>
      <c r="CL53" s="1711"/>
      <c r="CM53" s="1711"/>
      <c r="CN53" s="1711"/>
      <c r="CO53" s="1711"/>
      <c r="CP53" s="1711"/>
      <c r="CQ53" s="1711"/>
      <c r="CR53" s="1711"/>
      <c r="CS53" s="1711"/>
      <c r="CT53" s="1711"/>
      <c r="CU53" s="1711"/>
      <c r="CV53" s="1711"/>
      <c r="CW53" s="1711"/>
    </row>
    <row r="54" spans="1:101" s="1712" customFormat="1" ht="13.5" customHeight="1" x14ac:dyDescent="0.2">
      <c r="A54" s="3465"/>
      <c r="B54" s="1716" t="s">
        <v>217</v>
      </c>
      <c r="C54" s="3462"/>
      <c r="D54" s="1341">
        <f>D72+D84</f>
        <v>4910140</v>
      </c>
      <c r="E54" s="1342">
        <f t="shared" ref="E54:H54" si="55">E72+E84</f>
        <v>0</v>
      </c>
      <c r="F54" s="1342">
        <f t="shared" si="55"/>
        <v>0</v>
      </c>
      <c r="G54" s="1342">
        <f t="shared" si="55"/>
        <v>1787840</v>
      </c>
      <c r="H54" s="1331">
        <f t="shared" si="55"/>
        <v>3122300</v>
      </c>
      <c r="I54" s="1341">
        <f>I72+I84</f>
        <v>1787839</v>
      </c>
      <c r="J54" s="1717">
        <f t="shared" si="47"/>
        <v>36.411161392546852</v>
      </c>
      <c r="K54" s="1342">
        <f>K72+K84</f>
        <v>1787839</v>
      </c>
      <c r="L54" s="1715">
        <f t="shared" si="51"/>
        <v>99.99994406658314</v>
      </c>
      <c r="M54" s="1342">
        <f t="shared" si="46"/>
        <v>-1</v>
      </c>
      <c r="N54" s="3457"/>
      <c r="O54" s="1711"/>
      <c r="P54" s="1711"/>
      <c r="Q54" s="1711"/>
      <c r="R54" s="1711"/>
      <c r="S54" s="1711"/>
      <c r="T54" s="1711"/>
      <c r="U54" s="1711"/>
      <c r="V54" s="1711"/>
      <c r="W54" s="1711"/>
      <c r="X54" s="1711"/>
      <c r="Y54" s="1711"/>
      <c r="Z54" s="1711"/>
      <c r="AA54" s="1711"/>
      <c r="AB54" s="1711"/>
      <c r="AC54" s="1711"/>
      <c r="AD54" s="1711"/>
      <c r="AE54" s="1711"/>
      <c r="AF54" s="1711"/>
      <c r="AG54" s="1711"/>
      <c r="AH54" s="1711"/>
      <c r="AI54" s="1711"/>
      <c r="AJ54" s="1711"/>
      <c r="AK54" s="1711"/>
      <c r="AL54" s="1711"/>
      <c r="AM54" s="1711"/>
      <c r="AN54" s="1711"/>
      <c r="AO54" s="1711"/>
      <c r="AP54" s="1711"/>
      <c r="AQ54" s="1711"/>
      <c r="AR54" s="1711"/>
      <c r="AS54" s="1711"/>
      <c r="AT54" s="1711"/>
      <c r="AU54" s="1711"/>
      <c r="AV54" s="1711"/>
      <c r="AW54" s="1711"/>
      <c r="AX54" s="1711"/>
      <c r="AY54" s="1711"/>
      <c r="AZ54" s="1711"/>
      <c r="BA54" s="1711"/>
      <c r="BB54" s="1711"/>
      <c r="BC54" s="1711"/>
      <c r="BD54" s="1711"/>
      <c r="BE54" s="1711"/>
      <c r="BF54" s="1711"/>
      <c r="BG54" s="1711"/>
      <c r="BH54" s="1711"/>
      <c r="BI54" s="1711"/>
      <c r="BJ54" s="1711"/>
      <c r="BK54" s="1711"/>
      <c r="BL54" s="1711"/>
      <c r="BM54" s="1711"/>
      <c r="BN54" s="1711"/>
      <c r="BO54" s="1711"/>
      <c r="BP54" s="1711"/>
      <c r="BQ54" s="1711"/>
      <c r="BR54" s="1711"/>
      <c r="BS54" s="1711"/>
      <c r="BT54" s="1711"/>
      <c r="BU54" s="1711"/>
      <c r="BV54" s="1711"/>
      <c r="BW54" s="1711"/>
      <c r="BX54" s="1711"/>
      <c r="BY54" s="1711"/>
      <c r="BZ54" s="1711"/>
      <c r="CA54" s="1711"/>
      <c r="CB54" s="1711"/>
      <c r="CC54" s="1711"/>
      <c r="CD54" s="1711"/>
      <c r="CE54" s="1711"/>
      <c r="CF54" s="1711"/>
      <c r="CG54" s="1711"/>
      <c r="CH54" s="1711"/>
      <c r="CI54" s="1711"/>
      <c r="CJ54" s="1711"/>
      <c r="CK54" s="1711"/>
      <c r="CL54" s="1711"/>
      <c r="CM54" s="1711"/>
      <c r="CN54" s="1711"/>
      <c r="CO54" s="1711"/>
      <c r="CP54" s="1711"/>
      <c r="CQ54" s="1711"/>
      <c r="CR54" s="1711"/>
      <c r="CS54" s="1711"/>
      <c r="CT54" s="1711"/>
      <c r="CU54" s="1711"/>
      <c r="CV54" s="1711"/>
      <c r="CW54" s="1711"/>
    </row>
    <row r="55" spans="1:101" s="1712" customFormat="1" ht="13.5" customHeight="1" x14ac:dyDescent="0.2">
      <c r="A55" s="3465"/>
      <c r="B55" s="1716" t="s">
        <v>4</v>
      </c>
      <c r="C55" s="3462"/>
      <c r="D55" s="1341">
        <f>D67</f>
        <v>12084063</v>
      </c>
      <c r="E55" s="1342">
        <f>E67</f>
        <v>10901413</v>
      </c>
      <c r="F55" s="1342">
        <f t="shared" ref="F55:G55" si="56">F67</f>
        <v>0</v>
      </c>
      <c r="G55" s="1342">
        <f t="shared" si="56"/>
        <v>0</v>
      </c>
      <c r="H55" s="1331">
        <f>H67</f>
        <v>1182650</v>
      </c>
      <c r="I55" s="1341">
        <f>I67</f>
        <v>10901413</v>
      </c>
      <c r="J55" s="1717">
        <f t="shared" si="47"/>
        <v>90.213142715326782</v>
      </c>
      <c r="K55" s="1342">
        <f>K67</f>
        <v>0</v>
      </c>
      <c r="L55" s="1715">
        <v>0</v>
      </c>
      <c r="M55" s="1342">
        <f t="shared" si="46"/>
        <v>0</v>
      </c>
      <c r="N55" s="3457"/>
      <c r="O55" s="1711"/>
      <c r="P55" s="1711"/>
      <c r="Q55" s="1711"/>
      <c r="R55" s="1711"/>
      <c r="S55" s="1711"/>
      <c r="T55" s="1711"/>
      <c r="U55" s="1711"/>
      <c r="V55" s="1711"/>
      <c r="W55" s="1711"/>
      <c r="X55" s="1711"/>
      <c r="Y55" s="1711"/>
      <c r="Z55" s="1711"/>
      <c r="AA55" s="1711"/>
      <c r="AB55" s="1711"/>
      <c r="AC55" s="1711"/>
      <c r="AD55" s="1711"/>
      <c r="AE55" s="1711"/>
      <c r="AF55" s="1711"/>
      <c r="AG55" s="1711"/>
      <c r="AH55" s="1711"/>
      <c r="AI55" s="1711"/>
      <c r="AJ55" s="1711"/>
      <c r="AK55" s="1711"/>
      <c r="AL55" s="1711"/>
      <c r="AM55" s="1711"/>
      <c r="AN55" s="1711"/>
      <c r="AO55" s="1711"/>
      <c r="AP55" s="1711"/>
      <c r="AQ55" s="1711"/>
      <c r="AR55" s="1711"/>
      <c r="AS55" s="1711"/>
      <c r="AT55" s="1711"/>
      <c r="AU55" s="1711"/>
      <c r="AV55" s="1711"/>
      <c r="AW55" s="1711"/>
      <c r="AX55" s="1711"/>
      <c r="AY55" s="1711"/>
      <c r="AZ55" s="1711"/>
      <c r="BA55" s="1711"/>
      <c r="BB55" s="1711"/>
      <c r="BC55" s="1711"/>
      <c r="BD55" s="1711"/>
      <c r="BE55" s="1711"/>
      <c r="BF55" s="1711"/>
      <c r="BG55" s="1711"/>
      <c r="BH55" s="1711"/>
      <c r="BI55" s="1711"/>
      <c r="BJ55" s="1711"/>
      <c r="BK55" s="1711"/>
      <c r="BL55" s="1711"/>
      <c r="BM55" s="1711"/>
      <c r="BN55" s="1711"/>
      <c r="BO55" s="1711"/>
      <c r="BP55" s="1711"/>
      <c r="BQ55" s="1711"/>
      <c r="BR55" s="1711"/>
      <c r="BS55" s="1711"/>
      <c r="BT55" s="1711"/>
      <c r="BU55" s="1711"/>
      <c r="BV55" s="1711"/>
      <c r="BW55" s="1711"/>
      <c r="BX55" s="1711"/>
      <c r="BY55" s="1711"/>
      <c r="BZ55" s="1711"/>
      <c r="CA55" s="1711"/>
      <c r="CB55" s="1711"/>
      <c r="CC55" s="1711"/>
      <c r="CD55" s="1711"/>
      <c r="CE55" s="1711"/>
      <c r="CF55" s="1711"/>
      <c r="CG55" s="1711"/>
      <c r="CH55" s="1711"/>
      <c r="CI55" s="1711"/>
      <c r="CJ55" s="1711"/>
      <c r="CK55" s="1711"/>
      <c r="CL55" s="1711"/>
      <c r="CM55" s="1711"/>
      <c r="CN55" s="1711"/>
      <c r="CO55" s="1711"/>
      <c r="CP55" s="1711"/>
      <c r="CQ55" s="1711"/>
      <c r="CR55" s="1711"/>
      <c r="CS55" s="1711"/>
      <c r="CT55" s="1711"/>
      <c r="CU55" s="1711"/>
      <c r="CV55" s="1711"/>
      <c r="CW55" s="1711"/>
    </row>
    <row r="56" spans="1:101" s="1712" customFormat="1" ht="13.5" customHeight="1" x14ac:dyDescent="0.2">
      <c r="A56" s="3465"/>
      <c r="B56" s="1718" t="s">
        <v>12</v>
      </c>
      <c r="C56" s="3462"/>
      <c r="D56" s="1346">
        <f t="shared" ref="D56:I56" si="57">+D57</f>
        <v>10961039</v>
      </c>
      <c r="E56" s="1348">
        <f t="shared" si="57"/>
        <v>0</v>
      </c>
      <c r="F56" s="1348">
        <f t="shared" si="57"/>
        <v>15000</v>
      </c>
      <c r="G56" s="1348">
        <f t="shared" si="57"/>
        <v>6247391</v>
      </c>
      <c r="H56" s="1344">
        <f t="shared" si="57"/>
        <v>4698648</v>
      </c>
      <c r="I56" s="1346">
        <f t="shared" si="57"/>
        <v>4335704</v>
      </c>
      <c r="J56" s="1714">
        <f t="shared" si="47"/>
        <v>39.555593224328462</v>
      </c>
      <c r="K56" s="1348">
        <f t="shared" ref="K56" si="58">+K57</f>
        <v>4335704</v>
      </c>
      <c r="L56" s="1714">
        <f>K56/G56*100</f>
        <v>69.400234433862067</v>
      </c>
      <c r="M56" s="1348">
        <f t="shared" si="46"/>
        <v>-1911687</v>
      </c>
      <c r="N56" s="3457"/>
      <c r="O56" s="1711"/>
      <c r="P56" s="1711"/>
      <c r="Q56" s="1711"/>
      <c r="R56" s="1711"/>
      <c r="S56" s="1711"/>
      <c r="T56" s="1711"/>
      <c r="U56" s="1711"/>
      <c r="V56" s="1711"/>
      <c r="W56" s="1711"/>
      <c r="X56" s="1711"/>
      <c r="Y56" s="1711"/>
      <c r="Z56" s="1711"/>
      <c r="AA56" s="1711"/>
      <c r="AB56" s="1711"/>
      <c r="AC56" s="1711"/>
      <c r="AD56" s="1711"/>
      <c r="AE56" s="1711"/>
      <c r="AF56" s="1711"/>
      <c r="AG56" s="1711"/>
      <c r="AH56" s="1711"/>
      <c r="AI56" s="1711"/>
      <c r="AJ56" s="1711"/>
      <c r="AK56" s="1711"/>
      <c r="AL56" s="1711"/>
      <c r="AM56" s="1711"/>
      <c r="AN56" s="1711"/>
      <c r="AO56" s="1711"/>
      <c r="AP56" s="1711"/>
      <c r="AQ56" s="1711"/>
      <c r="AR56" s="1711"/>
      <c r="AS56" s="1711"/>
      <c r="AT56" s="1711"/>
      <c r="AU56" s="1711"/>
      <c r="AV56" s="1711"/>
      <c r="AW56" s="1711"/>
      <c r="AX56" s="1711"/>
      <c r="AY56" s="1711"/>
      <c r="AZ56" s="1711"/>
      <c r="BA56" s="1711"/>
      <c r="BB56" s="1711"/>
      <c r="BC56" s="1711"/>
      <c r="BD56" s="1711"/>
      <c r="BE56" s="1711"/>
      <c r="BF56" s="1711"/>
      <c r="BG56" s="1711"/>
      <c r="BH56" s="1711"/>
      <c r="BI56" s="1711"/>
      <c r="BJ56" s="1711"/>
      <c r="BK56" s="1711"/>
      <c r="BL56" s="1711"/>
      <c r="BM56" s="1711"/>
      <c r="BN56" s="1711"/>
      <c r="BO56" s="1711"/>
      <c r="BP56" s="1711"/>
      <c r="BQ56" s="1711"/>
      <c r="BR56" s="1711"/>
      <c r="BS56" s="1711"/>
      <c r="BT56" s="1711"/>
      <c r="BU56" s="1711"/>
      <c r="BV56" s="1711"/>
      <c r="BW56" s="1711"/>
      <c r="BX56" s="1711"/>
      <c r="BY56" s="1711"/>
      <c r="BZ56" s="1711"/>
      <c r="CA56" s="1711"/>
      <c r="CB56" s="1711"/>
      <c r="CC56" s="1711"/>
      <c r="CD56" s="1711"/>
      <c r="CE56" s="1711"/>
      <c r="CF56" s="1711"/>
      <c r="CG56" s="1711"/>
      <c r="CH56" s="1711"/>
      <c r="CI56" s="1711"/>
      <c r="CJ56" s="1711"/>
      <c r="CK56" s="1711"/>
      <c r="CL56" s="1711"/>
      <c r="CM56" s="1711"/>
      <c r="CN56" s="1711"/>
      <c r="CO56" s="1711"/>
      <c r="CP56" s="1711"/>
      <c r="CQ56" s="1711"/>
      <c r="CR56" s="1711"/>
      <c r="CS56" s="1711"/>
      <c r="CT56" s="1711"/>
      <c r="CU56" s="1711"/>
      <c r="CV56" s="1711"/>
      <c r="CW56" s="1711"/>
    </row>
    <row r="57" spans="1:101" s="1712" customFormat="1" ht="13.5" customHeight="1" x14ac:dyDescent="0.2">
      <c r="A57" s="3465"/>
      <c r="B57" s="1719" t="s">
        <v>15</v>
      </c>
      <c r="C57" s="3462"/>
      <c r="D57" s="1341">
        <f>D74</f>
        <v>10961039</v>
      </c>
      <c r="E57" s="1720">
        <f t="shared" ref="E57:H57" si="59">E74</f>
        <v>0</v>
      </c>
      <c r="F57" s="1720">
        <f t="shared" si="59"/>
        <v>15000</v>
      </c>
      <c r="G57" s="1720">
        <f t="shared" si="59"/>
        <v>6247391</v>
      </c>
      <c r="H57" s="1331">
        <f t="shared" si="59"/>
        <v>4698648</v>
      </c>
      <c r="I57" s="1341">
        <f t="shared" ref="I57" si="60">I74</f>
        <v>4335704</v>
      </c>
      <c r="J57" s="1717">
        <f t="shared" si="47"/>
        <v>39.555593224328462</v>
      </c>
      <c r="K57" s="1720">
        <f t="shared" ref="K57" si="61">K74</f>
        <v>4335704</v>
      </c>
      <c r="L57" s="1717">
        <f>K57/G57*100</f>
        <v>69.400234433862067</v>
      </c>
      <c r="M57" s="1342">
        <f t="shared" si="46"/>
        <v>-1911687</v>
      </c>
      <c r="N57" s="3457"/>
      <c r="O57" s="1711"/>
      <c r="P57" s="1711"/>
      <c r="Q57" s="1711"/>
      <c r="R57" s="1711"/>
      <c r="S57" s="1711"/>
      <c r="T57" s="1711"/>
      <c r="U57" s="1711"/>
      <c r="V57" s="1711"/>
      <c r="W57" s="1711"/>
      <c r="X57" s="1711"/>
      <c r="Y57" s="1711"/>
      <c r="Z57" s="1711"/>
      <c r="AA57" s="1711"/>
      <c r="AB57" s="1711"/>
      <c r="AC57" s="1711"/>
      <c r="AD57" s="1711"/>
      <c r="AE57" s="1711"/>
      <c r="AF57" s="1711"/>
      <c r="AG57" s="1711"/>
      <c r="AH57" s="1711"/>
      <c r="AI57" s="1711"/>
      <c r="AJ57" s="1711"/>
      <c r="AK57" s="1711"/>
      <c r="AL57" s="1711"/>
      <c r="AM57" s="1711"/>
      <c r="AN57" s="1711"/>
      <c r="AO57" s="1711"/>
      <c r="AP57" s="1711"/>
      <c r="AQ57" s="1711"/>
      <c r="AR57" s="1711"/>
      <c r="AS57" s="1711"/>
      <c r="AT57" s="1711"/>
      <c r="AU57" s="1711"/>
      <c r="AV57" s="1711"/>
      <c r="AW57" s="1711"/>
      <c r="AX57" s="1711"/>
      <c r="AY57" s="1711"/>
      <c r="AZ57" s="1711"/>
      <c r="BA57" s="1711"/>
      <c r="BB57" s="1711"/>
      <c r="BC57" s="1711"/>
      <c r="BD57" s="1711"/>
      <c r="BE57" s="1711"/>
      <c r="BF57" s="1711"/>
      <c r="BG57" s="1711"/>
      <c r="BH57" s="1711"/>
      <c r="BI57" s="1711"/>
      <c r="BJ57" s="1711"/>
      <c r="BK57" s="1711"/>
      <c r="BL57" s="1711"/>
      <c r="BM57" s="1711"/>
      <c r="BN57" s="1711"/>
      <c r="BO57" s="1711"/>
      <c r="BP57" s="1711"/>
      <c r="BQ57" s="1711"/>
      <c r="BR57" s="1711"/>
      <c r="BS57" s="1711"/>
      <c r="BT57" s="1711"/>
      <c r="BU57" s="1711"/>
      <c r="BV57" s="1711"/>
      <c r="BW57" s="1711"/>
      <c r="BX57" s="1711"/>
      <c r="BY57" s="1711"/>
      <c r="BZ57" s="1711"/>
      <c r="CA57" s="1711"/>
      <c r="CB57" s="1711"/>
      <c r="CC57" s="1711"/>
      <c r="CD57" s="1711"/>
      <c r="CE57" s="1711"/>
      <c r="CF57" s="1711"/>
      <c r="CG57" s="1711"/>
      <c r="CH57" s="1711"/>
      <c r="CI57" s="1711"/>
      <c r="CJ57" s="1711"/>
      <c r="CK57" s="1711"/>
      <c r="CL57" s="1711"/>
      <c r="CM57" s="1711"/>
      <c r="CN57" s="1711"/>
      <c r="CO57" s="1711"/>
      <c r="CP57" s="1711"/>
      <c r="CQ57" s="1711"/>
      <c r="CR57" s="1711"/>
      <c r="CS57" s="1711"/>
      <c r="CT57" s="1711"/>
      <c r="CU57" s="1711"/>
      <c r="CV57" s="1711"/>
      <c r="CW57" s="1711"/>
    </row>
    <row r="58" spans="1:101" s="1712" customFormat="1" ht="13.5" customHeight="1" x14ac:dyDescent="0.2">
      <c r="A58" s="3465"/>
      <c r="B58" s="334" t="s">
        <v>16</v>
      </c>
      <c r="C58" s="1721"/>
      <c r="D58" s="1722">
        <f>D62+D59</f>
        <v>18154770</v>
      </c>
      <c r="E58" s="1320">
        <f>E62</f>
        <v>0</v>
      </c>
      <c r="F58" s="1320">
        <f>F62+F59</f>
        <v>20000</v>
      </c>
      <c r="G58" s="1320">
        <f>G62+G59</f>
        <v>8307638</v>
      </c>
      <c r="H58" s="1315">
        <f>H62+H59</f>
        <v>6178452</v>
      </c>
      <c r="I58" s="1722">
        <f>I62+I59</f>
        <v>5640160</v>
      </c>
      <c r="J58" s="1723">
        <f t="shared" si="47"/>
        <v>31.067096966802666</v>
      </c>
      <c r="K58" s="1320">
        <f>K62</f>
        <v>4179925</v>
      </c>
      <c r="L58" s="1723">
        <f>K58/G58*100</f>
        <v>50.314240943093566</v>
      </c>
      <c r="M58" s="1320"/>
      <c r="N58" s="3457"/>
      <c r="O58" s="1711"/>
      <c r="P58" s="1711"/>
      <c r="Q58" s="1711"/>
      <c r="R58" s="1711"/>
      <c r="S58" s="1711"/>
      <c r="T58" s="1711"/>
      <c r="U58" s="1711"/>
      <c r="V58" s="1711"/>
      <c r="W58" s="1711"/>
      <c r="X58" s="1711"/>
      <c r="Y58" s="1711"/>
      <c r="Z58" s="1711"/>
      <c r="AA58" s="1711"/>
      <c r="AB58" s="1711"/>
      <c r="AC58" s="1711"/>
      <c r="AD58" s="1711"/>
      <c r="AE58" s="1711"/>
      <c r="AF58" s="1711"/>
      <c r="AG58" s="1711"/>
      <c r="AH58" s="1711"/>
      <c r="AI58" s="1711"/>
      <c r="AJ58" s="1711"/>
      <c r="AK58" s="1711"/>
      <c r="AL58" s="1711"/>
      <c r="AM58" s="1711"/>
      <c r="AN58" s="1711"/>
      <c r="AO58" s="1711"/>
      <c r="AP58" s="1711"/>
      <c r="AQ58" s="1711"/>
      <c r="AR58" s="1711"/>
      <c r="AS58" s="1711"/>
      <c r="AT58" s="1711"/>
      <c r="AU58" s="1711"/>
      <c r="AV58" s="1711"/>
      <c r="AW58" s="1711"/>
      <c r="AX58" s="1711"/>
      <c r="AY58" s="1711"/>
      <c r="AZ58" s="1711"/>
      <c r="BA58" s="1711"/>
      <c r="BB58" s="1711"/>
      <c r="BC58" s="1711"/>
      <c r="BD58" s="1711"/>
      <c r="BE58" s="1711"/>
      <c r="BF58" s="1711"/>
      <c r="BG58" s="1711"/>
      <c r="BH58" s="1711"/>
      <c r="BI58" s="1711"/>
      <c r="BJ58" s="1711"/>
      <c r="BK58" s="1711"/>
      <c r="BL58" s="1711"/>
      <c r="BM58" s="1711"/>
      <c r="BN58" s="1711"/>
      <c r="BO58" s="1711"/>
      <c r="BP58" s="1711"/>
      <c r="BQ58" s="1711"/>
      <c r="BR58" s="1711"/>
      <c r="BS58" s="1711"/>
      <c r="BT58" s="1711"/>
      <c r="BU58" s="1711"/>
      <c r="BV58" s="1711"/>
      <c r="BW58" s="1711"/>
      <c r="BX58" s="1711"/>
      <c r="BY58" s="1711"/>
      <c r="BZ58" s="1711"/>
      <c r="CA58" s="1711"/>
      <c r="CB58" s="1711"/>
      <c r="CC58" s="1711"/>
      <c r="CD58" s="1711"/>
      <c r="CE58" s="1711"/>
      <c r="CF58" s="1711"/>
      <c r="CG58" s="1711"/>
      <c r="CH58" s="1711"/>
      <c r="CI58" s="1711"/>
      <c r="CJ58" s="1711"/>
      <c r="CK58" s="1711"/>
      <c r="CL58" s="1711"/>
      <c r="CM58" s="1711"/>
      <c r="CN58" s="1711"/>
      <c r="CO58" s="1711"/>
      <c r="CP58" s="1711"/>
      <c r="CQ58" s="1711"/>
      <c r="CR58" s="1711"/>
      <c r="CS58" s="1711"/>
      <c r="CT58" s="1711"/>
      <c r="CU58" s="1711"/>
      <c r="CV58" s="1711"/>
      <c r="CW58" s="1711"/>
    </row>
    <row r="59" spans="1:101" s="1712" customFormat="1" ht="13.5" customHeight="1" x14ac:dyDescent="0.2">
      <c r="A59" s="3465"/>
      <c r="B59" s="1713" t="s">
        <v>17</v>
      </c>
      <c r="C59" s="1724"/>
      <c r="D59" s="1725">
        <f t="shared" ref="D59:H59" si="62">+D60+D61</f>
        <v>7193731</v>
      </c>
      <c r="E59" s="1726">
        <f t="shared" si="62"/>
        <v>0</v>
      </c>
      <c r="F59" s="1726">
        <f t="shared" si="62"/>
        <v>5000</v>
      </c>
      <c r="G59" s="1726">
        <f t="shared" si="62"/>
        <v>2060247</v>
      </c>
      <c r="H59" s="1727">
        <f t="shared" si="62"/>
        <v>1479804</v>
      </c>
      <c r="I59" s="1725">
        <f t="shared" ref="I59" si="63">+I60+I61</f>
        <v>1445235</v>
      </c>
      <c r="J59" s="1715">
        <f t="shared" si="47"/>
        <v>20.090200759522421</v>
      </c>
      <c r="K59" s="1726">
        <f t="shared" ref="K59" si="64">+K60+K61</f>
        <v>0</v>
      </c>
      <c r="L59" s="1715">
        <f>K59/G59*100</f>
        <v>0</v>
      </c>
      <c r="M59" s="3454"/>
      <c r="N59" s="3457"/>
      <c r="O59" s="1711"/>
      <c r="P59" s="1711"/>
      <c r="Q59" s="1711"/>
      <c r="R59" s="1711"/>
      <c r="S59" s="1711"/>
      <c r="T59" s="1711"/>
      <c r="U59" s="1711"/>
      <c r="V59" s="1711"/>
      <c r="W59" s="1711"/>
      <c r="X59" s="1711"/>
      <c r="Y59" s="1711"/>
      <c r="Z59" s="1711"/>
      <c r="AA59" s="1711"/>
      <c r="AB59" s="1711"/>
      <c r="AC59" s="1711"/>
      <c r="AD59" s="1711"/>
      <c r="AE59" s="1711"/>
      <c r="AF59" s="1711"/>
      <c r="AG59" s="1711"/>
      <c r="AH59" s="1711"/>
      <c r="AI59" s="1711"/>
      <c r="AJ59" s="1711"/>
      <c r="AK59" s="1711"/>
      <c r="AL59" s="1711"/>
      <c r="AM59" s="1711"/>
      <c r="AN59" s="1711"/>
      <c r="AO59" s="1711"/>
      <c r="AP59" s="1711"/>
      <c r="AQ59" s="1711"/>
      <c r="AR59" s="1711"/>
      <c r="AS59" s="1711"/>
      <c r="AT59" s="1711"/>
      <c r="AU59" s="1711"/>
      <c r="AV59" s="1711"/>
      <c r="AW59" s="1711"/>
      <c r="AX59" s="1711"/>
      <c r="AY59" s="1711"/>
      <c r="AZ59" s="1711"/>
      <c r="BA59" s="1711"/>
      <c r="BB59" s="1711"/>
      <c r="BC59" s="1711"/>
      <c r="BD59" s="1711"/>
      <c r="BE59" s="1711"/>
      <c r="BF59" s="1711"/>
      <c r="BG59" s="1711"/>
      <c r="BH59" s="1711"/>
      <c r="BI59" s="1711"/>
      <c r="BJ59" s="1711"/>
      <c r="BK59" s="1711"/>
      <c r="BL59" s="1711"/>
      <c r="BM59" s="1711"/>
      <c r="BN59" s="1711"/>
      <c r="BO59" s="1711"/>
      <c r="BP59" s="1711"/>
      <c r="BQ59" s="1711"/>
      <c r="BR59" s="1711"/>
      <c r="BS59" s="1711"/>
      <c r="BT59" s="1711"/>
      <c r="BU59" s="1711"/>
      <c r="BV59" s="1711"/>
      <c r="BW59" s="1711"/>
      <c r="BX59" s="1711"/>
      <c r="BY59" s="1711"/>
      <c r="BZ59" s="1711"/>
      <c r="CA59" s="1711"/>
      <c r="CB59" s="1711"/>
      <c r="CC59" s="1711"/>
      <c r="CD59" s="1711"/>
      <c r="CE59" s="1711"/>
      <c r="CF59" s="1711"/>
      <c r="CG59" s="1711"/>
      <c r="CH59" s="1711"/>
      <c r="CI59" s="1711"/>
      <c r="CJ59" s="1711"/>
      <c r="CK59" s="1711"/>
      <c r="CL59" s="1711"/>
      <c r="CM59" s="1711"/>
      <c r="CN59" s="1711"/>
      <c r="CO59" s="1711"/>
      <c r="CP59" s="1711"/>
      <c r="CQ59" s="1711"/>
      <c r="CR59" s="1711"/>
      <c r="CS59" s="1711"/>
      <c r="CT59" s="1711"/>
      <c r="CU59" s="1711"/>
      <c r="CV59" s="1711"/>
      <c r="CW59" s="1711"/>
    </row>
    <row r="60" spans="1:101" s="1712" customFormat="1" ht="13.5" customHeight="1" x14ac:dyDescent="0.2">
      <c r="A60" s="3465"/>
      <c r="B60" s="1716" t="s">
        <v>214</v>
      </c>
      <c r="C60" s="1724"/>
      <c r="D60" s="1341">
        <f>D77</f>
        <v>3653680</v>
      </c>
      <c r="E60" s="1342">
        <v>0</v>
      </c>
      <c r="F60" s="1342">
        <f>F77</f>
        <v>5000</v>
      </c>
      <c r="G60" s="1728">
        <v>0</v>
      </c>
      <c r="H60" s="1729">
        <v>0</v>
      </c>
      <c r="I60" s="1341">
        <f>I77</f>
        <v>1445235</v>
      </c>
      <c r="J60" s="1717">
        <f t="shared" si="47"/>
        <v>39.555598738805806</v>
      </c>
      <c r="K60" s="1728">
        <v>0</v>
      </c>
      <c r="L60" s="1730">
        <v>0</v>
      </c>
      <c r="M60" s="3454"/>
      <c r="N60" s="3457"/>
      <c r="O60" s="1711"/>
      <c r="P60" s="1711"/>
      <c r="Q60" s="1711"/>
      <c r="R60" s="1711"/>
      <c r="S60" s="1711"/>
      <c r="T60" s="1711"/>
      <c r="U60" s="1711"/>
      <c r="V60" s="1711"/>
      <c r="W60" s="1711"/>
      <c r="X60" s="1711"/>
      <c r="Y60" s="1711"/>
      <c r="Z60" s="1711"/>
      <c r="AA60" s="1711"/>
      <c r="AB60" s="1711"/>
      <c r="AC60" s="1711"/>
      <c r="AD60" s="1711"/>
      <c r="AE60" s="1711"/>
      <c r="AF60" s="1711"/>
      <c r="AG60" s="1711"/>
      <c r="AH60" s="1711"/>
      <c r="AI60" s="1711"/>
      <c r="AJ60" s="1711"/>
      <c r="AK60" s="1711"/>
      <c r="AL60" s="1711"/>
      <c r="AM60" s="1711"/>
      <c r="AN60" s="1711"/>
      <c r="AO60" s="1711"/>
      <c r="AP60" s="1711"/>
      <c r="AQ60" s="1711"/>
      <c r="AR60" s="1711"/>
      <c r="AS60" s="1711"/>
      <c r="AT60" s="1711"/>
      <c r="AU60" s="1711"/>
      <c r="AV60" s="1711"/>
      <c r="AW60" s="1711"/>
      <c r="AX60" s="1711"/>
      <c r="AY60" s="1711"/>
      <c r="AZ60" s="1711"/>
      <c r="BA60" s="1711"/>
      <c r="BB60" s="1711"/>
      <c r="BC60" s="1711"/>
      <c r="BD60" s="1711"/>
      <c r="BE60" s="1711"/>
      <c r="BF60" s="1711"/>
      <c r="BG60" s="1711"/>
      <c r="BH60" s="1711"/>
      <c r="BI60" s="1711"/>
      <c r="BJ60" s="1711"/>
      <c r="BK60" s="1711"/>
      <c r="BL60" s="1711"/>
      <c r="BM60" s="1711"/>
      <c r="BN60" s="1711"/>
      <c r="BO60" s="1711"/>
      <c r="BP60" s="1711"/>
      <c r="BQ60" s="1711"/>
      <c r="BR60" s="1711"/>
      <c r="BS60" s="1711"/>
      <c r="BT60" s="1711"/>
      <c r="BU60" s="1711"/>
      <c r="BV60" s="1711"/>
      <c r="BW60" s="1711"/>
      <c r="BX60" s="1711"/>
      <c r="BY60" s="1711"/>
      <c r="BZ60" s="1711"/>
      <c r="CA60" s="1711"/>
      <c r="CB60" s="1711"/>
      <c r="CC60" s="1711"/>
      <c r="CD60" s="1711"/>
      <c r="CE60" s="1711"/>
      <c r="CF60" s="1711"/>
      <c r="CG60" s="1711"/>
      <c r="CH60" s="1711"/>
      <c r="CI60" s="1711"/>
      <c r="CJ60" s="1711"/>
      <c r="CK60" s="1711"/>
      <c r="CL60" s="1711"/>
      <c r="CM60" s="1711"/>
      <c r="CN60" s="1711"/>
      <c r="CO60" s="1711"/>
      <c r="CP60" s="1711"/>
      <c r="CQ60" s="1711"/>
      <c r="CR60" s="1711"/>
      <c r="CS60" s="1711"/>
      <c r="CT60" s="1711"/>
      <c r="CU60" s="1711"/>
      <c r="CV60" s="1711"/>
      <c r="CW60" s="1711"/>
    </row>
    <row r="61" spans="1:101" s="1712" customFormat="1" ht="13.5" customHeight="1" x14ac:dyDescent="0.2">
      <c r="A61" s="3465"/>
      <c r="B61" s="1716" t="s">
        <v>218</v>
      </c>
      <c r="C61" s="1724"/>
      <c r="D61" s="1341">
        <f>D78</f>
        <v>3540051</v>
      </c>
      <c r="E61" s="1720">
        <f t="shared" ref="E61:H61" si="65">E78</f>
        <v>0</v>
      </c>
      <c r="F61" s="1720">
        <f t="shared" si="65"/>
        <v>0</v>
      </c>
      <c r="G61" s="1720">
        <f t="shared" si="65"/>
        <v>2060247</v>
      </c>
      <c r="H61" s="1331">
        <f t="shared" si="65"/>
        <v>1479804</v>
      </c>
      <c r="I61" s="1341">
        <f t="shared" ref="I61" si="66">I78</f>
        <v>0</v>
      </c>
      <c r="J61" s="1715">
        <f t="shared" si="47"/>
        <v>0</v>
      </c>
      <c r="K61" s="1720">
        <f t="shared" ref="K61" si="67">K78</f>
        <v>0</v>
      </c>
      <c r="L61" s="1715">
        <f>K61/G61*100</f>
        <v>0</v>
      </c>
      <c r="M61" s="3454"/>
      <c r="N61" s="3457"/>
      <c r="O61" s="1711"/>
      <c r="P61" s="1711"/>
      <c r="Q61" s="1711"/>
      <c r="R61" s="1711"/>
      <c r="S61" s="1711"/>
      <c r="T61" s="1711"/>
      <c r="U61" s="1711"/>
      <c r="V61" s="1711"/>
      <c r="W61" s="1711"/>
      <c r="X61" s="1711"/>
      <c r="Y61" s="1711"/>
      <c r="Z61" s="1711"/>
      <c r="AA61" s="1711"/>
      <c r="AB61" s="1711"/>
      <c r="AC61" s="1711"/>
      <c r="AD61" s="1711"/>
      <c r="AE61" s="1711"/>
      <c r="AF61" s="1711"/>
      <c r="AG61" s="1711"/>
      <c r="AH61" s="1711"/>
      <c r="AI61" s="1711"/>
      <c r="AJ61" s="1711"/>
      <c r="AK61" s="1711"/>
      <c r="AL61" s="1711"/>
      <c r="AM61" s="1711"/>
      <c r="AN61" s="1711"/>
      <c r="AO61" s="1711"/>
      <c r="AP61" s="1711"/>
      <c r="AQ61" s="1711"/>
      <c r="AR61" s="1711"/>
      <c r="AS61" s="1711"/>
      <c r="AT61" s="1711"/>
      <c r="AU61" s="1711"/>
      <c r="AV61" s="1711"/>
      <c r="AW61" s="1711"/>
      <c r="AX61" s="1711"/>
      <c r="AY61" s="1711"/>
      <c r="AZ61" s="1711"/>
      <c r="BA61" s="1711"/>
      <c r="BB61" s="1711"/>
      <c r="BC61" s="1711"/>
      <c r="BD61" s="1711"/>
      <c r="BE61" s="1711"/>
      <c r="BF61" s="1711"/>
      <c r="BG61" s="1711"/>
      <c r="BH61" s="1711"/>
      <c r="BI61" s="1711"/>
      <c r="BJ61" s="1711"/>
      <c r="BK61" s="1711"/>
      <c r="BL61" s="1711"/>
      <c r="BM61" s="1711"/>
      <c r="BN61" s="1711"/>
      <c r="BO61" s="1711"/>
      <c r="BP61" s="1711"/>
      <c r="BQ61" s="1711"/>
      <c r="BR61" s="1711"/>
      <c r="BS61" s="1711"/>
      <c r="BT61" s="1711"/>
      <c r="BU61" s="1711"/>
      <c r="BV61" s="1711"/>
      <c r="BW61" s="1711"/>
      <c r="BX61" s="1711"/>
      <c r="BY61" s="1711"/>
      <c r="BZ61" s="1711"/>
      <c r="CA61" s="1711"/>
      <c r="CB61" s="1711"/>
      <c r="CC61" s="1711"/>
      <c r="CD61" s="1711"/>
      <c r="CE61" s="1711"/>
      <c r="CF61" s="1711"/>
      <c r="CG61" s="1711"/>
      <c r="CH61" s="1711"/>
      <c r="CI61" s="1711"/>
      <c r="CJ61" s="1711"/>
      <c r="CK61" s="1711"/>
      <c r="CL61" s="1711"/>
      <c r="CM61" s="1711"/>
      <c r="CN61" s="1711"/>
      <c r="CO61" s="1711"/>
      <c r="CP61" s="1711"/>
      <c r="CQ61" s="1711"/>
      <c r="CR61" s="1711"/>
      <c r="CS61" s="1711"/>
      <c r="CT61" s="1711"/>
      <c r="CU61" s="1711"/>
      <c r="CV61" s="1711"/>
      <c r="CW61" s="1711"/>
    </row>
    <row r="62" spans="1:101" s="1712" customFormat="1" ht="13.5" customHeight="1" x14ac:dyDescent="0.2">
      <c r="A62" s="3465"/>
      <c r="B62" s="1731" t="s">
        <v>12</v>
      </c>
      <c r="C62" s="3461"/>
      <c r="D62" s="1346">
        <f>+D63</f>
        <v>10961039</v>
      </c>
      <c r="E62" s="1348">
        <f t="shared" ref="E62:F62" si="68">+E63</f>
        <v>0</v>
      </c>
      <c r="F62" s="1348">
        <f t="shared" si="68"/>
        <v>15000</v>
      </c>
      <c r="G62" s="1348">
        <f>+G63</f>
        <v>6247391</v>
      </c>
      <c r="H62" s="1344">
        <f>+H63</f>
        <v>4698648</v>
      </c>
      <c r="I62" s="1346">
        <f>+I63</f>
        <v>4194925</v>
      </c>
      <c r="J62" s="1714">
        <f t="shared" si="47"/>
        <v>38.271235053538263</v>
      </c>
      <c r="K62" s="1348">
        <f t="shared" ref="K62" si="69">+K63</f>
        <v>4179925</v>
      </c>
      <c r="L62" s="1714">
        <f>K62/G62*100</f>
        <v>66.906729545181349</v>
      </c>
      <c r="M62" s="3454"/>
      <c r="N62" s="3457"/>
      <c r="O62" s="1711"/>
      <c r="P62" s="1711"/>
      <c r="Q62" s="1711"/>
      <c r="R62" s="1711"/>
      <c r="S62" s="1711"/>
      <c r="T62" s="1711"/>
      <c r="U62" s="1711"/>
      <c r="V62" s="1711"/>
      <c r="W62" s="1711"/>
      <c r="X62" s="1711"/>
      <c r="Y62" s="1711"/>
      <c r="Z62" s="1711"/>
      <c r="AA62" s="1711"/>
      <c r="AB62" s="1711"/>
      <c r="AC62" s="1711"/>
      <c r="AD62" s="1711"/>
      <c r="AE62" s="1711"/>
      <c r="AF62" s="1711"/>
      <c r="AG62" s="1711"/>
      <c r="AH62" s="1711"/>
      <c r="AI62" s="1711"/>
      <c r="AJ62" s="1711"/>
      <c r="AK62" s="1711"/>
      <c r="AL62" s="1711"/>
      <c r="AM62" s="1711"/>
      <c r="AN62" s="1711"/>
      <c r="AO62" s="1711"/>
      <c r="AP62" s="1711"/>
      <c r="AQ62" s="1711"/>
      <c r="AR62" s="1711"/>
      <c r="AS62" s="1711"/>
      <c r="AT62" s="1711"/>
      <c r="AU62" s="1711"/>
      <c r="AV62" s="1711"/>
      <c r="AW62" s="1711"/>
      <c r="AX62" s="1711"/>
      <c r="AY62" s="1711"/>
      <c r="AZ62" s="1711"/>
      <c r="BA62" s="1711"/>
      <c r="BB62" s="1711"/>
      <c r="BC62" s="1711"/>
      <c r="BD62" s="1711"/>
      <c r="BE62" s="1711"/>
      <c r="BF62" s="1711"/>
      <c r="BG62" s="1711"/>
      <c r="BH62" s="1711"/>
      <c r="BI62" s="1711"/>
      <c r="BJ62" s="1711"/>
      <c r="BK62" s="1711"/>
      <c r="BL62" s="1711"/>
      <c r="BM62" s="1711"/>
      <c r="BN62" s="1711"/>
      <c r="BO62" s="1711"/>
      <c r="BP62" s="1711"/>
      <c r="BQ62" s="1711"/>
      <c r="BR62" s="1711"/>
      <c r="BS62" s="1711"/>
      <c r="BT62" s="1711"/>
      <c r="BU62" s="1711"/>
      <c r="BV62" s="1711"/>
      <c r="BW62" s="1711"/>
      <c r="BX62" s="1711"/>
      <c r="BY62" s="1711"/>
      <c r="BZ62" s="1711"/>
      <c r="CA62" s="1711"/>
      <c r="CB62" s="1711"/>
      <c r="CC62" s="1711"/>
      <c r="CD62" s="1711"/>
      <c r="CE62" s="1711"/>
      <c r="CF62" s="1711"/>
      <c r="CG62" s="1711"/>
      <c r="CH62" s="1711"/>
      <c r="CI62" s="1711"/>
      <c r="CJ62" s="1711"/>
      <c r="CK62" s="1711"/>
      <c r="CL62" s="1711"/>
      <c r="CM62" s="1711"/>
      <c r="CN62" s="1711"/>
      <c r="CO62" s="1711"/>
      <c r="CP62" s="1711"/>
      <c r="CQ62" s="1711"/>
      <c r="CR62" s="1711"/>
      <c r="CS62" s="1711"/>
      <c r="CT62" s="1711"/>
      <c r="CU62" s="1711"/>
      <c r="CV62" s="1711"/>
      <c r="CW62" s="1711"/>
    </row>
    <row r="63" spans="1:101" s="1712" customFormat="1" ht="13.5" customHeight="1" thickBot="1" x14ac:dyDescent="0.25">
      <c r="A63" s="3466"/>
      <c r="B63" s="1732" t="s">
        <v>15</v>
      </c>
      <c r="C63" s="3463"/>
      <c r="D63" s="1733">
        <f>D80</f>
        <v>10961039</v>
      </c>
      <c r="E63" s="1734">
        <f t="shared" ref="E63:H63" si="70">E80</f>
        <v>0</v>
      </c>
      <c r="F63" s="1734">
        <f t="shared" si="70"/>
        <v>15000</v>
      </c>
      <c r="G63" s="1734">
        <f t="shared" si="70"/>
        <v>6247391</v>
      </c>
      <c r="H63" s="1356">
        <f t="shared" si="70"/>
        <v>4698648</v>
      </c>
      <c r="I63" s="1733">
        <f>I80</f>
        <v>4194925</v>
      </c>
      <c r="J63" s="1735">
        <f t="shared" si="47"/>
        <v>38.271235053538263</v>
      </c>
      <c r="K63" s="1734">
        <f t="shared" ref="K63" si="71">K80</f>
        <v>4179925</v>
      </c>
      <c r="L63" s="1735">
        <f>K63/G63*100</f>
        <v>66.906729545181349</v>
      </c>
      <c r="M63" s="3455"/>
      <c r="N63" s="3458"/>
      <c r="O63" s="1711"/>
      <c r="P63" s="1711"/>
      <c r="Q63" s="1711"/>
      <c r="R63" s="1711"/>
      <c r="S63" s="1711"/>
      <c r="T63" s="1711"/>
      <c r="U63" s="1711"/>
      <c r="V63" s="1711"/>
      <c r="W63" s="1711"/>
      <c r="X63" s="1711"/>
      <c r="Y63" s="1711"/>
      <c r="Z63" s="1711"/>
      <c r="AA63" s="1711"/>
      <c r="AB63" s="1711"/>
      <c r="AC63" s="1711"/>
      <c r="AD63" s="1711"/>
      <c r="AE63" s="1711"/>
      <c r="AF63" s="1711"/>
      <c r="AG63" s="1711"/>
      <c r="AH63" s="1711"/>
      <c r="AI63" s="1711"/>
      <c r="AJ63" s="1711"/>
      <c r="AK63" s="1711"/>
      <c r="AL63" s="1711"/>
      <c r="AM63" s="1711"/>
      <c r="AN63" s="1711"/>
      <c r="AO63" s="1711"/>
      <c r="AP63" s="1711"/>
      <c r="AQ63" s="1711"/>
      <c r="AR63" s="1711"/>
      <c r="AS63" s="1711"/>
      <c r="AT63" s="1711"/>
      <c r="AU63" s="1711"/>
      <c r="AV63" s="1711"/>
      <c r="AW63" s="1711"/>
      <c r="AX63" s="1711"/>
      <c r="AY63" s="1711"/>
      <c r="AZ63" s="1711"/>
      <c r="BA63" s="1711"/>
      <c r="BB63" s="1711"/>
      <c r="BC63" s="1711"/>
      <c r="BD63" s="1711"/>
      <c r="BE63" s="1711"/>
      <c r="BF63" s="1711"/>
      <c r="BG63" s="1711"/>
      <c r="BH63" s="1711"/>
      <c r="BI63" s="1711"/>
      <c r="BJ63" s="1711"/>
      <c r="BK63" s="1711"/>
      <c r="BL63" s="1711"/>
      <c r="BM63" s="1711"/>
      <c r="BN63" s="1711"/>
      <c r="BO63" s="1711"/>
      <c r="BP63" s="1711"/>
      <c r="BQ63" s="1711"/>
      <c r="BR63" s="1711"/>
      <c r="BS63" s="1711"/>
      <c r="BT63" s="1711"/>
      <c r="BU63" s="1711"/>
      <c r="BV63" s="1711"/>
      <c r="BW63" s="1711"/>
      <c r="BX63" s="1711"/>
      <c r="BY63" s="1711"/>
      <c r="BZ63" s="1711"/>
      <c r="CA63" s="1711"/>
      <c r="CB63" s="1711"/>
      <c r="CC63" s="1711"/>
      <c r="CD63" s="1711"/>
      <c r="CE63" s="1711"/>
      <c r="CF63" s="1711"/>
      <c r="CG63" s="1711"/>
      <c r="CH63" s="1711"/>
      <c r="CI63" s="1711"/>
      <c r="CJ63" s="1711"/>
      <c r="CK63" s="1711"/>
      <c r="CL63" s="1711"/>
      <c r="CM63" s="1711"/>
      <c r="CN63" s="1711"/>
      <c r="CO63" s="1711"/>
      <c r="CP63" s="1711"/>
      <c r="CQ63" s="1711"/>
      <c r="CR63" s="1711"/>
      <c r="CS63" s="1711"/>
      <c r="CT63" s="1711"/>
      <c r="CU63" s="1711"/>
      <c r="CV63" s="1711"/>
      <c r="CW63" s="1711"/>
    </row>
    <row r="64" spans="1:101" ht="45.75" customHeight="1" x14ac:dyDescent="0.2">
      <c r="A64" s="3428" t="s">
        <v>32</v>
      </c>
      <c r="B64" s="1736" t="s">
        <v>132</v>
      </c>
      <c r="C64" s="1358" t="s">
        <v>168</v>
      </c>
      <c r="D64" s="1737"/>
      <c r="E64" s="1504"/>
      <c r="F64" s="1504"/>
      <c r="G64" s="1504"/>
      <c r="H64" s="1738"/>
      <c r="I64" s="1739"/>
      <c r="J64" s="1507"/>
      <c r="K64" s="1360"/>
      <c r="L64" s="1507"/>
      <c r="M64" s="1504"/>
      <c r="N64" s="3469" t="s">
        <v>133</v>
      </c>
    </row>
    <row r="65" spans="1:14" ht="18" customHeight="1" x14ac:dyDescent="0.2">
      <c r="A65" s="3429"/>
      <c r="B65" s="566" t="s">
        <v>2</v>
      </c>
      <c r="C65" s="27"/>
      <c r="D65" s="1514">
        <f>+D66</f>
        <v>12084063</v>
      </c>
      <c r="E65" s="35">
        <f t="shared" ref="E65:H66" si="72">E66</f>
        <v>10901413</v>
      </c>
      <c r="F65" s="1740">
        <f t="shared" si="72"/>
        <v>0</v>
      </c>
      <c r="G65" s="1740">
        <f t="shared" si="72"/>
        <v>0</v>
      </c>
      <c r="H65" s="1741">
        <f t="shared" si="72"/>
        <v>1182650</v>
      </c>
      <c r="I65" s="1514">
        <f t="shared" ref="I65:I80" si="73">+E65+F65+K65</f>
        <v>10901413</v>
      </c>
      <c r="J65" s="1742">
        <f>I65/D65*100</f>
        <v>90.213142715326782</v>
      </c>
      <c r="K65" s="1743">
        <f>K66</f>
        <v>0</v>
      </c>
      <c r="L65" s="1743">
        <v>0</v>
      </c>
      <c r="M65" s="1743">
        <v>0</v>
      </c>
      <c r="N65" s="3470"/>
    </row>
    <row r="66" spans="1:14" s="2752" customFormat="1" ht="18" customHeight="1" x14ac:dyDescent="0.2">
      <c r="A66" s="3429"/>
      <c r="B66" s="1059" t="s">
        <v>17</v>
      </c>
      <c r="C66" s="3086" t="s">
        <v>134</v>
      </c>
      <c r="D66" s="1847">
        <f>+D67</f>
        <v>12084063</v>
      </c>
      <c r="E66" s="1849">
        <f t="shared" si="72"/>
        <v>10901413</v>
      </c>
      <c r="F66" s="1874">
        <f t="shared" si="72"/>
        <v>0</v>
      </c>
      <c r="G66" s="1874">
        <f t="shared" si="72"/>
        <v>0</v>
      </c>
      <c r="H66" s="1927">
        <f t="shared" si="72"/>
        <v>1182650</v>
      </c>
      <c r="I66" s="1847">
        <f t="shared" si="73"/>
        <v>10901413</v>
      </c>
      <c r="J66" s="917">
        <f>I66/D66*100</f>
        <v>90.213142715326782</v>
      </c>
      <c r="K66" s="1872">
        <f>K67</f>
        <v>0</v>
      </c>
      <c r="L66" s="1872">
        <v>0</v>
      </c>
      <c r="M66" s="1872">
        <v>0</v>
      </c>
      <c r="N66" s="3470"/>
    </row>
    <row r="67" spans="1:14" ht="18.75" customHeight="1" thickBot="1" x14ac:dyDescent="0.25">
      <c r="A67" s="3430"/>
      <c r="B67" s="1745" t="s">
        <v>4</v>
      </c>
      <c r="C67" s="3172"/>
      <c r="D67" s="1746">
        <f>+E67+F67+G67+H67</f>
        <v>12084063</v>
      </c>
      <c r="E67" s="41">
        <f>256114+3490843+7154456</f>
        <v>10901413</v>
      </c>
      <c r="F67" s="1747">
        <v>0</v>
      </c>
      <c r="G67" s="1747">
        <v>0</v>
      </c>
      <c r="H67" s="1748">
        <v>1182650</v>
      </c>
      <c r="I67" s="1449">
        <f t="shared" si="73"/>
        <v>10901413</v>
      </c>
      <c r="J67" s="1749">
        <f>I67/D67*100</f>
        <v>90.213142715326782</v>
      </c>
      <c r="K67" s="1448">
        <v>0</v>
      </c>
      <c r="L67" s="1448">
        <v>0</v>
      </c>
      <c r="M67" s="1448">
        <v>0</v>
      </c>
      <c r="N67" s="3471"/>
    </row>
    <row r="68" spans="1:14" ht="56.25" customHeight="1" x14ac:dyDescent="0.2">
      <c r="A68" s="3428" t="s">
        <v>35</v>
      </c>
      <c r="B68" s="1750" t="s">
        <v>213</v>
      </c>
      <c r="C68" s="1358" t="s">
        <v>168</v>
      </c>
      <c r="D68" s="1737"/>
      <c r="E68" s="1504"/>
      <c r="F68" s="1504"/>
      <c r="G68" s="1504"/>
      <c r="H68" s="1505"/>
      <c r="I68" s="1506"/>
      <c r="J68" s="1507"/>
      <c r="K68" s="1360"/>
      <c r="L68" s="1507"/>
      <c r="M68" s="1504"/>
      <c r="N68" s="3431" t="s">
        <v>216</v>
      </c>
    </row>
    <row r="69" spans="1:14" ht="12.75" customHeight="1" x14ac:dyDescent="0.2">
      <c r="A69" s="3459"/>
      <c r="B69" s="1157" t="s">
        <v>2</v>
      </c>
      <c r="C69" s="21"/>
      <c r="D69" s="1751">
        <f>+D70+D73</f>
        <v>19364859</v>
      </c>
      <c r="E69" s="1320">
        <f>+E70+E73</f>
        <v>0</v>
      </c>
      <c r="F69" s="1320">
        <f>F70+F73</f>
        <v>20000</v>
      </c>
      <c r="G69" s="1320">
        <f>+G70+G73</f>
        <v>10101090</v>
      </c>
      <c r="H69" s="1752">
        <f>+H70+H73</f>
        <v>9243769</v>
      </c>
      <c r="I69" s="1514">
        <f t="shared" si="73"/>
        <v>7572173</v>
      </c>
      <c r="J69" s="1753">
        <f t="shared" ref="J69:J80" si="74">I69/D69*100</f>
        <v>39.102649804989539</v>
      </c>
      <c r="K69" s="35">
        <f>+K70+K73</f>
        <v>7552173</v>
      </c>
      <c r="L69" s="1753">
        <f t="shared" ref="L69:L80" si="75">K69/G69*100</f>
        <v>74.765921301562514</v>
      </c>
      <c r="M69" s="35">
        <f t="shared" ref="M69:M74" si="76">+K69-G69</f>
        <v>-2548917</v>
      </c>
      <c r="N69" s="3432"/>
    </row>
    <row r="70" spans="1:14" ht="13.5" customHeight="1" x14ac:dyDescent="0.2">
      <c r="A70" s="3459"/>
      <c r="B70" s="1754" t="s">
        <v>17</v>
      </c>
      <c r="C70" s="3086" t="s">
        <v>215</v>
      </c>
      <c r="D70" s="1755">
        <f t="shared" ref="D70" si="77">D72+D71</f>
        <v>8403820</v>
      </c>
      <c r="E70" s="1386">
        <f>E72+E71</f>
        <v>0</v>
      </c>
      <c r="F70" s="1386">
        <f>F72+F71</f>
        <v>5000</v>
      </c>
      <c r="G70" s="1386">
        <f t="shared" ref="G70:H70" si="78">G72+G71</f>
        <v>3853699</v>
      </c>
      <c r="H70" s="1756">
        <f t="shared" si="78"/>
        <v>4545121</v>
      </c>
      <c r="I70" s="1429">
        <f t="shared" si="73"/>
        <v>3221469</v>
      </c>
      <c r="J70" s="1430">
        <f t="shared" si="74"/>
        <v>38.333388863635818</v>
      </c>
      <c r="K70" s="1744">
        <f>K72+K71</f>
        <v>3216469</v>
      </c>
      <c r="L70" s="1430">
        <f t="shared" si="75"/>
        <v>83.464458433313041</v>
      </c>
      <c r="M70" s="1744">
        <f t="shared" si="76"/>
        <v>-637230</v>
      </c>
      <c r="N70" s="3432"/>
    </row>
    <row r="71" spans="1:14" ht="15" customHeight="1" x14ac:dyDescent="0.2">
      <c r="A71" s="3459"/>
      <c r="B71" s="1757" t="s">
        <v>214</v>
      </c>
      <c r="C71" s="3086"/>
      <c r="D71" s="1758">
        <f>+E71+F71+G71+H71</f>
        <v>3653680</v>
      </c>
      <c r="E71" s="1379"/>
      <c r="F71" s="1379">
        <v>5000</v>
      </c>
      <c r="G71" s="1379">
        <v>2082464</v>
      </c>
      <c r="H71" s="1759">
        <v>1566216</v>
      </c>
      <c r="I71" s="1523">
        <f>+E71+F71+K71-5000</f>
        <v>1445235</v>
      </c>
      <c r="J71" s="1423">
        <f t="shared" si="74"/>
        <v>39.555598738805806</v>
      </c>
      <c r="K71" s="1468">
        <v>1445235</v>
      </c>
      <c r="L71" s="1423">
        <f t="shared" si="75"/>
        <v>69.400239331868406</v>
      </c>
      <c r="M71" s="1424">
        <f t="shared" si="76"/>
        <v>-637229</v>
      </c>
      <c r="N71" s="3432"/>
    </row>
    <row r="72" spans="1:14" ht="12.75" customHeight="1" x14ac:dyDescent="0.2">
      <c r="A72" s="3459"/>
      <c r="B72" s="1757" t="s">
        <v>217</v>
      </c>
      <c r="C72" s="3123"/>
      <c r="D72" s="1758">
        <f>+E72+F72+G72+H72</f>
        <v>4750140</v>
      </c>
      <c r="E72" s="1379"/>
      <c r="F72" s="1379"/>
      <c r="G72" s="1379">
        <v>1771235</v>
      </c>
      <c r="H72" s="1759">
        <v>2978905</v>
      </c>
      <c r="I72" s="1422">
        <f t="shared" si="73"/>
        <v>1771234</v>
      </c>
      <c r="J72" s="1423">
        <f t="shared" si="74"/>
        <v>37.288037826253543</v>
      </c>
      <c r="K72" s="1424">
        <v>1771234</v>
      </c>
      <c r="L72" s="1423">
        <f t="shared" si="75"/>
        <v>99.999943542217721</v>
      </c>
      <c r="M72" s="1424">
        <f t="shared" si="76"/>
        <v>-1</v>
      </c>
      <c r="N72" s="3432"/>
    </row>
    <row r="73" spans="1:14" ht="12.75" customHeight="1" x14ac:dyDescent="0.2">
      <c r="A73" s="3459"/>
      <c r="B73" s="1760" t="s">
        <v>12</v>
      </c>
      <c r="C73" s="3123"/>
      <c r="D73" s="1755">
        <f t="shared" ref="D73:H73" si="79">+D74</f>
        <v>10961039</v>
      </c>
      <c r="E73" s="1386">
        <f t="shared" si="79"/>
        <v>0</v>
      </c>
      <c r="F73" s="1386">
        <f t="shared" si="79"/>
        <v>15000</v>
      </c>
      <c r="G73" s="1386">
        <f t="shared" si="79"/>
        <v>6247391</v>
      </c>
      <c r="H73" s="1756">
        <f t="shared" si="79"/>
        <v>4698648</v>
      </c>
      <c r="I73" s="1429">
        <f t="shared" si="73"/>
        <v>4350704</v>
      </c>
      <c r="J73" s="1430">
        <f t="shared" si="74"/>
        <v>39.692441565074262</v>
      </c>
      <c r="K73" s="1744">
        <f>+K74</f>
        <v>4335704</v>
      </c>
      <c r="L73" s="1430">
        <f t="shared" si="75"/>
        <v>69.400234433862067</v>
      </c>
      <c r="M73" s="1744">
        <f t="shared" si="76"/>
        <v>-1911687</v>
      </c>
      <c r="N73" s="3432"/>
    </row>
    <row r="74" spans="1:14" ht="12.75" customHeight="1" x14ac:dyDescent="0.2">
      <c r="A74" s="3459"/>
      <c r="B74" s="1761" t="s">
        <v>15</v>
      </c>
      <c r="C74" s="3123"/>
      <c r="D74" s="1758">
        <f>+E74+F74+G74+H74</f>
        <v>10961039</v>
      </c>
      <c r="E74" s="1379"/>
      <c r="F74" s="1379">
        <v>15000</v>
      </c>
      <c r="G74" s="1379">
        <v>6247391</v>
      </c>
      <c r="H74" s="1759">
        <v>4698648</v>
      </c>
      <c r="I74" s="1422">
        <f>+E74+F74+K74-15000</f>
        <v>4335704</v>
      </c>
      <c r="J74" s="1423">
        <f t="shared" si="74"/>
        <v>39.555593224328462</v>
      </c>
      <c r="K74" s="1424">
        <v>4335704</v>
      </c>
      <c r="L74" s="1423">
        <f t="shared" si="75"/>
        <v>69.400234433862067</v>
      </c>
      <c r="M74" s="1424">
        <f t="shared" si="76"/>
        <v>-1911687</v>
      </c>
      <c r="N74" s="3432"/>
    </row>
    <row r="75" spans="1:14" ht="13.5" thickBot="1" x14ac:dyDescent="0.25">
      <c r="A75" s="3459"/>
      <c r="B75" s="1157" t="s">
        <v>16</v>
      </c>
      <c r="C75" s="1762"/>
      <c r="D75" s="1751">
        <f>D79+D76</f>
        <v>18154770</v>
      </c>
      <c r="E75" s="1320">
        <f>E79</f>
        <v>0</v>
      </c>
      <c r="F75" s="1320">
        <f>F79+F76</f>
        <v>20000</v>
      </c>
      <c r="G75" s="1320">
        <f>G79+G76</f>
        <v>10390102</v>
      </c>
      <c r="H75" s="1752">
        <f>H79+H76</f>
        <v>7744668</v>
      </c>
      <c r="I75" s="1514">
        <f t="shared" si="73"/>
        <v>5645160</v>
      </c>
      <c r="J75" s="1753">
        <f t="shared" si="74"/>
        <v>31.094637938128656</v>
      </c>
      <c r="K75" s="35">
        <f>K79+K76</f>
        <v>5625160</v>
      </c>
      <c r="L75" s="1753">
        <f t="shared" si="75"/>
        <v>54.139603249323251</v>
      </c>
      <c r="M75" s="35"/>
      <c r="N75" s="3433"/>
    </row>
    <row r="76" spans="1:14" ht="12.75" x14ac:dyDescent="0.2">
      <c r="A76" s="3459"/>
      <c r="B76" s="1760" t="s">
        <v>17</v>
      </c>
      <c r="C76" s="3467"/>
      <c r="D76" s="1755">
        <f>+D77+D78</f>
        <v>7193731</v>
      </c>
      <c r="E76" s="1386">
        <f t="shared" ref="E76:H76" si="80">+E77+E78</f>
        <v>0</v>
      </c>
      <c r="F76" s="1386">
        <f t="shared" si="80"/>
        <v>5000</v>
      </c>
      <c r="G76" s="1386">
        <f t="shared" si="80"/>
        <v>4142711</v>
      </c>
      <c r="H76" s="1389">
        <f t="shared" si="80"/>
        <v>3046020</v>
      </c>
      <c r="I76" s="1385">
        <f>+E76+F76+K76</f>
        <v>1450235</v>
      </c>
      <c r="J76" s="1423">
        <f t="shared" si="74"/>
        <v>20.159705721551166</v>
      </c>
      <c r="K76" s="1386">
        <f>+K77+K78</f>
        <v>1445235</v>
      </c>
      <c r="L76" s="1423">
        <f t="shared" si="75"/>
        <v>34.886213399872688</v>
      </c>
      <c r="M76" s="3452" t="s">
        <v>78</v>
      </c>
      <c r="N76" s="3431"/>
    </row>
    <row r="77" spans="1:14" ht="13.5" thickBot="1" x14ac:dyDescent="0.25">
      <c r="A77" s="3459"/>
      <c r="B77" s="1763" t="s">
        <v>214</v>
      </c>
      <c r="C77" s="3468"/>
      <c r="D77" s="1764">
        <f>+E77+F77+G77+H77</f>
        <v>3653680</v>
      </c>
      <c r="E77" s="1463">
        <v>0</v>
      </c>
      <c r="F77" s="1463">
        <v>5000</v>
      </c>
      <c r="G77" s="1463">
        <v>2082464</v>
      </c>
      <c r="H77" s="1469">
        <v>1566216</v>
      </c>
      <c r="I77" s="1378">
        <f>+E77+F77+K77-5000</f>
        <v>1445235</v>
      </c>
      <c r="J77" s="1430">
        <f t="shared" si="74"/>
        <v>39.555598738805806</v>
      </c>
      <c r="K77" s="1379">
        <v>1445235</v>
      </c>
      <c r="L77" s="1430">
        <f t="shared" si="75"/>
        <v>69.400239331868406</v>
      </c>
      <c r="M77" s="3452"/>
      <c r="N77" s="3433"/>
    </row>
    <row r="78" spans="1:14" ht="12.75" x14ac:dyDescent="0.2">
      <c r="A78" s="3428"/>
      <c r="B78" s="1763" t="s">
        <v>218</v>
      </c>
      <c r="C78" s="3468"/>
      <c r="D78" s="1764">
        <f>+E78+F78+G78+H78</f>
        <v>3540051</v>
      </c>
      <c r="E78" s="1463"/>
      <c r="F78" s="1463"/>
      <c r="G78" s="1463">
        <v>2060247</v>
      </c>
      <c r="H78" s="1469">
        <v>1479804</v>
      </c>
      <c r="I78" s="1523">
        <f t="shared" si="73"/>
        <v>0</v>
      </c>
      <c r="J78" s="1467">
        <f t="shared" si="74"/>
        <v>0</v>
      </c>
      <c r="K78" s="1468">
        <v>0</v>
      </c>
      <c r="L78" s="1467">
        <f t="shared" si="75"/>
        <v>0</v>
      </c>
      <c r="M78" s="3452"/>
      <c r="N78" s="3432"/>
    </row>
    <row r="79" spans="1:14" ht="12.75" customHeight="1" thickBot="1" x14ac:dyDescent="0.25">
      <c r="A79" s="3460"/>
      <c r="B79" s="1765" t="s">
        <v>12</v>
      </c>
      <c r="C79" s="3086" t="s">
        <v>128</v>
      </c>
      <c r="D79" s="1755">
        <f>+D80</f>
        <v>10961039</v>
      </c>
      <c r="E79" s="1386">
        <f t="shared" ref="E79:F79" si="81">+E80</f>
        <v>0</v>
      </c>
      <c r="F79" s="1386">
        <f t="shared" si="81"/>
        <v>15000</v>
      </c>
      <c r="G79" s="1386">
        <f>+G80</f>
        <v>6247391</v>
      </c>
      <c r="H79" s="1389">
        <f>+H80</f>
        <v>4698648</v>
      </c>
      <c r="I79" s="1429">
        <f t="shared" si="73"/>
        <v>4194925</v>
      </c>
      <c r="J79" s="1430">
        <f t="shared" si="74"/>
        <v>38.271235053538263</v>
      </c>
      <c r="K79" s="1744">
        <f>+K80</f>
        <v>4179925</v>
      </c>
      <c r="L79" s="1430">
        <f t="shared" si="75"/>
        <v>66.906729545181349</v>
      </c>
      <c r="M79" s="3452"/>
      <c r="N79" s="3432"/>
    </row>
    <row r="80" spans="1:14" ht="13.5" customHeight="1" thickBot="1" x14ac:dyDescent="0.25">
      <c r="A80" s="3460"/>
      <c r="B80" s="499" t="s">
        <v>15</v>
      </c>
      <c r="C80" s="3100"/>
      <c r="D80" s="1766">
        <f>+E80+F80+G80+H80</f>
        <v>10961039</v>
      </c>
      <c r="E80" s="1399">
        <v>0</v>
      </c>
      <c r="F80" s="1399">
        <v>15000</v>
      </c>
      <c r="G80" s="1399">
        <v>6247391</v>
      </c>
      <c r="H80" s="1402">
        <v>4698648</v>
      </c>
      <c r="I80" s="1449">
        <f t="shared" si="73"/>
        <v>4194925</v>
      </c>
      <c r="J80" s="1767">
        <f t="shared" si="74"/>
        <v>38.271235053538263</v>
      </c>
      <c r="K80" s="41">
        <v>4179925</v>
      </c>
      <c r="L80" s="1767">
        <f t="shared" si="75"/>
        <v>66.906729545181349</v>
      </c>
      <c r="M80" s="3453"/>
      <c r="N80" s="3433"/>
    </row>
    <row r="81" spans="1:14" ht="50.25" customHeight="1" thickBot="1" x14ac:dyDescent="0.25">
      <c r="A81" s="3446" t="s">
        <v>40</v>
      </c>
      <c r="B81" s="1750" t="s">
        <v>276</v>
      </c>
      <c r="C81" s="1358" t="s">
        <v>168</v>
      </c>
      <c r="D81" s="1737"/>
      <c r="E81" s="1504"/>
      <c r="F81" s="1504"/>
      <c r="G81" s="1504"/>
      <c r="H81" s="1738"/>
      <c r="I81" s="1506"/>
      <c r="J81" s="1507"/>
      <c r="K81" s="1360"/>
      <c r="L81" s="1507"/>
      <c r="M81" s="1504"/>
      <c r="N81" s="3431" t="s">
        <v>216</v>
      </c>
    </row>
    <row r="82" spans="1:14" ht="13.5" customHeight="1" x14ac:dyDescent="0.2">
      <c r="A82" s="3446"/>
      <c r="B82" s="1157" t="s">
        <v>2</v>
      </c>
      <c r="C82" s="3449" t="s">
        <v>215</v>
      </c>
      <c r="D82" s="1751">
        <f>+D83+D86</f>
        <v>160000</v>
      </c>
      <c r="E82" s="1320">
        <f>+E83+E86</f>
        <v>0</v>
      </c>
      <c r="F82" s="1320">
        <f>F83+F86</f>
        <v>0</v>
      </c>
      <c r="G82" s="1320">
        <f>+G83+G86</f>
        <v>16605</v>
      </c>
      <c r="H82" s="1315">
        <f>+H83+H86</f>
        <v>143395</v>
      </c>
      <c r="I82" s="1722">
        <f t="shared" ref="I82:I84" si="82">+E82+F82+K82</f>
        <v>16605</v>
      </c>
      <c r="J82" s="1723">
        <f t="shared" ref="J82:J84" si="83">I82/D82*100</f>
        <v>10.378125000000001</v>
      </c>
      <c r="K82" s="1320">
        <f>+K83+K86</f>
        <v>16605</v>
      </c>
      <c r="L82" s="1723">
        <f t="shared" ref="L82:L84" si="84">K82/G82*100</f>
        <v>100</v>
      </c>
      <c r="M82" s="1320">
        <f>+K82-G82</f>
        <v>0</v>
      </c>
      <c r="N82" s="3432"/>
    </row>
    <row r="83" spans="1:14" ht="13.5" customHeight="1" thickBot="1" x14ac:dyDescent="0.25">
      <c r="A83" s="3447"/>
      <c r="B83" s="1754" t="s">
        <v>17</v>
      </c>
      <c r="C83" s="3449"/>
      <c r="D83" s="1385">
        <f t="shared" ref="D83" si="85">D85+D84</f>
        <v>160000</v>
      </c>
      <c r="E83" s="1386">
        <f>E85+E84</f>
        <v>0</v>
      </c>
      <c r="F83" s="1386">
        <f>F85+F84</f>
        <v>0</v>
      </c>
      <c r="G83" s="1386">
        <f t="shared" ref="G83:H83" si="86">G85+G84</f>
        <v>16605</v>
      </c>
      <c r="H83" s="1389">
        <f t="shared" si="86"/>
        <v>143395</v>
      </c>
      <c r="I83" s="1385">
        <f t="shared" si="82"/>
        <v>16605</v>
      </c>
      <c r="J83" s="1388">
        <f t="shared" si="83"/>
        <v>10.378125000000001</v>
      </c>
      <c r="K83" s="1386">
        <f>K85+K84</f>
        <v>16605</v>
      </c>
      <c r="L83" s="1388">
        <f t="shared" si="84"/>
        <v>100</v>
      </c>
      <c r="M83" s="1386">
        <f>+K83-G83</f>
        <v>0</v>
      </c>
      <c r="N83" s="3432"/>
    </row>
    <row r="84" spans="1:14" ht="13.5" thickBot="1" x14ac:dyDescent="0.25">
      <c r="A84" s="3448"/>
      <c r="B84" s="1768" t="s">
        <v>217</v>
      </c>
      <c r="C84" s="3450"/>
      <c r="D84" s="1398">
        <f>+E84+F84+G84+H84</f>
        <v>160000</v>
      </c>
      <c r="E84" s="1399">
        <v>0</v>
      </c>
      <c r="F84" s="1399">
        <v>0</v>
      </c>
      <c r="G84" s="1399">
        <v>16605</v>
      </c>
      <c r="H84" s="1496">
        <v>143395</v>
      </c>
      <c r="I84" s="1769">
        <f t="shared" si="82"/>
        <v>16605</v>
      </c>
      <c r="J84" s="1401">
        <f t="shared" si="83"/>
        <v>10.378125000000001</v>
      </c>
      <c r="K84" s="1770">
        <v>16605</v>
      </c>
      <c r="L84" s="1401">
        <f t="shared" si="84"/>
        <v>100</v>
      </c>
      <c r="M84" s="1770">
        <f>+K84-G84</f>
        <v>0</v>
      </c>
      <c r="N84" s="3451"/>
    </row>
    <row r="85" spans="1:14" x14ac:dyDescent="0.2">
      <c r="A85" s="1771"/>
      <c r="B85" s="1585"/>
      <c r="C85" s="1585"/>
      <c r="D85" s="1585"/>
      <c r="E85" s="1585"/>
      <c r="F85" s="1585"/>
      <c r="G85" s="1585"/>
      <c r="H85" s="1585"/>
      <c r="I85" s="1585"/>
      <c r="J85" s="1585"/>
      <c r="N85" s="1772"/>
    </row>
    <row r="86" spans="1:14" x14ac:dyDescent="0.2">
      <c r="A86" s="1771"/>
      <c r="B86" s="1585"/>
      <c r="C86" s="1585"/>
      <c r="D86" s="1585"/>
      <c r="E86" s="1585"/>
      <c r="F86" s="1585"/>
      <c r="G86" s="1585"/>
      <c r="H86" s="1585"/>
      <c r="I86" s="1585"/>
      <c r="J86" s="1585"/>
      <c r="N86" s="1772"/>
    </row>
    <row r="87" spans="1:14" ht="12" thickBot="1" x14ac:dyDescent="0.25">
      <c r="A87" s="1773"/>
      <c r="B87" s="1774"/>
      <c r="C87" s="1774"/>
      <c r="D87" s="1774"/>
      <c r="E87" s="1774"/>
      <c r="F87" s="1774"/>
      <c r="G87" s="1774"/>
      <c r="H87" s="1774"/>
      <c r="I87" s="1774"/>
      <c r="J87" s="1774"/>
      <c r="K87" s="1774"/>
      <c r="L87" s="1774"/>
      <c r="M87" s="1775"/>
      <c r="N87" s="1776"/>
    </row>
    <row r="88" spans="1:14" x14ac:dyDescent="0.2">
      <c r="A88" s="1777"/>
      <c r="B88" s="1778"/>
      <c r="C88" s="1778"/>
      <c r="D88" s="1778"/>
      <c r="E88" s="1778"/>
      <c r="F88" s="1778"/>
      <c r="G88" s="1778"/>
      <c r="H88" s="1778"/>
      <c r="I88" s="1778"/>
      <c r="J88" s="1778"/>
      <c r="K88" s="1778"/>
      <c r="L88" s="1778"/>
      <c r="M88" s="1779"/>
      <c r="N88" s="1780"/>
    </row>
    <row r="89" spans="1:14" x14ac:dyDescent="0.2">
      <c r="A89" s="1771"/>
      <c r="B89" s="1585"/>
      <c r="C89" s="1585"/>
      <c r="D89" s="1585"/>
      <c r="E89" s="1585"/>
      <c r="F89" s="1585"/>
      <c r="G89" s="1585"/>
      <c r="H89" s="1585"/>
      <c r="I89" s="1585"/>
      <c r="J89" s="1585"/>
      <c r="N89" s="1772"/>
    </row>
    <row r="90" spans="1:14" x14ac:dyDescent="0.2">
      <c r="A90" s="1771"/>
      <c r="B90" s="1585"/>
      <c r="C90" s="1585"/>
      <c r="D90" s="1585"/>
      <c r="E90" s="1585"/>
      <c r="F90" s="1585"/>
      <c r="G90" s="1585"/>
      <c r="H90" s="1585"/>
      <c r="I90" s="1585"/>
      <c r="J90" s="1585"/>
      <c r="N90" s="1772"/>
    </row>
    <row r="91" spans="1:14" x14ac:dyDescent="0.2">
      <c r="A91" s="1771"/>
      <c r="B91" s="1585"/>
      <c r="C91" s="1585"/>
      <c r="D91" s="1585"/>
      <c r="E91" s="1585"/>
      <c r="F91" s="1585"/>
      <c r="G91" s="1585"/>
      <c r="H91" s="1585"/>
      <c r="I91" s="1585"/>
      <c r="J91" s="1585"/>
      <c r="N91" s="1772"/>
    </row>
    <row r="92" spans="1:14" x14ac:dyDescent="0.2">
      <c r="A92" s="1771"/>
      <c r="B92" s="1585"/>
      <c r="C92" s="1585"/>
      <c r="D92" s="1585"/>
      <c r="E92" s="1585"/>
      <c r="F92" s="1585"/>
      <c r="G92" s="1585"/>
      <c r="H92" s="1585"/>
      <c r="I92" s="1585"/>
      <c r="J92" s="1585"/>
      <c r="N92" s="1772"/>
    </row>
    <row r="93" spans="1:14" x14ac:dyDescent="0.2">
      <c r="A93" s="1771"/>
      <c r="B93" s="1585"/>
      <c r="C93" s="1585"/>
      <c r="D93" s="1585"/>
      <c r="E93" s="1585"/>
      <c r="F93" s="1585"/>
      <c r="G93" s="1585"/>
      <c r="H93" s="1585"/>
      <c r="I93" s="1585"/>
      <c r="J93" s="1585"/>
      <c r="N93" s="1772"/>
    </row>
    <row r="94" spans="1:14" x14ac:dyDescent="0.2">
      <c r="A94" s="1771"/>
      <c r="B94" s="1585"/>
      <c r="C94" s="1585"/>
      <c r="D94" s="1585"/>
      <c r="E94" s="1585"/>
      <c r="F94" s="1585"/>
      <c r="G94" s="1585"/>
      <c r="H94" s="1585"/>
      <c r="I94" s="1585"/>
      <c r="J94" s="1585"/>
      <c r="N94" s="1772"/>
    </row>
    <row r="95" spans="1:14" x14ac:dyDescent="0.2">
      <c r="A95" s="1771"/>
      <c r="B95" s="1585"/>
      <c r="C95" s="1585"/>
      <c r="D95" s="1585"/>
      <c r="E95" s="1585"/>
      <c r="F95" s="1585"/>
      <c r="G95" s="1585"/>
      <c r="H95" s="1585"/>
      <c r="I95" s="1585"/>
      <c r="J95" s="1585"/>
      <c r="N95" s="1772"/>
    </row>
    <row r="96" spans="1:14" x14ac:dyDescent="0.2">
      <c r="A96" s="1771"/>
      <c r="B96" s="1585"/>
      <c r="C96" s="1585"/>
      <c r="D96" s="1585"/>
      <c r="E96" s="1585"/>
      <c r="F96" s="1585"/>
      <c r="G96" s="1585"/>
      <c r="H96" s="1585"/>
      <c r="I96" s="1585"/>
      <c r="J96" s="1585"/>
      <c r="N96" s="1772"/>
    </row>
    <row r="97" spans="1:14" ht="12" thickBot="1" x14ac:dyDescent="0.25">
      <c r="A97" s="1773"/>
      <c r="B97" s="1774"/>
      <c r="C97" s="1774"/>
      <c r="D97" s="1774"/>
      <c r="E97" s="1774"/>
      <c r="F97" s="1774"/>
      <c r="G97" s="1774"/>
      <c r="H97" s="1774"/>
      <c r="I97" s="1774"/>
      <c r="J97" s="1774"/>
      <c r="K97" s="1774"/>
      <c r="L97" s="1774"/>
      <c r="M97" s="1775"/>
      <c r="N97" s="1776"/>
    </row>
    <row r="98" spans="1:14" ht="12" thickBot="1" x14ac:dyDescent="0.25">
      <c r="A98" s="1773"/>
      <c r="B98" s="1774"/>
      <c r="C98" s="1774"/>
      <c r="D98" s="1774"/>
      <c r="E98" s="1774"/>
      <c r="F98" s="1774"/>
      <c r="G98" s="1774"/>
      <c r="H98" s="1774"/>
      <c r="I98" s="1774"/>
      <c r="J98" s="1774"/>
      <c r="K98" s="1774"/>
      <c r="L98" s="1774"/>
      <c r="M98" s="1775"/>
      <c r="N98" s="1776"/>
    </row>
    <row r="99" spans="1:14" x14ac:dyDescent="0.2">
      <c r="A99" s="1777"/>
      <c r="B99" s="1778"/>
      <c r="C99" s="1778"/>
      <c r="D99" s="1778"/>
      <c r="E99" s="1778"/>
      <c r="F99" s="1778"/>
      <c r="G99" s="1778"/>
      <c r="H99" s="1778"/>
      <c r="I99" s="1778"/>
      <c r="J99" s="1778"/>
      <c r="K99" s="1778"/>
      <c r="L99" s="1778"/>
      <c r="M99" s="1779"/>
      <c r="N99" s="1780"/>
    </row>
    <row r="100" spans="1:14" x14ac:dyDescent="0.2">
      <c r="A100" s="1771"/>
      <c r="B100" s="1585"/>
      <c r="C100" s="1585"/>
      <c r="D100" s="1585"/>
      <c r="E100" s="1585"/>
      <c r="F100" s="1585"/>
      <c r="G100" s="1585"/>
      <c r="H100" s="1585"/>
      <c r="I100" s="1585"/>
      <c r="J100" s="1585"/>
      <c r="N100" s="1772"/>
    </row>
    <row r="101" spans="1:14" x14ac:dyDescent="0.2">
      <c r="A101" s="1771"/>
      <c r="B101" s="1585"/>
      <c r="C101" s="1585"/>
      <c r="D101" s="1585"/>
      <c r="E101" s="1585"/>
      <c r="F101" s="1585"/>
      <c r="G101" s="1585"/>
      <c r="H101" s="1585"/>
      <c r="I101" s="1585"/>
      <c r="J101" s="1585"/>
      <c r="N101" s="1772"/>
    </row>
    <row r="102" spans="1:14" x14ac:dyDescent="0.2">
      <c r="A102" s="1771"/>
      <c r="B102" s="1585"/>
      <c r="C102" s="1585"/>
      <c r="D102" s="1585"/>
      <c r="E102" s="1585"/>
      <c r="F102" s="1585"/>
      <c r="G102" s="1585"/>
      <c r="H102" s="1585"/>
      <c r="I102" s="1585"/>
      <c r="J102" s="1585"/>
      <c r="N102" s="1772"/>
    </row>
    <row r="103" spans="1:14" x14ac:dyDescent="0.2">
      <c r="A103" s="1771"/>
      <c r="B103" s="1585"/>
      <c r="C103" s="1585"/>
      <c r="D103" s="1585"/>
      <c r="E103" s="1585"/>
      <c r="F103" s="1585"/>
      <c r="G103" s="1585"/>
      <c r="H103" s="1585"/>
      <c r="I103" s="1585"/>
      <c r="J103" s="1585"/>
      <c r="N103" s="1772"/>
    </row>
    <row r="104" spans="1:14" x14ac:dyDescent="0.2">
      <c r="A104" s="1771"/>
      <c r="B104" s="1585"/>
      <c r="C104" s="1585"/>
      <c r="D104" s="1585"/>
      <c r="E104" s="1585"/>
      <c r="F104" s="1585"/>
      <c r="G104" s="1585"/>
      <c r="H104" s="1585"/>
      <c r="I104" s="1585"/>
      <c r="J104" s="1585"/>
      <c r="N104" s="1772"/>
    </row>
    <row r="105" spans="1:14" x14ac:dyDescent="0.2">
      <c r="A105" s="1771"/>
      <c r="B105" s="1585"/>
      <c r="C105" s="1585"/>
      <c r="D105" s="1585"/>
      <c r="E105" s="1585"/>
      <c r="F105" s="1585"/>
      <c r="G105" s="1585"/>
      <c r="H105" s="1585"/>
      <c r="I105" s="1585"/>
      <c r="J105" s="1585"/>
      <c r="N105" s="1772"/>
    </row>
    <row r="106" spans="1:14" x14ac:dyDescent="0.2">
      <c r="A106" s="1771"/>
      <c r="B106" s="1585"/>
      <c r="C106" s="1585"/>
      <c r="D106" s="1585"/>
      <c r="E106" s="1585"/>
      <c r="F106" s="1585"/>
      <c r="G106" s="1585"/>
      <c r="H106" s="1585"/>
      <c r="I106" s="1585"/>
      <c r="J106" s="1585"/>
      <c r="N106" s="1772"/>
    </row>
    <row r="107" spans="1:14" x14ac:dyDescent="0.2">
      <c r="A107" s="1771"/>
      <c r="B107" s="1585"/>
      <c r="C107" s="1585"/>
      <c r="D107" s="1585"/>
      <c r="E107" s="1585"/>
      <c r="F107" s="1585"/>
      <c r="G107" s="1585"/>
      <c r="H107" s="1585"/>
      <c r="I107" s="1585"/>
      <c r="J107" s="1585"/>
      <c r="N107" s="1772"/>
    </row>
    <row r="108" spans="1:14" x14ac:dyDescent="0.2">
      <c r="A108" s="1771"/>
      <c r="B108" s="1585"/>
      <c r="C108" s="1585"/>
      <c r="D108" s="1585"/>
      <c r="E108" s="1585"/>
      <c r="F108" s="1585"/>
      <c r="G108" s="1585"/>
      <c r="H108" s="1585"/>
      <c r="I108" s="1585"/>
      <c r="J108" s="1585"/>
      <c r="N108" s="1772"/>
    </row>
    <row r="109" spans="1:14" x14ac:dyDescent="0.2">
      <c r="A109" s="1771"/>
      <c r="B109" s="1585"/>
      <c r="C109" s="1585"/>
      <c r="D109" s="1585"/>
      <c r="E109" s="1585"/>
      <c r="F109" s="1585"/>
      <c r="G109" s="1585"/>
      <c r="H109" s="1585"/>
      <c r="I109" s="1585"/>
      <c r="J109" s="1585"/>
      <c r="N109" s="1772"/>
    </row>
    <row r="110" spans="1:14" ht="12" thickBot="1" x14ac:dyDescent="0.25">
      <c r="A110" s="1773"/>
      <c r="B110" s="1774"/>
      <c r="C110" s="1774"/>
      <c r="D110" s="1774"/>
      <c r="E110" s="1774"/>
      <c r="F110" s="1774"/>
      <c r="G110" s="1774"/>
      <c r="H110" s="1774"/>
      <c r="I110" s="1774"/>
      <c r="J110" s="1774"/>
      <c r="K110" s="1774"/>
      <c r="L110" s="1774"/>
      <c r="M110" s="1775"/>
      <c r="N110" s="1776"/>
    </row>
    <row r="111" spans="1:14" x14ac:dyDescent="0.2">
      <c r="A111" s="1777"/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1778"/>
      <c r="L111" s="1778"/>
      <c r="M111" s="1779"/>
      <c r="N111" s="1780"/>
    </row>
    <row r="112" spans="1:14" x14ac:dyDescent="0.2">
      <c r="A112" s="1771"/>
      <c r="B112" s="1585"/>
      <c r="C112" s="1585"/>
      <c r="D112" s="1585"/>
      <c r="E112" s="1585"/>
      <c r="F112" s="1585"/>
      <c r="G112" s="1585"/>
      <c r="H112" s="1585"/>
      <c r="I112" s="1585"/>
      <c r="J112" s="1585"/>
      <c r="N112" s="1772"/>
    </row>
    <row r="113" spans="1:14" x14ac:dyDescent="0.2">
      <c r="A113" s="1771"/>
      <c r="B113" s="1585"/>
      <c r="C113" s="1585"/>
      <c r="D113" s="1585"/>
      <c r="E113" s="1585"/>
      <c r="F113" s="1585"/>
      <c r="G113" s="1585"/>
      <c r="H113" s="1585"/>
      <c r="I113" s="1585"/>
      <c r="J113" s="1585"/>
      <c r="N113" s="1772"/>
    </row>
    <row r="114" spans="1:14" x14ac:dyDescent="0.2">
      <c r="A114" s="1771"/>
      <c r="B114" s="1585"/>
      <c r="C114" s="1585"/>
      <c r="D114" s="1585"/>
      <c r="E114" s="1585"/>
      <c r="F114" s="1585"/>
      <c r="G114" s="1585"/>
      <c r="H114" s="1585"/>
      <c r="I114" s="1585"/>
      <c r="J114" s="1585"/>
      <c r="N114" s="1772"/>
    </row>
    <row r="115" spans="1:14" x14ac:dyDescent="0.2">
      <c r="A115" s="1771"/>
      <c r="B115" s="1585"/>
      <c r="C115" s="1585"/>
      <c r="D115" s="1585"/>
      <c r="E115" s="1585"/>
      <c r="F115" s="1585"/>
      <c r="G115" s="1585"/>
      <c r="H115" s="1585"/>
      <c r="I115" s="1585"/>
      <c r="J115" s="1585"/>
      <c r="N115" s="1772"/>
    </row>
    <row r="116" spans="1:14" x14ac:dyDescent="0.2">
      <c r="A116" s="1771"/>
      <c r="B116" s="1585"/>
      <c r="C116" s="1585"/>
      <c r="D116" s="1585"/>
      <c r="E116" s="1585"/>
      <c r="F116" s="1585"/>
      <c r="G116" s="1585"/>
      <c r="H116" s="1585"/>
      <c r="I116" s="1585"/>
      <c r="J116" s="1585"/>
      <c r="N116" s="1772"/>
    </row>
    <row r="117" spans="1:14" x14ac:dyDescent="0.2">
      <c r="A117" s="1771"/>
      <c r="B117" s="1585"/>
      <c r="C117" s="1585"/>
      <c r="D117" s="1585"/>
      <c r="E117" s="1585"/>
      <c r="F117" s="1585"/>
      <c r="G117" s="1585"/>
      <c r="H117" s="1585"/>
      <c r="I117" s="1585"/>
      <c r="J117" s="1585"/>
      <c r="N117" s="1772"/>
    </row>
    <row r="118" spans="1:14" x14ac:dyDescent="0.2">
      <c r="A118" s="1771"/>
      <c r="B118" s="1585"/>
      <c r="C118" s="1585"/>
      <c r="D118" s="1585"/>
      <c r="E118" s="1585"/>
      <c r="F118" s="1585"/>
      <c r="G118" s="1585"/>
      <c r="H118" s="1585"/>
      <c r="I118" s="1585"/>
      <c r="J118" s="1585"/>
      <c r="N118" s="1772"/>
    </row>
    <row r="119" spans="1:14" x14ac:dyDescent="0.2">
      <c r="A119" s="1771"/>
      <c r="B119" s="1585"/>
      <c r="C119" s="1585"/>
      <c r="D119" s="1585"/>
      <c r="E119" s="1585"/>
      <c r="F119" s="1585"/>
      <c r="G119" s="1585"/>
      <c r="H119" s="1585"/>
      <c r="I119" s="1585"/>
      <c r="J119" s="1585"/>
      <c r="N119" s="1772"/>
    </row>
    <row r="120" spans="1:14" x14ac:dyDescent="0.2">
      <c r="A120" s="1771"/>
      <c r="B120" s="1585"/>
      <c r="C120" s="1585"/>
      <c r="D120" s="1585"/>
      <c r="E120" s="1585"/>
      <c r="F120" s="1585"/>
      <c r="G120" s="1585"/>
      <c r="H120" s="1585"/>
      <c r="I120" s="1585"/>
      <c r="J120" s="1585"/>
      <c r="N120" s="1772"/>
    </row>
    <row r="121" spans="1:14" x14ac:dyDescent="0.2">
      <c r="A121" s="1771"/>
      <c r="B121" s="1585"/>
      <c r="C121" s="1585"/>
      <c r="D121" s="1585"/>
      <c r="E121" s="1585"/>
      <c r="F121" s="1585"/>
      <c r="G121" s="1585"/>
      <c r="H121" s="1585"/>
      <c r="I121" s="1585"/>
      <c r="J121" s="1585"/>
      <c r="N121" s="1772"/>
    </row>
    <row r="122" spans="1:14" ht="12" thickBot="1" x14ac:dyDescent="0.25">
      <c r="A122" s="1773"/>
      <c r="B122" s="1774"/>
      <c r="C122" s="1774"/>
      <c r="D122" s="1774"/>
      <c r="E122" s="1774"/>
      <c r="F122" s="1774"/>
      <c r="G122" s="1774"/>
      <c r="H122" s="1774"/>
      <c r="I122" s="1774"/>
      <c r="J122" s="1774"/>
      <c r="K122" s="1774"/>
      <c r="L122" s="1774"/>
      <c r="M122" s="1775"/>
      <c r="N122" s="1776"/>
    </row>
    <row r="123" spans="1:14" x14ac:dyDescent="0.2">
      <c r="A123" s="1781"/>
      <c r="B123" s="1782"/>
      <c r="C123" s="1782"/>
      <c r="D123" s="1782"/>
      <c r="E123" s="1782"/>
      <c r="F123" s="1782"/>
      <c r="G123" s="1782"/>
      <c r="H123" s="1782"/>
      <c r="I123" s="1782"/>
      <c r="J123" s="1782"/>
      <c r="K123" s="1782"/>
      <c r="L123" s="1782"/>
      <c r="M123" s="1783"/>
      <c r="N123" s="1784"/>
    </row>
    <row r="124" spans="1:14" x14ac:dyDescent="0.2">
      <c r="A124" s="1785"/>
      <c r="B124" s="1786"/>
      <c r="C124" s="1786"/>
      <c r="D124" s="1786"/>
      <c r="E124" s="1786"/>
      <c r="F124" s="1786"/>
      <c r="G124" s="1786"/>
      <c r="H124" s="1786"/>
      <c r="I124" s="1786"/>
      <c r="J124" s="1786"/>
      <c r="K124" s="1786"/>
      <c r="L124" s="1786"/>
      <c r="M124" s="1787"/>
      <c r="N124" s="1788"/>
    </row>
    <row r="125" spans="1:14" x14ac:dyDescent="0.2">
      <c r="A125" s="1785"/>
      <c r="B125" s="1786"/>
      <c r="C125" s="1786"/>
      <c r="D125" s="1786"/>
      <c r="E125" s="1786"/>
      <c r="F125" s="1786"/>
      <c r="G125" s="1786"/>
      <c r="H125" s="1786"/>
      <c r="I125" s="1786"/>
      <c r="J125" s="1786"/>
      <c r="K125" s="1786"/>
      <c r="L125" s="1786"/>
      <c r="M125" s="1787"/>
      <c r="N125" s="1788"/>
    </row>
    <row r="126" spans="1:14" x14ac:dyDescent="0.2">
      <c r="A126" s="1785"/>
      <c r="B126" s="1786"/>
      <c r="C126" s="1786"/>
      <c r="D126" s="1786"/>
      <c r="E126" s="1786"/>
      <c r="F126" s="1786"/>
      <c r="G126" s="1786"/>
      <c r="H126" s="1786"/>
      <c r="I126" s="1786"/>
      <c r="J126" s="1786"/>
      <c r="K126" s="1786"/>
      <c r="L126" s="1786"/>
      <c r="M126" s="1787"/>
      <c r="N126" s="1788"/>
    </row>
    <row r="127" spans="1:14" x14ac:dyDescent="0.2">
      <c r="A127" s="1785"/>
      <c r="B127" s="1786"/>
      <c r="C127" s="1786"/>
      <c r="D127" s="1786"/>
      <c r="E127" s="1786"/>
      <c r="F127" s="1786"/>
      <c r="G127" s="1786"/>
      <c r="H127" s="1786"/>
      <c r="I127" s="1786"/>
      <c r="J127" s="1786"/>
      <c r="K127" s="1786"/>
      <c r="L127" s="1786"/>
      <c r="M127" s="1787"/>
      <c r="N127" s="1788"/>
    </row>
    <row r="128" spans="1:14" x14ac:dyDescent="0.2">
      <c r="A128" s="1785"/>
      <c r="B128" s="1786"/>
      <c r="C128" s="1786"/>
      <c r="D128" s="1786"/>
      <c r="E128" s="1786"/>
      <c r="F128" s="1786"/>
      <c r="G128" s="1786"/>
      <c r="H128" s="1786"/>
      <c r="I128" s="1786"/>
      <c r="J128" s="1786"/>
      <c r="K128" s="1786"/>
      <c r="L128" s="1786"/>
      <c r="M128" s="1787"/>
      <c r="N128" s="1788"/>
    </row>
    <row r="129" spans="1:14" x14ac:dyDescent="0.2">
      <c r="A129" s="1785"/>
      <c r="B129" s="1786"/>
      <c r="C129" s="1786"/>
      <c r="D129" s="1786"/>
      <c r="E129" s="1786"/>
      <c r="F129" s="1786"/>
      <c r="G129" s="1786"/>
      <c r="H129" s="1786"/>
      <c r="I129" s="1786"/>
      <c r="J129" s="1786"/>
      <c r="K129" s="1786"/>
      <c r="L129" s="1786"/>
      <c r="M129" s="1787"/>
      <c r="N129" s="1788"/>
    </row>
    <row r="130" spans="1:14" x14ac:dyDescent="0.2">
      <c r="A130" s="1785"/>
      <c r="B130" s="1786"/>
      <c r="C130" s="1786"/>
      <c r="D130" s="1786"/>
      <c r="E130" s="1786"/>
      <c r="F130" s="1786"/>
      <c r="G130" s="1786"/>
      <c r="H130" s="1786"/>
      <c r="I130" s="1786"/>
      <c r="J130" s="1786"/>
      <c r="K130" s="1786"/>
      <c r="L130" s="1786"/>
      <c r="M130" s="1787"/>
      <c r="N130" s="1788"/>
    </row>
    <row r="131" spans="1:14" x14ac:dyDescent="0.2">
      <c r="A131" s="1785"/>
      <c r="B131" s="1786"/>
      <c r="C131" s="1786"/>
      <c r="D131" s="1786"/>
      <c r="E131" s="1786"/>
      <c r="F131" s="1786"/>
      <c r="G131" s="1786"/>
      <c r="H131" s="1786"/>
      <c r="I131" s="1786"/>
      <c r="J131" s="1786"/>
      <c r="K131" s="1786"/>
      <c r="L131" s="1786"/>
      <c r="M131" s="1787"/>
      <c r="N131" s="1788"/>
    </row>
    <row r="132" spans="1:14" x14ac:dyDescent="0.2">
      <c r="A132" s="1785"/>
      <c r="B132" s="1786"/>
      <c r="C132" s="1786"/>
      <c r="D132" s="1786"/>
      <c r="E132" s="1786"/>
      <c r="F132" s="1786"/>
      <c r="G132" s="1786"/>
      <c r="H132" s="1786"/>
      <c r="I132" s="1786"/>
      <c r="J132" s="1786"/>
      <c r="K132" s="1786"/>
      <c r="L132" s="1786"/>
      <c r="M132" s="1787"/>
      <c r="N132" s="1788"/>
    </row>
    <row r="133" spans="1:14" x14ac:dyDescent="0.2">
      <c r="A133" s="1785"/>
      <c r="B133" s="1786"/>
      <c r="C133" s="1786"/>
      <c r="D133" s="1786"/>
      <c r="E133" s="1786"/>
      <c r="F133" s="1786"/>
      <c r="G133" s="1786"/>
      <c r="H133" s="1786"/>
      <c r="I133" s="1786"/>
      <c r="J133" s="1786"/>
      <c r="K133" s="1786"/>
      <c r="L133" s="1786"/>
      <c r="M133" s="1787"/>
      <c r="N133" s="1788"/>
    </row>
    <row r="134" spans="1:14" ht="12" thickBot="1" x14ac:dyDescent="0.25">
      <c r="A134" s="1789"/>
      <c r="B134" s="1790"/>
      <c r="C134" s="1790"/>
      <c r="D134" s="1790"/>
      <c r="E134" s="1790"/>
      <c r="F134" s="1790"/>
      <c r="G134" s="1790"/>
      <c r="H134" s="1790"/>
      <c r="I134" s="1790"/>
      <c r="J134" s="1790"/>
      <c r="K134" s="1790"/>
      <c r="L134" s="1790"/>
      <c r="M134" s="1791"/>
      <c r="N134" s="1792"/>
    </row>
    <row r="135" spans="1:14" x14ac:dyDescent="0.2">
      <c r="A135" s="1777"/>
      <c r="B135" s="1778"/>
      <c r="C135" s="1778"/>
      <c r="D135" s="1778"/>
      <c r="E135" s="1778"/>
      <c r="F135" s="1778"/>
      <c r="G135" s="1778"/>
      <c r="H135" s="1778"/>
      <c r="I135" s="1778"/>
      <c r="J135" s="1778"/>
      <c r="K135" s="1778"/>
      <c r="L135" s="1778"/>
      <c r="M135" s="1779"/>
      <c r="N135" s="1780"/>
    </row>
    <row r="136" spans="1:14" x14ac:dyDescent="0.2">
      <c r="A136" s="1771"/>
      <c r="B136" s="1585"/>
      <c r="C136" s="1585"/>
      <c r="D136" s="1585"/>
      <c r="E136" s="1585"/>
      <c r="F136" s="1585"/>
      <c r="G136" s="1585"/>
      <c r="H136" s="1585"/>
      <c r="I136" s="1585"/>
      <c r="J136" s="1585"/>
      <c r="N136" s="1772"/>
    </row>
    <row r="137" spans="1:14" x14ac:dyDescent="0.2">
      <c r="A137" s="1771"/>
      <c r="B137" s="1585"/>
      <c r="C137" s="1585"/>
      <c r="D137" s="1585"/>
      <c r="E137" s="1585"/>
      <c r="F137" s="1585"/>
      <c r="G137" s="1585"/>
      <c r="H137" s="1585"/>
      <c r="I137" s="1585"/>
      <c r="J137" s="1585"/>
      <c r="N137" s="1772"/>
    </row>
    <row r="138" spans="1:14" x14ac:dyDescent="0.2">
      <c r="A138" s="1771"/>
      <c r="B138" s="1585"/>
      <c r="C138" s="1585"/>
      <c r="D138" s="1585"/>
      <c r="E138" s="1585"/>
      <c r="F138" s="1585"/>
      <c r="G138" s="1585"/>
      <c r="H138" s="1585"/>
      <c r="I138" s="1585"/>
      <c r="J138" s="1585"/>
      <c r="N138" s="1772"/>
    </row>
    <row r="139" spans="1:14" x14ac:dyDescent="0.2">
      <c r="A139" s="1771"/>
      <c r="B139" s="1585"/>
      <c r="C139" s="1585"/>
      <c r="D139" s="1585"/>
      <c r="E139" s="1585"/>
      <c r="F139" s="1585"/>
      <c r="G139" s="1585"/>
      <c r="H139" s="1585"/>
      <c r="I139" s="1585"/>
      <c r="J139" s="1585"/>
      <c r="N139" s="1772"/>
    </row>
    <row r="140" spans="1:14" x14ac:dyDescent="0.2">
      <c r="A140" s="1771"/>
      <c r="B140" s="1585"/>
      <c r="C140" s="1585"/>
      <c r="D140" s="1585"/>
      <c r="E140" s="1585"/>
      <c r="F140" s="1585"/>
      <c r="G140" s="1585"/>
      <c r="H140" s="1585"/>
      <c r="I140" s="1585"/>
      <c r="J140" s="1585"/>
      <c r="N140" s="1772"/>
    </row>
    <row r="141" spans="1:14" x14ac:dyDescent="0.2">
      <c r="A141" s="1771"/>
      <c r="B141" s="1585"/>
      <c r="C141" s="1585"/>
      <c r="D141" s="1585"/>
      <c r="E141" s="1585"/>
      <c r="F141" s="1585"/>
      <c r="G141" s="1585"/>
      <c r="H141" s="1585"/>
      <c r="I141" s="1585"/>
      <c r="J141" s="1585"/>
      <c r="N141" s="1772"/>
    </row>
    <row r="142" spans="1:14" x14ac:dyDescent="0.2">
      <c r="A142" s="1771"/>
      <c r="B142" s="1585"/>
      <c r="C142" s="1585"/>
      <c r="D142" s="1585"/>
      <c r="E142" s="1585"/>
      <c r="F142" s="1585"/>
      <c r="G142" s="1585"/>
      <c r="H142" s="1585"/>
      <c r="I142" s="1585"/>
      <c r="J142" s="1585"/>
      <c r="N142" s="1772"/>
    </row>
    <row r="143" spans="1:14" ht="12" thickBot="1" x14ac:dyDescent="0.25">
      <c r="A143" s="1773"/>
      <c r="B143" s="1774"/>
      <c r="C143" s="1774"/>
      <c r="D143" s="1774"/>
      <c r="E143" s="1774"/>
      <c r="F143" s="1774"/>
      <c r="G143" s="1774"/>
      <c r="H143" s="1774"/>
      <c r="I143" s="1774"/>
      <c r="J143" s="1774"/>
      <c r="K143" s="1774"/>
      <c r="L143" s="1774"/>
      <c r="M143" s="1775"/>
      <c r="N143" s="1776"/>
    </row>
    <row r="144" spans="1:14" x14ac:dyDescent="0.2">
      <c r="A144" s="1777"/>
      <c r="B144" s="1778"/>
      <c r="C144" s="1778"/>
      <c r="D144" s="1778"/>
      <c r="E144" s="1778"/>
      <c r="F144" s="1778"/>
      <c r="G144" s="1778"/>
      <c r="H144" s="1778"/>
      <c r="I144" s="1778"/>
      <c r="J144" s="1778"/>
      <c r="K144" s="1778"/>
      <c r="L144" s="1778"/>
      <c r="M144" s="1779"/>
      <c r="N144" s="1780"/>
    </row>
    <row r="145" spans="1:14" x14ac:dyDescent="0.2">
      <c r="A145" s="1771"/>
      <c r="B145" s="1585"/>
      <c r="C145" s="1585"/>
      <c r="D145" s="1585"/>
      <c r="E145" s="1585"/>
      <c r="F145" s="1585"/>
      <c r="G145" s="1585"/>
      <c r="H145" s="1585"/>
      <c r="I145" s="1585"/>
      <c r="J145" s="1585"/>
      <c r="N145" s="1772"/>
    </row>
    <row r="146" spans="1:14" ht="12" thickBot="1" x14ac:dyDescent="0.25">
      <c r="A146" s="1773"/>
      <c r="B146" s="1774"/>
      <c r="C146" s="1774"/>
      <c r="D146" s="1774"/>
      <c r="E146" s="1774"/>
      <c r="F146" s="1774"/>
      <c r="G146" s="1774"/>
      <c r="H146" s="1774"/>
      <c r="I146" s="1774"/>
      <c r="J146" s="1774"/>
      <c r="K146" s="1774"/>
      <c r="L146" s="1774"/>
      <c r="M146" s="1775"/>
      <c r="N146" s="1776"/>
    </row>
    <row r="147" spans="1:14" x14ac:dyDescent="0.2">
      <c r="A147" s="1777"/>
      <c r="B147" s="1778"/>
      <c r="C147" s="1778"/>
      <c r="D147" s="1778"/>
      <c r="E147" s="1778"/>
      <c r="F147" s="1778"/>
      <c r="G147" s="1778"/>
      <c r="H147" s="1778"/>
      <c r="I147" s="1778"/>
      <c r="J147" s="1778"/>
      <c r="K147" s="1778"/>
      <c r="L147" s="1778"/>
      <c r="M147" s="1779"/>
      <c r="N147" s="1780"/>
    </row>
    <row r="148" spans="1:14" x14ac:dyDescent="0.2">
      <c r="A148" s="1771"/>
      <c r="B148" s="1585"/>
      <c r="C148" s="1585"/>
      <c r="D148" s="1585"/>
      <c r="E148" s="1585"/>
      <c r="F148" s="1585"/>
      <c r="G148" s="1585"/>
      <c r="H148" s="1585"/>
      <c r="I148" s="1585"/>
      <c r="J148" s="1585"/>
      <c r="N148" s="1772"/>
    </row>
    <row r="149" spans="1:14" x14ac:dyDescent="0.2">
      <c r="A149" s="1771"/>
      <c r="B149" s="1585"/>
      <c r="C149" s="1585"/>
      <c r="D149" s="1585"/>
      <c r="E149" s="1585"/>
      <c r="F149" s="1585"/>
      <c r="G149" s="1585"/>
      <c r="H149" s="1585"/>
      <c r="I149" s="1585"/>
      <c r="J149" s="1585"/>
      <c r="N149" s="1772"/>
    </row>
    <row r="150" spans="1:14" x14ac:dyDescent="0.2">
      <c r="A150" s="1771"/>
      <c r="B150" s="1585"/>
      <c r="C150" s="1585"/>
      <c r="D150" s="1585"/>
      <c r="E150" s="1585"/>
      <c r="F150" s="1585"/>
      <c r="G150" s="1585"/>
      <c r="H150" s="1585"/>
      <c r="I150" s="1585"/>
      <c r="J150" s="1585"/>
      <c r="N150" s="1772"/>
    </row>
    <row r="151" spans="1:14" x14ac:dyDescent="0.2">
      <c r="A151" s="1771"/>
      <c r="B151" s="1585"/>
      <c r="C151" s="1585"/>
      <c r="D151" s="1585"/>
      <c r="E151" s="1585"/>
      <c r="F151" s="1585"/>
      <c r="G151" s="1585"/>
      <c r="H151" s="1585"/>
      <c r="I151" s="1585"/>
      <c r="J151" s="1585"/>
      <c r="N151" s="1772"/>
    </row>
    <row r="152" spans="1:14" x14ac:dyDescent="0.2">
      <c r="A152" s="1771"/>
      <c r="B152" s="1585"/>
      <c r="C152" s="1585"/>
      <c r="D152" s="1585"/>
      <c r="E152" s="1585"/>
      <c r="F152" s="1585"/>
      <c r="G152" s="1585"/>
      <c r="H152" s="1585"/>
      <c r="I152" s="1585"/>
      <c r="J152" s="1585"/>
      <c r="N152" s="1772"/>
    </row>
    <row r="153" spans="1:14" x14ac:dyDescent="0.2">
      <c r="A153" s="1771"/>
      <c r="B153" s="1585"/>
      <c r="C153" s="1585"/>
      <c r="D153" s="1585"/>
      <c r="E153" s="1585"/>
      <c r="F153" s="1585"/>
      <c r="G153" s="1585"/>
      <c r="H153" s="1585"/>
      <c r="I153" s="1585"/>
      <c r="J153" s="1585"/>
      <c r="N153" s="1772"/>
    </row>
    <row r="154" spans="1:14" x14ac:dyDescent="0.2">
      <c r="A154" s="1771"/>
      <c r="B154" s="1585"/>
      <c r="C154" s="1585"/>
      <c r="D154" s="1585"/>
      <c r="E154" s="1585"/>
      <c r="F154" s="1585"/>
      <c r="G154" s="1585"/>
      <c r="H154" s="1585"/>
      <c r="I154" s="1585"/>
      <c r="J154" s="1585"/>
      <c r="N154" s="1772"/>
    </row>
    <row r="155" spans="1:14" ht="12" thickBot="1" x14ac:dyDescent="0.25">
      <c r="A155" s="1773"/>
      <c r="B155" s="1774"/>
      <c r="C155" s="1774"/>
      <c r="D155" s="1774"/>
      <c r="E155" s="1774"/>
      <c r="F155" s="1774"/>
      <c r="G155" s="1774"/>
      <c r="H155" s="1774"/>
      <c r="I155" s="1774"/>
      <c r="J155" s="1774"/>
      <c r="K155" s="1774"/>
      <c r="L155" s="1774"/>
      <c r="M155" s="1775"/>
      <c r="N155" s="1776"/>
    </row>
    <row r="156" spans="1:14" x14ac:dyDescent="0.2">
      <c r="A156" s="1771"/>
      <c r="B156" s="1585"/>
      <c r="C156" s="1585"/>
      <c r="D156" s="1585"/>
      <c r="E156" s="1585"/>
      <c r="F156" s="1585"/>
      <c r="G156" s="1585"/>
      <c r="H156" s="1585"/>
      <c r="I156" s="1585"/>
      <c r="J156" s="1585"/>
      <c r="N156" s="1772"/>
    </row>
    <row r="157" spans="1:14" x14ac:dyDescent="0.2">
      <c r="A157" s="1771"/>
      <c r="B157" s="1585"/>
      <c r="C157" s="1585"/>
      <c r="D157" s="1585"/>
      <c r="E157" s="1585"/>
      <c r="F157" s="1585"/>
      <c r="G157" s="1585"/>
      <c r="H157" s="1585"/>
      <c r="I157" s="1585"/>
      <c r="J157" s="1585"/>
      <c r="N157" s="1772"/>
    </row>
    <row r="158" spans="1:14" ht="12" thickBot="1" x14ac:dyDescent="0.25">
      <c r="A158" s="1773"/>
      <c r="B158" s="1774"/>
      <c r="C158" s="1774"/>
      <c r="D158" s="1774"/>
      <c r="E158" s="1774"/>
      <c r="F158" s="1774"/>
      <c r="G158" s="1774"/>
      <c r="H158" s="1774"/>
      <c r="I158" s="1774"/>
      <c r="J158" s="1774"/>
      <c r="K158" s="1774"/>
      <c r="L158" s="1774"/>
      <c r="M158" s="1775"/>
      <c r="N158" s="1776"/>
    </row>
    <row r="159" spans="1:14" x14ac:dyDescent="0.2">
      <c r="A159" s="1777"/>
      <c r="B159" s="1778"/>
      <c r="C159" s="1778"/>
      <c r="D159" s="1778"/>
      <c r="E159" s="1778"/>
      <c r="F159" s="1778"/>
      <c r="G159" s="1778"/>
      <c r="H159" s="1778"/>
      <c r="I159" s="1778"/>
      <c r="J159" s="1778"/>
      <c r="K159" s="1778"/>
      <c r="L159" s="1778"/>
      <c r="M159" s="1779"/>
      <c r="N159" s="1780"/>
    </row>
    <row r="160" spans="1:14" x14ac:dyDescent="0.2">
      <c r="A160" s="1771"/>
      <c r="B160" s="1585"/>
      <c r="C160" s="1585"/>
      <c r="D160" s="1585"/>
      <c r="E160" s="1585"/>
      <c r="F160" s="1585"/>
      <c r="G160" s="1585"/>
      <c r="H160" s="1585"/>
      <c r="I160" s="1585"/>
      <c r="J160" s="1585"/>
      <c r="N160" s="1772"/>
    </row>
    <row r="161" spans="1:14" x14ac:dyDescent="0.2">
      <c r="A161" s="1771"/>
      <c r="B161" s="1585"/>
      <c r="C161" s="1585"/>
      <c r="D161" s="1585"/>
      <c r="E161" s="1585"/>
      <c r="F161" s="1585"/>
      <c r="G161" s="1585"/>
      <c r="H161" s="1585"/>
      <c r="I161" s="1585"/>
      <c r="J161" s="1585"/>
      <c r="N161" s="1772"/>
    </row>
    <row r="162" spans="1:14" x14ac:dyDescent="0.2">
      <c r="A162" s="1771"/>
      <c r="B162" s="1585"/>
      <c r="C162" s="1585"/>
      <c r="D162" s="1585"/>
      <c r="E162" s="1585"/>
      <c r="F162" s="1585"/>
      <c r="G162" s="1585"/>
      <c r="H162" s="1585"/>
      <c r="I162" s="1585"/>
      <c r="J162" s="1585"/>
      <c r="N162" s="1772"/>
    </row>
    <row r="163" spans="1:14" x14ac:dyDescent="0.2">
      <c r="A163" s="1771"/>
      <c r="B163" s="1585"/>
      <c r="C163" s="1585"/>
      <c r="D163" s="1585"/>
      <c r="E163" s="1585"/>
      <c r="F163" s="1585"/>
      <c r="G163" s="1585"/>
      <c r="H163" s="1585"/>
      <c r="I163" s="1585"/>
      <c r="J163" s="1585"/>
      <c r="N163" s="1772"/>
    </row>
    <row r="164" spans="1:14" x14ac:dyDescent="0.2">
      <c r="A164" s="1771"/>
      <c r="B164" s="1585"/>
      <c r="C164" s="1585"/>
      <c r="D164" s="1585"/>
      <c r="E164" s="1585"/>
      <c r="F164" s="1585"/>
      <c r="G164" s="1585"/>
      <c r="H164" s="1585"/>
      <c r="I164" s="1585"/>
      <c r="J164" s="1585"/>
      <c r="N164" s="1772"/>
    </row>
    <row r="165" spans="1:14" x14ac:dyDescent="0.2">
      <c r="A165" s="1771"/>
      <c r="B165" s="1585"/>
      <c r="C165" s="1585"/>
      <c r="D165" s="1585"/>
      <c r="E165" s="1585"/>
      <c r="F165" s="1585"/>
      <c r="G165" s="1585"/>
      <c r="H165" s="1585"/>
      <c r="I165" s="1585"/>
      <c r="J165" s="1585"/>
      <c r="N165" s="1772"/>
    </row>
    <row r="166" spans="1:14" x14ac:dyDescent="0.2">
      <c r="A166" s="1771"/>
      <c r="B166" s="1585"/>
      <c r="C166" s="1585"/>
      <c r="D166" s="1585"/>
      <c r="E166" s="1585"/>
      <c r="F166" s="1585"/>
      <c r="G166" s="1585"/>
      <c r="H166" s="1585"/>
      <c r="I166" s="1585"/>
      <c r="J166" s="1585"/>
      <c r="N166" s="1772"/>
    </row>
    <row r="167" spans="1:14" x14ac:dyDescent="0.2">
      <c r="A167" s="1771"/>
      <c r="B167" s="1585"/>
      <c r="C167" s="1585"/>
      <c r="D167" s="1585"/>
      <c r="E167" s="1585"/>
      <c r="F167" s="1585"/>
      <c r="G167" s="1585"/>
      <c r="H167" s="1585"/>
      <c r="I167" s="1585"/>
      <c r="J167" s="1585"/>
      <c r="N167" s="1772"/>
    </row>
    <row r="168" spans="1:14" x14ac:dyDescent="0.2">
      <c r="A168" s="1771"/>
      <c r="B168" s="1585"/>
      <c r="C168" s="1585"/>
      <c r="D168" s="1585"/>
      <c r="E168" s="1585"/>
      <c r="F168" s="1585"/>
      <c r="G168" s="1585"/>
      <c r="H168" s="1585"/>
      <c r="I168" s="1585"/>
      <c r="J168" s="1585"/>
      <c r="N168" s="1772"/>
    </row>
    <row r="169" spans="1:14" x14ac:dyDescent="0.2">
      <c r="A169" s="1771"/>
      <c r="B169" s="1585"/>
      <c r="C169" s="1585"/>
      <c r="D169" s="1585"/>
      <c r="E169" s="1585"/>
      <c r="F169" s="1585"/>
      <c r="G169" s="1585"/>
      <c r="H169" s="1585"/>
      <c r="I169" s="1585"/>
      <c r="J169" s="1585"/>
      <c r="N169" s="1772"/>
    </row>
    <row r="170" spans="1:14" ht="12" thickBot="1" x14ac:dyDescent="0.25">
      <c r="A170" s="1773"/>
      <c r="B170" s="1774"/>
      <c r="C170" s="1774"/>
      <c r="D170" s="1774"/>
      <c r="E170" s="1774"/>
      <c r="F170" s="1774"/>
      <c r="G170" s="1774"/>
      <c r="H170" s="1774"/>
      <c r="I170" s="1774"/>
      <c r="J170" s="1774"/>
      <c r="K170" s="1774"/>
      <c r="L170" s="1774"/>
      <c r="M170" s="1775"/>
      <c r="N170" s="1776"/>
    </row>
    <row r="171" spans="1:14" x14ac:dyDescent="0.2">
      <c r="A171" s="1777"/>
      <c r="B171" s="1778"/>
      <c r="C171" s="1778"/>
      <c r="D171" s="1778"/>
      <c r="E171" s="1778"/>
      <c r="F171" s="1778"/>
      <c r="G171" s="1778"/>
      <c r="H171" s="1778"/>
      <c r="I171" s="1778"/>
      <c r="J171" s="1778"/>
      <c r="K171" s="1778"/>
      <c r="L171" s="1778"/>
      <c r="M171" s="1779"/>
      <c r="N171" s="1780"/>
    </row>
    <row r="172" spans="1:14" x14ac:dyDescent="0.2">
      <c r="A172" s="1771"/>
      <c r="B172" s="1585"/>
      <c r="C172" s="1585"/>
      <c r="D172" s="1585"/>
      <c r="E172" s="1585"/>
      <c r="F172" s="1585"/>
      <c r="G172" s="1585"/>
      <c r="H172" s="1585"/>
      <c r="I172" s="1585"/>
      <c r="J172" s="1585"/>
      <c r="N172" s="1772"/>
    </row>
    <row r="173" spans="1:14" x14ac:dyDescent="0.2">
      <c r="A173" s="1771"/>
      <c r="B173" s="1585"/>
      <c r="C173" s="1585"/>
      <c r="D173" s="1585"/>
      <c r="E173" s="1585"/>
      <c r="F173" s="1585"/>
      <c r="G173" s="1585"/>
      <c r="H173" s="1585"/>
      <c r="I173" s="1585"/>
      <c r="J173" s="1585"/>
      <c r="N173" s="1772"/>
    </row>
    <row r="174" spans="1:14" x14ac:dyDescent="0.2">
      <c r="A174" s="1771"/>
      <c r="B174" s="1585"/>
      <c r="C174" s="1585"/>
      <c r="D174" s="1585"/>
      <c r="E174" s="1585"/>
      <c r="F174" s="1585"/>
      <c r="G174" s="1585"/>
      <c r="H174" s="1585"/>
      <c r="I174" s="1585"/>
      <c r="J174" s="1585"/>
      <c r="N174" s="1772"/>
    </row>
    <row r="175" spans="1:14" x14ac:dyDescent="0.2">
      <c r="A175" s="1771"/>
      <c r="B175" s="1585"/>
      <c r="C175" s="1585"/>
      <c r="D175" s="1585"/>
      <c r="E175" s="1585"/>
      <c r="F175" s="1585"/>
      <c r="G175" s="1585"/>
      <c r="H175" s="1585"/>
      <c r="I175" s="1585"/>
      <c r="J175" s="1585"/>
      <c r="N175" s="1772"/>
    </row>
    <row r="176" spans="1:14" ht="12" thickBot="1" x14ac:dyDescent="0.25">
      <c r="A176" s="1771"/>
      <c r="B176" s="1585"/>
      <c r="C176" s="1585"/>
      <c r="D176" s="1585"/>
      <c r="E176" s="1585"/>
      <c r="F176" s="1585"/>
      <c r="G176" s="1585"/>
      <c r="H176" s="1585"/>
      <c r="I176" s="1585"/>
      <c r="J176" s="1585"/>
      <c r="N176" s="1772"/>
    </row>
    <row r="177" spans="1:14" x14ac:dyDescent="0.2">
      <c r="A177" s="1777"/>
      <c r="B177" s="1778"/>
      <c r="C177" s="1778"/>
      <c r="D177" s="1778"/>
      <c r="E177" s="1778"/>
      <c r="F177" s="1778"/>
      <c r="G177" s="1778"/>
      <c r="H177" s="1778"/>
      <c r="I177" s="1778"/>
      <c r="J177" s="1778"/>
      <c r="K177" s="1778"/>
      <c r="L177" s="1778"/>
      <c r="M177" s="1779"/>
      <c r="N177" s="1780"/>
    </row>
    <row r="178" spans="1:14" ht="12" thickBot="1" x14ac:dyDescent="0.25">
      <c r="A178" s="1771"/>
      <c r="B178" s="1585"/>
      <c r="C178" s="1585"/>
      <c r="D178" s="1585"/>
      <c r="E178" s="1585"/>
      <c r="F178" s="1585"/>
      <c r="G178" s="1585"/>
      <c r="H178" s="1585"/>
      <c r="I178" s="1585"/>
      <c r="J178" s="1585"/>
      <c r="N178" s="1772"/>
    </row>
    <row r="179" spans="1:14" ht="45" x14ac:dyDescent="0.2">
      <c r="A179" s="1777"/>
      <c r="B179" s="1578" t="s">
        <v>23</v>
      </c>
      <c r="C179" s="1578"/>
      <c r="D179" s="1778"/>
      <c r="E179" s="1778"/>
      <c r="F179" s="1778"/>
      <c r="G179" s="1778"/>
      <c r="H179" s="1778"/>
      <c r="I179" s="1778"/>
      <c r="J179" s="1778"/>
      <c r="K179" s="1778"/>
      <c r="L179" s="1778"/>
      <c r="M179" s="1779"/>
      <c r="N179" s="1780"/>
    </row>
    <row r="180" spans="1:14" x14ac:dyDescent="0.2">
      <c r="A180" s="1771"/>
      <c r="B180" s="1585"/>
      <c r="C180" s="1585"/>
      <c r="D180" s="1585"/>
      <c r="E180" s="1585"/>
      <c r="F180" s="1585"/>
      <c r="G180" s="1585"/>
      <c r="H180" s="1585"/>
      <c r="I180" s="1585"/>
      <c r="J180" s="1585"/>
      <c r="N180" s="1772"/>
    </row>
    <row r="181" spans="1:14" x14ac:dyDescent="0.2">
      <c r="A181" s="1771"/>
      <c r="B181" s="1585"/>
      <c r="C181" s="1585"/>
      <c r="D181" s="1585"/>
      <c r="E181" s="1585"/>
      <c r="F181" s="1585"/>
      <c r="G181" s="1585"/>
      <c r="H181" s="1585"/>
      <c r="I181" s="1585"/>
      <c r="J181" s="1585"/>
      <c r="N181" s="1772"/>
    </row>
    <row r="182" spans="1:14" ht="12" thickBot="1" x14ac:dyDescent="0.25">
      <c r="A182" s="1773"/>
      <c r="B182" s="1774"/>
      <c r="C182" s="1774"/>
      <c r="D182" s="1774"/>
      <c r="E182" s="1774"/>
      <c r="F182" s="1774"/>
      <c r="G182" s="1774"/>
      <c r="H182" s="1774"/>
      <c r="I182" s="1774"/>
      <c r="J182" s="1774"/>
      <c r="K182" s="1774"/>
      <c r="L182" s="1774"/>
      <c r="M182" s="1775"/>
      <c r="N182" s="1776"/>
    </row>
    <row r="183" spans="1:14" x14ac:dyDescent="0.2">
      <c r="A183" s="1777"/>
      <c r="B183" s="1778"/>
      <c r="C183" s="1778"/>
      <c r="D183" s="1778"/>
      <c r="E183" s="1778"/>
      <c r="F183" s="1778"/>
      <c r="G183" s="1778"/>
      <c r="H183" s="1778"/>
      <c r="I183" s="1778"/>
      <c r="J183" s="1778"/>
      <c r="K183" s="1778"/>
      <c r="L183" s="1778"/>
      <c r="M183" s="1779"/>
      <c r="N183" s="1780"/>
    </row>
    <row r="184" spans="1:14" x14ac:dyDescent="0.2">
      <c r="A184" s="1771"/>
      <c r="B184" s="1585"/>
      <c r="C184" s="1585"/>
      <c r="D184" s="1585"/>
      <c r="E184" s="1585"/>
      <c r="F184" s="1585"/>
      <c r="G184" s="1585"/>
      <c r="H184" s="1585"/>
      <c r="I184" s="1585"/>
      <c r="J184" s="1585"/>
      <c r="N184" s="1772"/>
    </row>
    <row r="185" spans="1:14" ht="12" thickBot="1" x14ac:dyDescent="0.25">
      <c r="A185" s="1773"/>
      <c r="B185" s="1774"/>
      <c r="C185" s="1774"/>
      <c r="D185" s="1774"/>
      <c r="E185" s="1774"/>
      <c r="F185" s="1774"/>
      <c r="G185" s="1774"/>
      <c r="H185" s="1774"/>
      <c r="I185" s="1774"/>
      <c r="J185" s="1774"/>
      <c r="K185" s="1774"/>
      <c r="L185" s="1774"/>
      <c r="M185" s="1775"/>
      <c r="N185" s="1776"/>
    </row>
    <row r="186" spans="1:14" x14ac:dyDescent="0.2">
      <c r="A186" s="1777"/>
      <c r="B186" s="1778"/>
      <c r="C186" s="1778"/>
      <c r="D186" s="1778"/>
      <c r="E186" s="1778"/>
      <c r="F186" s="1778"/>
      <c r="G186" s="1778"/>
      <c r="H186" s="1778"/>
      <c r="I186" s="1778"/>
      <c r="J186" s="1778"/>
      <c r="K186" s="1778"/>
      <c r="L186" s="1778"/>
      <c r="M186" s="1779"/>
      <c r="N186" s="1780"/>
    </row>
    <row r="187" spans="1:14" x14ac:dyDescent="0.2">
      <c r="A187" s="1771"/>
      <c r="B187" s="1585"/>
      <c r="C187" s="1585"/>
      <c r="D187" s="1585"/>
      <c r="E187" s="1585"/>
      <c r="F187" s="1585"/>
      <c r="G187" s="1585"/>
      <c r="H187" s="1585"/>
      <c r="I187" s="1585"/>
      <c r="J187" s="1585"/>
      <c r="N187" s="1772"/>
    </row>
    <row r="188" spans="1:14" x14ac:dyDescent="0.2">
      <c r="A188" s="1771"/>
      <c r="B188" s="1585"/>
      <c r="C188" s="1585"/>
      <c r="D188" s="1585"/>
      <c r="E188" s="1585"/>
      <c r="F188" s="1585"/>
      <c r="G188" s="1585"/>
      <c r="H188" s="1585"/>
      <c r="I188" s="1585"/>
      <c r="J188" s="1585"/>
      <c r="N188" s="1772"/>
    </row>
    <row r="189" spans="1:14" x14ac:dyDescent="0.2">
      <c r="A189" s="1771"/>
      <c r="B189" s="1585"/>
      <c r="C189" s="1585"/>
      <c r="D189" s="1585"/>
      <c r="E189" s="1585"/>
      <c r="F189" s="1585"/>
      <c r="G189" s="1585"/>
      <c r="H189" s="1585"/>
      <c r="I189" s="1585"/>
      <c r="J189" s="1585"/>
      <c r="N189" s="1772"/>
    </row>
    <row r="190" spans="1:14" ht="12" thickBot="1" x14ac:dyDescent="0.25">
      <c r="A190" s="1773"/>
      <c r="B190" s="1774"/>
      <c r="C190" s="1774"/>
      <c r="D190" s="1774"/>
      <c r="E190" s="1774"/>
      <c r="F190" s="1774"/>
      <c r="G190" s="1774"/>
      <c r="H190" s="1774"/>
      <c r="I190" s="1774"/>
      <c r="J190" s="1774"/>
      <c r="K190" s="1774"/>
      <c r="L190" s="1774"/>
      <c r="M190" s="1775"/>
      <c r="N190" s="1776"/>
    </row>
    <row r="191" spans="1:14" x14ac:dyDescent="0.2">
      <c r="A191" s="1771"/>
      <c r="B191" s="1585"/>
      <c r="C191" s="1585"/>
      <c r="D191" s="1585"/>
      <c r="E191" s="1585"/>
      <c r="F191" s="1585"/>
      <c r="G191" s="1585"/>
      <c r="H191" s="1585"/>
      <c r="I191" s="1585"/>
      <c r="J191" s="1585"/>
      <c r="N191" s="1772"/>
    </row>
    <row r="192" spans="1:14" x14ac:dyDescent="0.2">
      <c r="A192" s="1771"/>
      <c r="B192" s="1585"/>
      <c r="C192" s="1585"/>
      <c r="D192" s="1585"/>
      <c r="E192" s="1585"/>
      <c r="F192" s="1585"/>
      <c r="G192" s="1585"/>
      <c r="H192" s="1585"/>
      <c r="I192" s="1585"/>
      <c r="J192" s="1585"/>
      <c r="N192" s="1772"/>
    </row>
    <row r="193" spans="1:14" x14ac:dyDescent="0.2">
      <c r="A193" s="1771"/>
      <c r="B193" s="1585"/>
      <c r="C193" s="1585"/>
      <c r="D193" s="1585"/>
      <c r="E193" s="1585"/>
      <c r="F193" s="1585"/>
      <c r="G193" s="1585"/>
      <c r="H193" s="1585"/>
      <c r="I193" s="1585"/>
      <c r="J193" s="1585"/>
      <c r="N193" s="1772"/>
    </row>
    <row r="194" spans="1:14" ht="12" thickBot="1" x14ac:dyDescent="0.25">
      <c r="A194" s="1773"/>
      <c r="B194" s="1774"/>
      <c r="C194" s="1774"/>
      <c r="D194" s="1774"/>
      <c r="E194" s="1774"/>
      <c r="F194" s="1774"/>
      <c r="G194" s="1774"/>
      <c r="H194" s="1774"/>
      <c r="I194" s="1774"/>
      <c r="J194" s="1774"/>
      <c r="K194" s="1774"/>
      <c r="L194" s="1774"/>
      <c r="M194" s="1775"/>
      <c r="N194" s="1776"/>
    </row>
    <row r="195" spans="1:14" x14ac:dyDescent="0.2">
      <c r="A195" s="1777"/>
      <c r="B195" s="1778"/>
      <c r="C195" s="1778"/>
      <c r="D195" s="1778"/>
      <c r="E195" s="1778"/>
      <c r="F195" s="1778"/>
      <c r="G195" s="1778"/>
      <c r="H195" s="1778"/>
      <c r="I195" s="1778"/>
      <c r="J195" s="1778"/>
      <c r="K195" s="1778"/>
      <c r="L195" s="1778"/>
      <c r="M195" s="1779"/>
      <c r="N195" s="1780"/>
    </row>
    <row r="196" spans="1:14" x14ac:dyDescent="0.2">
      <c r="A196" s="1771"/>
      <c r="B196" s="1585"/>
      <c r="C196" s="1585"/>
      <c r="D196" s="1585"/>
      <c r="E196" s="1585"/>
      <c r="F196" s="1585"/>
      <c r="G196" s="1585"/>
      <c r="H196" s="1585"/>
      <c r="I196" s="1585"/>
      <c r="J196" s="1585"/>
      <c r="N196" s="1772"/>
    </row>
    <row r="197" spans="1:14" x14ac:dyDescent="0.2">
      <c r="A197" s="1771"/>
      <c r="B197" s="1585"/>
      <c r="C197" s="1585"/>
      <c r="D197" s="1585"/>
      <c r="E197" s="1585"/>
      <c r="F197" s="1585"/>
      <c r="G197" s="1585"/>
      <c r="H197" s="1585"/>
      <c r="I197" s="1585"/>
      <c r="J197" s="1585"/>
      <c r="N197" s="1772"/>
    </row>
    <row r="198" spans="1:14" x14ac:dyDescent="0.2">
      <c r="A198" s="1771"/>
      <c r="B198" s="1585"/>
      <c r="C198" s="1585"/>
      <c r="D198" s="1585"/>
      <c r="E198" s="1585"/>
      <c r="F198" s="1585"/>
      <c r="G198" s="1585"/>
      <c r="H198" s="1585"/>
      <c r="I198" s="1585"/>
      <c r="J198" s="1585"/>
      <c r="N198" s="1772"/>
    </row>
    <row r="199" spans="1:14" x14ac:dyDescent="0.2">
      <c r="A199" s="1771"/>
      <c r="B199" s="1585"/>
      <c r="C199" s="1585"/>
      <c r="D199" s="1585"/>
      <c r="E199" s="1585"/>
      <c r="F199" s="1585"/>
      <c r="G199" s="1585"/>
      <c r="H199" s="1585"/>
      <c r="I199" s="1585"/>
      <c r="J199" s="1585"/>
      <c r="N199" s="1772"/>
    </row>
    <row r="200" spans="1:14" x14ac:dyDescent="0.2">
      <c r="A200" s="1771"/>
      <c r="B200" s="1585"/>
      <c r="C200" s="1585"/>
      <c r="D200" s="1585"/>
      <c r="E200" s="1585"/>
      <c r="F200" s="1585"/>
      <c r="G200" s="1585"/>
      <c r="H200" s="1585"/>
      <c r="I200" s="1585"/>
      <c r="J200" s="1585"/>
      <c r="N200" s="1772"/>
    </row>
    <row r="201" spans="1:14" x14ac:dyDescent="0.2">
      <c r="A201" s="1771"/>
      <c r="B201" s="1585"/>
      <c r="C201" s="1585"/>
      <c r="D201" s="1585"/>
      <c r="E201" s="1585"/>
      <c r="F201" s="1585"/>
      <c r="G201" s="1585"/>
      <c r="H201" s="1585"/>
      <c r="I201" s="1585"/>
      <c r="J201" s="1585"/>
      <c r="N201" s="1772"/>
    </row>
    <row r="202" spans="1:14" x14ac:dyDescent="0.2">
      <c r="A202" s="1771"/>
      <c r="B202" s="1585"/>
      <c r="C202" s="1585"/>
      <c r="D202" s="1585"/>
      <c r="E202" s="1585"/>
      <c r="F202" s="1585"/>
      <c r="G202" s="1585"/>
      <c r="H202" s="1585"/>
      <c r="I202" s="1585"/>
      <c r="J202" s="1585"/>
      <c r="N202" s="1772"/>
    </row>
    <row r="203" spans="1:14" x14ac:dyDescent="0.2">
      <c r="A203" s="1771"/>
      <c r="B203" s="1585"/>
      <c r="C203" s="1585"/>
      <c r="D203" s="1585"/>
      <c r="E203" s="1585"/>
      <c r="F203" s="1585"/>
      <c r="G203" s="1585"/>
      <c r="H203" s="1585"/>
      <c r="I203" s="1585"/>
      <c r="J203" s="1585"/>
      <c r="N203" s="1772"/>
    </row>
    <row r="204" spans="1:14" x14ac:dyDescent="0.2">
      <c r="A204" s="1771"/>
      <c r="B204" s="1585"/>
      <c r="C204" s="1585"/>
      <c r="D204" s="1585"/>
      <c r="E204" s="1585"/>
      <c r="F204" s="1585"/>
      <c r="G204" s="1585"/>
      <c r="H204" s="1585"/>
      <c r="I204" s="1585"/>
      <c r="J204" s="1585"/>
      <c r="N204" s="1772"/>
    </row>
    <row r="205" spans="1:14" x14ac:dyDescent="0.2">
      <c r="A205" s="1771"/>
      <c r="B205" s="1585"/>
      <c r="C205" s="1585"/>
      <c r="D205" s="1585"/>
      <c r="E205" s="1585"/>
      <c r="F205" s="1585"/>
      <c r="G205" s="1585"/>
      <c r="H205" s="1585"/>
      <c r="I205" s="1585"/>
      <c r="J205" s="1585"/>
      <c r="N205" s="1772"/>
    </row>
    <row r="206" spans="1:14" ht="12" thickBot="1" x14ac:dyDescent="0.25">
      <c r="A206" s="1773"/>
      <c r="B206" s="1774"/>
      <c r="C206" s="1774"/>
      <c r="D206" s="1774"/>
      <c r="E206" s="1774"/>
      <c r="F206" s="1774"/>
      <c r="G206" s="1774"/>
      <c r="H206" s="1774"/>
      <c r="I206" s="1774"/>
      <c r="J206" s="1774"/>
      <c r="K206" s="1774"/>
      <c r="L206" s="1774"/>
      <c r="M206" s="1775"/>
      <c r="N206" s="1776"/>
    </row>
    <row r="207" spans="1:14" x14ac:dyDescent="0.2">
      <c r="E207" s="1585"/>
      <c r="F207" s="1585"/>
      <c r="G207" s="1585"/>
      <c r="H207" s="1585"/>
      <c r="I207" s="1585"/>
      <c r="J207" s="1585"/>
      <c r="N207" s="1793"/>
    </row>
    <row r="208" spans="1:14" x14ac:dyDescent="0.2">
      <c r="E208" s="1585"/>
      <c r="F208" s="1585"/>
      <c r="G208" s="1585"/>
      <c r="H208" s="1585"/>
      <c r="I208" s="1585"/>
      <c r="J208" s="1585"/>
      <c r="N208" s="1793"/>
    </row>
    <row r="209" spans="1:14" x14ac:dyDescent="0.2">
      <c r="E209" s="1585"/>
      <c r="F209" s="1585"/>
      <c r="G209" s="1585"/>
      <c r="H209" s="1585"/>
      <c r="I209" s="1585"/>
      <c r="J209" s="1585"/>
      <c r="N209" s="1793"/>
    </row>
    <row r="210" spans="1:14" x14ac:dyDescent="0.2">
      <c r="E210" s="1585"/>
      <c r="F210" s="1585"/>
      <c r="G210" s="1585"/>
      <c r="H210" s="1585"/>
      <c r="I210" s="1585"/>
      <c r="J210" s="1585"/>
      <c r="N210" s="1793"/>
    </row>
    <row r="211" spans="1:14" x14ac:dyDescent="0.2">
      <c r="E211" s="1585"/>
      <c r="F211" s="1585"/>
      <c r="G211" s="1585"/>
      <c r="H211" s="1585"/>
      <c r="I211" s="1585"/>
      <c r="J211" s="1585"/>
      <c r="N211" s="1793"/>
    </row>
    <row r="212" spans="1:14" x14ac:dyDescent="0.2">
      <c r="E212" s="1585"/>
      <c r="F212" s="1585"/>
      <c r="G212" s="1585"/>
      <c r="H212" s="1585"/>
      <c r="I212" s="1585"/>
      <c r="J212" s="1585"/>
      <c r="N212" s="1793"/>
    </row>
    <row r="213" spans="1:14" x14ac:dyDescent="0.2">
      <c r="E213" s="1585"/>
      <c r="F213" s="1585"/>
      <c r="G213" s="1585"/>
      <c r="H213" s="1585"/>
      <c r="I213" s="1585"/>
      <c r="J213" s="1585"/>
      <c r="N213" s="1793"/>
    </row>
    <row r="214" spans="1:14" x14ac:dyDescent="0.2">
      <c r="E214" s="1585"/>
      <c r="F214" s="1585"/>
      <c r="G214" s="1585"/>
      <c r="H214" s="1585"/>
      <c r="I214" s="1585"/>
      <c r="J214" s="1585"/>
      <c r="N214" s="1793"/>
    </row>
    <row r="215" spans="1:14" x14ac:dyDescent="0.2">
      <c r="E215" s="1585"/>
      <c r="F215" s="1585"/>
      <c r="G215" s="1585"/>
      <c r="H215" s="1585"/>
      <c r="I215" s="1585"/>
      <c r="J215" s="1585"/>
      <c r="N215" s="1793"/>
    </row>
    <row r="216" spans="1:14" x14ac:dyDescent="0.2">
      <c r="E216" s="1585"/>
      <c r="F216" s="1585"/>
      <c r="G216" s="1585"/>
      <c r="H216" s="1585"/>
      <c r="I216" s="1585"/>
      <c r="J216" s="1585"/>
      <c r="N216" s="1793"/>
    </row>
    <row r="217" spans="1:14" x14ac:dyDescent="0.2">
      <c r="E217" s="1585"/>
      <c r="F217" s="1585"/>
      <c r="G217" s="1585"/>
      <c r="H217" s="1585"/>
      <c r="I217" s="1585"/>
      <c r="J217" s="1585"/>
      <c r="N217" s="1793"/>
    </row>
    <row r="218" spans="1:14" ht="12" thickBot="1" x14ac:dyDescent="0.25">
      <c r="E218" s="1585"/>
      <c r="F218" s="1585"/>
      <c r="G218" s="1585"/>
      <c r="H218" s="1585"/>
      <c r="I218" s="1585"/>
      <c r="J218" s="1585"/>
      <c r="N218" s="1793"/>
    </row>
    <row r="219" spans="1:14" x14ac:dyDescent="0.2">
      <c r="A219" s="1777"/>
      <c r="B219" s="1778"/>
      <c r="C219" s="1778"/>
      <c r="D219" s="1778"/>
      <c r="E219" s="1778"/>
      <c r="F219" s="1778"/>
      <c r="G219" s="1778"/>
      <c r="H219" s="1778"/>
      <c r="I219" s="1778"/>
      <c r="J219" s="1778"/>
      <c r="K219" s="1778"/>
      <c r="L219" s="1778"/>
      <c r="M219" s="1779"/>
      <c r="N219" s="1780"/>
    </row>
    <row r="220" spans="1:14" x14ac:dyDescent="0.2">
      <c r="A220" s="1771"/>
      <c r="B220" s="1585"/>
      <c r="C220" s="1585"/>
      <c r="D220" s="1585"/>
      <c r="E220" s="1585"/>
      <c r="F220" s="1585"/>
      <c r="G220" s="1585"/>
      <c r="H220" s="1585"/>
      <c r="I220" s="1585"/>
      <c r="J220" s="1585"/>
      <c r="N220" s="1772"/>
    </row>
    <row r="221" spans="1:14" x14ac:dyDescent="0.2">
      <c r="A221" s="1771"/>
      <c r="B221" s="1585"/>
      <c r="C221" s="1585"/>
      <c r="D221" s="1585"/>
      <c r="E221" s="1585"/>
      <c r="F221" s="1585"/>
      <c r="G221" s="1585"/>
      <c r="H221" s="1585"/>
      <c r="I221" s="1585"/>
      <c r="J221" s="1585"/>
      <c r="N221" s="1772"/>
    </row>
    <row r="222" spans="1:14" x14ac:dyDescent="0.2">
      <c r="A222" s="1771"/>
      <c r="B222" s="1585"/>
      <c r="C222" s="1585"/>
      <c r="D222" s="1585"/>
      <c r="E222" s="1585"/>
      <c r="F222" s="1585"/>
      <c r="G222" s="1585"/>
      <c r="H222" s="1585"/>
      <c r="I222" s="1585"/>
      <c r="J222" s="1585"/>
      <c r="N222" s="1772"/>
    </row>
    <row r="223" spans="1:14" x14ac:dyDescent="0.2">
      <c r="A223" s="1771"/>
      <c r="B223" s="1585"/>
      <c r="C223" s="1585"/>
      <c r="D223" s="1585"/>
      <c r="E223" s="1585"/>
      <c r="F223" s="1585"/>
      <c r="G223" s="1585"/>
      <c r="H223" s="1585"/>
      <c r="I223" s="1585"/>
      <c r="J223" s="1585"/>
      <c r="N223" s="1772"/>
    </row>
    <row r="224" spans="1:14" x14ac:dyDescent="0.2">
      <c r="A224" s="1771"/>
      <c r="B224" s="1585"/>
      <c r="C224" s="1585"/>
      <c r="D224" s="1585"/>
      <c r="E224" s="1585"/>
      <c r="F224" s="1585"/>
      <c r="G224" s="1585"/>
      <c r="H224" s="1585"/>
      <c r="I224" s="1585"/>
      <c r="J224" s="1585"/>
      <c r="N224" s="1772"/>
    </row>
    <row r="225" spans="1:14" x14ac:dyDescent="0.2">
      <c r="A225" s="1771"/>
      <c r="B225" s="1585"/>
      <c r="C225" s="1585"/>
      <c r="D225" s="1585"/>
      <c r="E225" s="1585"/>
      <c r="F225" s="1585"/>
      <c r="G225" s="1585"/>
      <c r="H225" s="1585"/>
      <c r="I225" s="1585"/>
      <c r="J225" s="1585"/>
      <c r="N225" s="1772"/>
    </row>
    <row r="226" spans="1:14" x14ac:dyDescent="0.2">
      <c r="A226" s="1771"/>
      <c r="B226" s="1585"/>
      <c r="C226" s="1585"/>
      <c r="D226" s="1585"/>
      <c r="E226" s="1585"/>
      <c r="F226" s="1585"/>
      <c r="G226" s="1585"/>
      <c r="H226" s="1585"/>
      <c r="I226" s="1585"/>
      <c r="J226" s="1585"/>
      <c r="N226" s="1772"/>
    </row>
    <row r="227" spans="1:14" ht="12" thickBot="1" x14ac:dyDescent="0.25">
      <c r="A227" s="1773"/>
      <c r="B227" s="1774"/>
      <c r="C227" s="1774"/>
      <c r="D227" s="1774"/>
      <c r="E227" s="1774"/>
      <c r="F227" s="1774"/>
      <c r="G227" s="1774"/>
      <c r="H227" s="1774"/>
      <c r="I227" s="1774"/>
      <c r="J227" s="1774"/>
      <c r="K227" s="1774"/>
      <c r="L227" s="1774"/>
      <c r="M227" s="1775"/>
      <c r="N227" s="1776"/>
    </row>
    <row r="228" spans="1:14" x14ac:dyDescent="0.2">
      <c r="A228" s="1777"/>
      <c r="B228" s="1778"/>
      <c r="C228" s="1778"/>
      <c r="D228" s="1778"/>
      <c r="E228" s="1778"/>
      <c r="F228" s="1778"/>
      <c r="G228" s="1778"/>
      <c r="H228" s="1778"/>
      <c r="I228" s="1778"/>
      <c r="J228" s="1778"/>
      <c r="K228" s="1778"/>
      <c r="L228" s="1778"/>
      <c r="M228" s="1779"/>
      <c r="N228" s="1780"/>
    </row>
    <row r="229" spans="1:14" x14ac:dyDescent="0.2">
      <c r="A229" s="1771"/>
      <c r="B229" s="1585"/>
      <c r="C229" s="1585"/>
      <c r="D229" s="1585"/>
      <c r="E229" s="1585"/>
      <c r="F229" s="1585"/>
      <c r="G229" s="1585"/>
      <c r="H229" s="1585"/>
      <c r="I229" s="1585"/>
      <c r="J229" s="1585"/>
      <c r="N229" s="1772"/>
    </row>
    <row r="230" spans="1:14" x14ac:dyDescent="0.2">
      <c r="A230" s="1771"/>
      <c r="B230" s="1585"/>
      <c r="C230" s="1585"/>
      <c r="D230" s="1585"/>
      <c r="E230" s="1585"/>
      <c r="F230" s="1585"/>
      <c r="G230" s="1585"/>
      <c r="H230" s="1585"/>
      <c r="I230" s="1585"/>
      <c r="J230" s="1585"/>
      <c r="N230" s="1772"/>
    </row>
    <row r="231" spans="1:14" x14ac:dyDescent="0.2">
      <c r="A231" s="1771"/>
      <c r="B231" s="1585"/>
      <c r="C231" s="1585"/>
      <c r="D231" s="1585"/>
      <c r="E231" s="1585"/>
      <c r="F231" s="1585"/>
      <c r="G231" s="1585"/>
      <c r="H231" s="1585"/>
      <c r="I231" s="1585"/>
      <c r="J231" s="1585"/>
      <c r="N231" s="1772"/>
    </row>
    <row r="232" spans="1:14" x14ac:dyDescent="0.2">
      <c r="A232" s="1771"/>
      <c r="B232" s="1585"/>
      <c r="C232" s="1585"/>
      <c r="D232" s="1585"/>
      <c r="E232" s="1585"/>
      <c r="F232" s="1585"/>
      <c r="G232" s="1585"/>
      <c r="H232" s="1585"/>
      <c r="I232" s="1585"/>
      <c r="J232" s="1585"/>
      <c r="N232" s="1772"/>
    </row>
    <row r="233" spans="1:14" x14ac:dyDescent="0.2">
      <c r="A233" s="1771"/>
      <c r="B233" s="1585"/>
      <c r="C233" s="1585"/>
      <c r="D233" s="1585"/>
      <c r="E233" s="1585"/>
      <c r="F233" s="1585"/>
      <c r="G233" s="1585"/>
      <c r="H233" s="1585"/>
      <c r="I233" s="1585"/>
      <c r="J233" s="1585"/>
      <c r="N233" s="1772"/>
    </row>
    <row r="234" spans="1:14" x14ac:dyDescent="0.2">
      <c r="A234" s="1771"/>
      <c r="B234" s="1585"/>
      <c r="C234" s="1585"/>
      <c r="D234" s="1585"/>
      <c r="E234" s="1585"/>
      <c r="F234" s="1585"/>
      <c r="G234" s="1585"/>
      <c r="H234" s="1585"/>
      <c r="I234" s="1585"/>
      <c r="J234" s="1585"/>
      <c r="N234" s="1772"/>
    </row>
    <row r="235" spans="1:14" x14ac:dyDescent="0.2">
      <c r="A235" s="1771"/>
      <c r="B235" s="1585"/>
      <c r="C235" s="1585"/>
      <c r="D235" s="1585"/>
      <c r="E235" s="1585"/>
      <c r="F235" s="1585"/>
      <c r="G235" s="1585"/>
      <c r="H235" s="1585"/>
      <c r="I235" s="1585"/>
      <c r="J235" s="1585"/>
      <c r="N235" s="1772"/>
    </row>
    <row r="236" spans="1:14" x14ac:dyDescent="0.2">
      <c r="A236" s="1771"/>
      <c r="B236" s="1585"/>
      <c r="C236" s="1585"/>
      <c r="D236" s="1585"/>
      <c r="E236" s="1585"/>
      <c r="F236" s="1585"/>
      <c r="G236" s="1585"/>
      <c r="H236" s="1585"/>
      <c r="I236" s="1585"/>
      <c r="J236" s="1585"/>
      <c r="N236" s="1772"/>
    </row>
    <row r="237" spans="1:14" x14ac:dyDescent="0.2">
      <c r="A237" s="1771"/>
      <c r="B237" s="1585"/>
      <c r="C237" s="1585"/>
      <c r="D237" s="1585"/>
      <c r="E237" s="1585"/>
      <c r="F237" s="1585"/>
      <c r="G237" s="1585"/>
      <c r="H237" s="1585"/>
      <c r="I237" s="1585"/>
      <c r="J237" s="1585"/>
      <c r="N237" s="1772"/>
    </row>
    <row r="238" spans="1:14" x14ac:dyDescent="0.2">
      <c r="A238" s="1771"/>
      <c r="B238" s="1585"/>
      <c r="C238" s="1585"/>
      <c r="D238" s="1585"/>
      <c r="E238" s="1585"/>
      <c r="F238" s="1585"/>
      <c r="G238" s="1585"/>
      <c r="H238" s="1585"/>
      <c r="I238" s="1585"/>
      <c r="J238" s="1585"/>
      <c r="N238" s="1772"/>
    </row>
    <row r="239" spans="1:14" ht="12" thickBot="1" x14ac:dyDescent="0.25">
      <c r="A239" s="1773"/>
      <c r="B239" s="1774"/>
      <c r="C239" s="1774"/>
      <c r="D239" s="1774"/>
      <c r="E239" s="1774"/>
      <c r="F239" s="1774"/>
      <c r="G239" s="1774"/>
      <c r="H239" s="1774"/>
      <c r="I239" s="1774"/>
      <c r="J239" s="1774"/>
      <c r="K239" s="1774"/>
      <c r="L239" s="1774"/>
      <c r="M239" s="1775"/>
      <c r="N239" s="1776"/>
    </row>
    <row r="240" spans="1:14" x14ac:dyDescent="0.2">
      <c r="E240" s="1585"/>
      <c r="F240" s="1585"/>
      <c r="G240" s="1585"/>
      <c r="H240" s="1585"/>
      <c r="I240" s="1585"/>
      <c r="J240" s="1585"/>
      <c r="N240" s="1793"/>
    </row>
    <row r="241" spans="5:14" x14ac:dyDescent="0.2">
      <c r="E241" s="1585"/>
      <c r="F241" s="1585"/>
      <c r="G241" s="1585"/>
      <c r="H241" s="1585"/>
      <c r="I241" s="1585"/>
      <c r="J241" s="1585"/>
      <c r="N241" s="1793"/>
    </row>
    <row r="242" spans="5:14" x14ac:dyDescent="0.2">
      <c r="E242" s="1585"/>
      <c r="F242" s="1585"/>
      <c r="G242" s="1585"/>
      <c r="H242" s="1585"/>
      <c r="I242" s="1585"/>
      <c r="J242" s="1585"/>
      <c r="N242" s="1793"/>
    </row>
    <row r="243" spans="5:14" x14ac:dyDescent="0.2">
      <c r="E243" s="1585"/>
      <c r="F243" s="1585"/>
      <c r="G243" s="1585"/>
      <c r="H243" s="1585"/>
      <c r="I243" s="1585"/>
      <c r="J243" s="1585"/>
      <c r="N243" s="1793"/>
    </row>
    <row r="244" spans="5:14" x14ac:dyDescent="0.2">
      <c r="E244" s="1585"/>
      <c r="F244" s="1585"/>
      <c r="G244" s="1585"/>
      <c r="H244" s="1585"/>
      <c r="I244" s="1585"/>
      <c r="J244" s="1585"/>
      <c r="N244" s="1793"/>
    </row>
    <row r="245" spans="5:14" x14ac:dyDescent="0.2">
      <c r="E245" s="1585"/>
      <c r="F245" s="1585"/>
      <c r="G245" s="1585"/>
      <c r="H245" s="1585"/>
      <c r="I245" s="1585"/>
      <c r="J245" s="1585"/>
      <c r="N245" s="1793"/>
    </row>
    <row r="246" spans="5:14" x14ac:dyDescent="0.2">
      <c r="E246" s="1585"/>
      <c r="F246" s="1585"/>
      <c r="G246" s="1585"/>
      <c r="H246" s="1585"/>
      <c r="I246" s="1585"/>
      <c r="J246" s="1585"/>
      <c r="N246" s="1793"/>
    </row>
    <row r="247" spans="5:14" x14ac:dyDescent="0.2">
      <c r="E247" s="1585"/>
      <c r="F247" s="1585"/>
      <c r="G247" s="1585"/>
      <c r="H247" s="1585"/>
      <c r="I247" s="1585"/>
      <c r="J247" s="1585"/>
      <c r="N247" s="1793"/>
    </row>
    <row r="248" spans="5:14" x14ac:dyDescent="0.2">
      <c r="E248" s="1585"/>
      <c r="F248" s="1585"/>
      <c r="G248" s="1585"/>
      <c r="H248" s="1585"/>
      <c r="I248" s="1585"/>
      <c r="J248" s="1585"/>
      <c r="N248" s="1793"/>
    </row>
    <row r="249" spans="5:14" x14ac:dyDescent="0.2">
      <c r="E249" s="1585"/>
      <c r="F249" s="1585"/>
      <c r="G249" s="1585"/>
      <c r="H249" s="1585"/>
      <c r="I249" s="1585"/>
      <c r="J249" s="1585"/>
      <c r="N249" s="1793"/>
    </row>
    <row r="250" spans="5:14" x14ac:dyDescent="0.2">
      <c r="E250" s="1585"/>
      <c r="F250" s="1585"/>
      <c r="G250" s="1585"/>
      <c r="H250" s="1585"/>
      <c r="I250" s="1585"/>
      <c r="J250" s="1585"/>
      <c r="N250" s="1793"/>
    </row>
    <row r="251" spans="5:14" x14ac:dyDescent="0.2">
      <c r="E251" s="1585"/>
      <c r="F251" s="1585"/>
      <c r="G251" s="1585"/>
      <c r="H251" s="1585"/>
      <c r="I251" s="1585"/>
      <c r="J251" s="1585"/>
      <c r="N251" s="1793"/>
    </row>
    <row r="252" spans="5:14" x14ac:dyDescent="0.2">
      <c r="E252" s="1585"/>
      <c r="F252" s="1585"/>
      <c r="G252" s="1585"/>
      <c r="H252" s="1585"/>
      <c r="I252" s="1585"/>
      <c r="J252" s="1585"/>
      <c r="N252" s="1793"/>
    </row>
    <row r="253" spans="5:14" x14ac:dyDescent="0.2">
      <c r="E253" s="1585"/>
      <c r="F253" s="1585"/>
      <c r="G253" s="1585"/>
      <c r="H253" s="1585"/>
      <c r="I253" s="1585"/>
      <c r="J253" s="1585"/>
      <c r="N253" s="1793"/>
    </row>
    <row r="254" spans="5:14" x14ac:dyDescent="0.2">
      <c r="E254" s="1585"/>
      <c r="F254" s="1585"/>
      <c r="G254" s="1585"/>
      <c r="H254" s="1585"/>
      <c r="I254" s="1585"/>
      <c r="J254" s="1585"/>
      <c r="N254" s="1793"/>
    </row>
    <row r="255" spans="5:14" x14ac:dyDescent="0.2">
      <c r="E255" s="1585"/>
      <c r="F255" s="1585"/>
      <c r="G255" s="1585"/>
      <c r="H255" s="1585"/>
      <c r="I255" s="1585"/>
      <c r="J255" s="1585"/>
      <c r="N255" s="1793"/>
    </row>
    <row r="256" spans="5:14" x14ac:dyDescent="0.2">
      <c r="E256" s="1585"/>
      <c r="F256" s="1585"/>
      <c r="G256" s="1585"/>
      <c r="H256" s="1585"/>
      <c r="I256" s="1585"/>
      <c r="J256" s="1585"/>
      <c r="N256" s="1793"/>
    </row>
    <row r="257" spans="1:14" x14ac:dyDescent="0.2">
      <c r="E257" s="1585"/>
      <c r="F257" s="1585"/>
      <c r="G257" s="1585"/>
      <c r="H257" s="1585"/>
      <c r="I257" s="1585"/>
      <c r="J257" s="1585"/>
      <c r="N257" s="1793"/>
    </row>
    <row r="258" spans="1:14" x14ac:dyDescent="0.2">
      <c r="E258" s="1585"/>
      <c r="F258" s="1585"/>
      <c r="G258" s="1585"/>
      <c r="H258" s="1585"/>
      <c r="I258" s="1585"/>
      <c r="J258" s="1585"/>
      <c r="N258" s="1793"/>
    </row>
    <row r="259" spans="1:14" x14ac:dyDescent="0.2">
      <c r="E259" s="1585"/>
      <c r="F259" s="1585"/>
      <c r="G259" s="1585"/>
      <c r="H259" s="1585"/>
      <c r="I259" s="1585"/>
      <c r="J259" s="1585"/>
      <c r="N259" s="1793"/>
    </row>
    <row r="260" spans="1:14" ht="12" thickBot="1" x14ac:dyDescent="0.25">
      <c r="E260" s="1585"/>
      <c r="F260" s="1585"/>
      <c r="G260" s="1585"/>
      <c r="H260" s="1585"/>
      <c r="I260" s="1585"/>
      <c r="J260" s="1585"/>
      <c r="N260" s="1793"/>
    </row>
    <row r="261" spans="1:14" x14ac:dyDescent="0.2">
      <c r="A261" s="1777"/>
      <c r="B261" s="1778"/>
      <c r="C261" s="1778"/>
      <c r="D261" s="1778"/>
      <c r="E261" s="1778"/>
      <c r="F261" s="1778"/>
      <c r="G261" s="1778"/>
      <c r="H261" s="1778"/>
      <c r="I261" s="1778"/>
      <c r="J261" s="1778"/>
      <c r="K261" s="1778"/>
      <c r="L261" s="1778"/>
      <c r="M261" s="1779"/>
      <c r="N261" s="1780"/>
    </row>
    <row r="262" spans="1:14" x14ac:dyDescent="0.2">
      <c r="A262" s="1771"/>
      <c r="B262" s="1585"/>
      <c r="C262" s="1585"/>
      <c r="D262" s="1585"/>
      <c r="E262" s="1585"/>
      <c r="F262" s="1585"/>
      <c r="G262" s="1585"/>
      <c r="H262" s="1585"/>
      <c r="I262" s="1585"/>
      <c r="J262" s="1585"/>
      <c r="N262" s="1772"/>
    </row>
    <row r="263" spans="1:14" x14ac:dyDescent="0.2">
      <c r="A263" s="1771"/>
      <c r="B263" s="1585"/>
      <c r="C263" s="1585"/>
      <c r="D263" s="1585"/>
      <c r="E263" s="1585"/>
      <c r="F263" s="1585"/>
      <c r="G263" s="1585"/>
      <c r="H263" s="1585"/>
      <c r="I263" s="1585"/>
      <c r="J263" s="1585"/>
      <c r="N263" s="1772"/>
    </row>
    <row r="264" spans="1:14" x14ac:dyDescent="0.2">
      <c r="A264" s="1771"/>
      <c r="B264" s="1585"/>
      <c r="C264" s="1585"/>
      <c r="D264" s="1585"/>
      <c r="E264" s="1585"/>
      <c r="F264" s="1585"/>
      <c r="G264" s="1585"/>
      <c r="H264" s="1585"/>
      <c r="I264" s="1585"/>
      <c r="J264" s="1585"/>
      <c r="N264" s="1772"/>
    </row>
    <row r="265" spans="1:14" x14ac:dyDescent="0.2">
      <c r="A265" s="1771"/>
      <c r="B265" s="1585"/>
      <c r="C265" s="1585"/>
      <c r="D265" s="1585"/>
      <c r="E265" s="1585"/>
      <c r="F265" s="1585"/>
      <c r="G265" s="1585"/>
      <c r="H265" s="1585"/>
      <c r="I265" s="1585"/>
      <c r="J265" s="1585"/>
      <c r="N265" s="1772"/>
    </row>
    <row r="266" spans="1:14" x14ac:dyDescent="0.2">
      <c r="A266" s="1771"/>
      <c r="B266" s="1585"/>
      <c r="C266" s="1585"/>
      <c r="D266" s="1585"/>
      <c r="E266" s="1585"/>
      <c r="F266" s="1585"/>
      <c r="G266" s="1585"/>
      <c r="H266" s="1585"/>
      <c r="I266" s="1585"/>
      <c r="J266" s="1585"/>
      <c r="N266" s="1772"/>
    </row>
    <row r="267" spans="1:14" x14ac:dyDescent="0.2">
      <c r="A267" s="1771"/>
      <c r="B267" s="1585"/>
      <c r="C267" s="1585"/>
      <c r="D267" s="1585"/>
      <c r="E267" s="1585"/>
      <c r="F267" s="1585"/>
      <c r="G267" s="1585"/>
      <c r="H267" s="1585"/>
      <c r="I267" s="1585"/>
      <c r="J267" s="1585"/>
      <c r="N267" s="1772"/>
    </row>
    <row r="268" spans="1:14" x14ac:dyDescent="0.2">
      <c r="A268" s="1771"/>
      <c r="B268" s="1585"/>
      <c r="C268" s="1585"/>
      <c r="D268" s="1585"/>
      <c r="E268" s="1585"/>
      <c r="F268" s="1585"/>
      <c r="G268" s="1585"/>
      <c r="H268" s="1585"/>
      <c r="I268" s="1585"/>
      <c r="J268" s="1585"/>
      <c r="N268" s="1772"/>
    </row>
    <row r="269" spans="1:14" ht="12" thickBot="1" x14ac:dyDescent="0.25">
      <c r="A269" s="1773"/>
      <c r="B269" s="1774"/>
      <c r="C269" s="1774"/>
      <c r="D269" s="1774"/>
      <c r="E269" s="1774"/>
      <c r="F269" s="1774"/>
      <c r="G269" s="1774"/>
      <c r="H269" s="1774"/>
      <c r="I269" s="1774"/>
      <c r="J269" s="1774"/>
      <c r="K269" s="1774"/>
      <c r="L269" s="1774"/>
      <c r="M269" s="1775"/>
      <c r="N269" s="1776"/>
    </row>
    <row r="270" spans="1:14" x14ac:dyDescent="0.2">
      <c r="A270" s="1777"/>
      <c r="B270" s="1778"/>
      <c r="C270" s="1778"/>
      <c r="D270" s="1778"/>
      <c r="E270" s="1778"/>
      <c r="F270" s="1778"/>
      <c r="G270" s="1778"/>
      <c r="H270" s="1778"/>
      <c r="I270" s="1778"/>
      <c r="J270" s="1778"/>
      <c r="K270" s="1778"/>
      <c r="L270" s="1778"/>
      <c r="M270" s="1779"/>
      <c r="N270" s="1780"/>
    </row>
    <row r="271" spans="1:14" x14ac:dyDescent="0.2">
      <c r="A271" s="1771"/>
      <c r="B271" s="1585"/>
      <c r="C271" s="1585"/>
      <c r="D271" s="1585"/>
      <c r="E271" s="1585"/>
      <c r="F271" s="1585"/>
      <c r="G271" s="1585"/>
      <c r="H271" s="1585"/>
      <c r="I271" s="1585"/>
      <c r="J271" s="1585"/>
      <c r="N271" s="1772"/>
    </row>
    <row r="272" spans="1:14" x14ac:dyDescent="0.2">
      <c r="A272" s="1771"/>
      <c r="B272" s="1585"/>
      <c r="C272" s="1585"/>
      <c r="D272" s="1585"/>
      <c r="E272" s="1585"/>
      <c r="F272" s="1585"/>
      <c r="G272" s="1585"/>
      <c r="H272" s="1585"/>
      <c r="I272" s="1585"/>
      <c r="J272" s="1585"/>
      <c r="N272" s="1772"/>
    </row>
    <row r="273" spans="1:14" x14ac:dyDescent="0.2">
      <c r="A273" s="1771"/>
      <c r="B273" s="1585"/>
      <c r="C273" s="1585"/>
      <c r="D273" s="1585"/>
      <c r="E273" s="1585"/>
      <c r="F273" s="1585"/>
      <c r="G273" s="1585"/>
      <c r="H273" s="1585"/>
      <c r="I273" s="1585"/>
      <c r="J273" s="1585"/>
      <c r="N273" s="1772"/>
    </row>
    <row r="274" spans="1:14" x14ac:dyDescent="0.2">
      <c r="A274" s="1771"/>
      <c r="B274" s="1585"/>
      <c r="C274" s="1585"/>
      <c r="D274" s="1585"/>
      <c r="E274" s="1585"/>
      <c r="F274" s="1585"/>
      <c r="G274" s="1585"/>
      <c r="H274" s="1585"/>
      <c r="I274" s="1585"/>
      <c r="J274" s="1585"/>
      <c r="N274" s="1772"/>
    </row>
    <row r="275" spans="1:14" x14ac:dyDescent="0.2">
      <c r="A275" s="1771"/>
      <c r="B275" s="1585"/>
      <c r="C275" s="1585"/>
      <c r="D275" s="1585"/>
      <c r="E275" s="1585"/>
      <c r="F275" s="1585"/>
      <c r="G275" s="1585"/>
      <c r="H275" s="1585"/>
      <c r="I275" s="1585"/>
      <c r="J275" s="1585"/>
      <c r="N275" s="1772"/>
    </row>
    <row r="276" spans="1:14" x14ac:dyDescent="0.2">
      <c r="A276" s="1771"/>
      <c r="B276" s="1585"/>
      <c r="C276" s="1585"/>
      <c r="D276" s="1585"/>
      <c r="E276" s="1585"/>
      <c r="F276" s="1585"/>
      <c r="G276" s="1585"/>
      <c r="H276" s="1585"/>
      <c r="I276" s="1585"/>
      <c r="J276" s="1585"/>
      <c r="N276" s="1772"/>
    </row>
    <row r="277" spans="1:14" x14ac:dyDescent="0.2">
      <c r="A277" s="1771"/>
      <c r="B277" s="1585"/>
      <c r="C277" s="1585"/>
      <c r="D277" s="1585"/>
      <c r="E277" s="1585"/>
      <c r="F277" s="1585"/>
      <c r="G277" s="1585"/>
      <c r="H277" s="1585"/>
      <c r="I277" s="1585"/>
      <c r="J277" s="1585"/>
      <c r="N277" s="1772"/>
    </row>
    <row r="278" spans="1:14" ht="12" thickBot="1" x14ac:dyDescent="0.25">
      <c r="A278" s="1773"/>
      <c r="B278" s="1774"/>
      <c r="C278" s="1774"/>
      <c r="D278" s="1774"/>
      <c r="E278" s="1774"/>
      <c r="F278" s="1774"/>
      <c r="G278" s="1774"/>
      <c r="H278" s="1774"/>
      <c r="I278" s="1774"/>
      <c r="J278" s="1774"/>
      <c r="K278" s="1774"/>
      <c r="L278" s="1774"/>
      <c r="M278" s="1775"/>
      <c r="N278" s="1776"/>
    </row>
    <row r="279" spans="1:14" x14ac:dyDescent="0.2">
      <c r="E279" s="1585"/>
      <c r="F279" s="1585"/>
      <c r="G279" s="1585"/>
      <c r="H279" s="1585"/>
      <c r="I279" s="1585"/>
      <c r="J279" s="1585"/>
      <c r="N279" s="1793"/>
    </row>
    <row r="280" spans="1:14" x14ac:dyDescent="0.2">
      <c r="E280" s="1585"/>
      <c r="F280" s="1585"/>
      <c r="G280" s="1585"/>
      <c r="H280" s="1585"/>
      <c r="I280" s="1585"/>
      <c r="J280" s="1585"/>
      <c r="N280" s="1793"/>
    </row>
    <row r="281" spans="1:14" x14ac:dyDescent="0.2">
      <c r="E281" s="1585"/>
      <c r="F281" s="1585"/>
      <c r="G281" s="1585"/>
      <c r="H281" s="1585"/>
      <c r="I281" s="1585"/>
      <c r="J281" s="1585"/>
      <c r="N281" s="1793"/>
    </row>
    <row r="282" spans="1:14" x14ac:dyDescent="0.2">
      <c r="E282" s="1585"/>
      <c r="F282" s="1585"/>
      <c r="G282" s="1585"/>
      <c r="H282" s="1585"/>
      <c r="I282" s="1585"/>
      <c r="J282" s="1585"/>
      <c r="N282" s="1793"/>
    </row>
    <row r="283" spans="1:14" x14ac:dyDescent="0.2">
      <c r="E283" s="1585"/>
      <c r="F283" s="1585"/>
      <c r="G283" s="1585"/>
      <c r="H283" s="1585"/>
      <c r="I283" s="1585"/>
      <c r="J283" s="1585"/>
      <c r="N283" s="1793"/>
    </row>
    <row r="284" spans="1:14" x14ac:dyDescent="0.2">
      <c r="E284" s="1585"/>
      <c r="F284" s="1585"/>
      <c r="G284" s="1585"/>
      <c r="H284" s="1585"/>
      <c r="I284" s="1585"/>
      <c r="J284" s="1585"/>
      <c r="N284" s="1793"/>
    </row>
    <row r="285" spans="1:14" x14ac:dyDescent="0.2">
      <c r="E285" s="1585"/>
      <c r="F285" s="1585"/>
      <c r="G285" s="1585"/>
      <c r="H285" s="1585"/>
      <c r="I285" s="1585"/>
      <c r="J285" s="1585"/>
      <c r="N285" s="1793"/>
    </row>
    <row r="286" spans="1:14" x14ac:dyDescent="0.2">
      <c r="E286" s="1585"/>
      <c r="F286" s="1585"/>
      <c r="G286" s="1585"/>
      <c r="H286" s="1585"/>
      <c r="I286" s="1585"/>
      <c r="J286" s="1585"/>
      <c r="N286" s="1793"/>
    </row>
    <row r="287" spans="1:14" x14ac:dyDescent="0.2">
      <c r="E287" s="1585"/>
      <c r="F287" s="1585"/>
      <c r="G287" s="1585"/>
      <c r="H287" s="1585"/>
      <c r="I287" s="1585"/>
      <c r="J287" s="1585"/>
      <c r="N287" s="1793"/>
    </row>
    <row r="288" spans="1:14" x14ac:dyDescent="0.2">
      <c r="E288" s="1585"/>
      <c r="F288" s="1585"/>
      <c r="G288" s="1585"/>
      <c r="H288" s="1585"/>
      <c r="I288" s="1585"/>
      <c r="J288" s="1585"/>
      <c r="N288" s="1793"/>
    </row>
    <row r="289" spans="1:14" x14ac:dyDescent="0.2">
      <c r="E289" s="1585"/>
      <c r="F289" s="1585"/>
      <c r="G289" s="1585"/>
      <c r="H289" s="1585"/>
      <c r="I289" s="1585"/>
      <c r="J289" s="1585"/>
      <c r="N289" s="1793"/>
    </row>
    <row r="290" spans="1:14" x14ac:dyDescent="0.2">
      <c r="E290" s="1585"/>
      <c r="F290" s="1585"/>
      <c r="G290" s="1585"/>
      <c r="H290" s="1585"/>
      <c r="I290" s="1585"/>
      <c r="J290" s="1585"/>
      <c r="N290" s="1793"/>
    </row>
    <row r="291" spans="1:14" x14ac:dyDescent="0.2">
      <c r="E291" s="1585"/>
      <c r="F291" s="1585"/>
      <c r="G291" s="1585"/>
      <c r="H291" s="1585"/>
      <c r="I291" s="1585"/>
      <c r="J291" s="1585"/>
      <c r="N291" s="1793"/>
    </row>
    <row r="292" spans="1:14" x14ac:dyDescent="0.2">
      <c r="E292" s="1585"/>
      <c r="F292" s="1585"/>
      <c r="G292" s="1585"/>
      <c r="H292" s="1585"/>
      <c r="I292" s="1585"/>
      <c r="J292" s="1585"/>
      <c r="N292" s="1793"/>
    </row>
    <row r="293" spans="1:14" x14ac:dyDescent="0.2">
      <c r="E293" s="1585"/>
      <c r="F293" s="1585"/>
      <c r="G293" s="1585"/>
      <c r="H293" s="1585"/>
      <c r="I293" s="1585"/>
      <c r="J293" s="1585"/>
      <c r="N293" s="1793"/>
    </row>
    <row r="294" spans="1:14" x14ac:dyDescent="0.2">
      <c r="E294" s="1585"/>
      <c r="F294" s="1585"/>
      <c r="G294" s="1585"/>
      <c r="H294" s="1585"/>
      <c r="I294" s="1585"/>
      <c r="J294" s="1585"/>
      <c r="N294" s="1793"/>
    </row>
    <row r="295" spans="1:14" x14ac:dyDescent="0.2">
      <c r="E295" s="1585"/>
      <c r="F295" s="1585"/>
      <c r="G295" s="1585"/>
      <c r="H295" s="1585"/>
      <c r="I295" s="1585"/>
      <c r="J295" s="1585"/>
      <c r="N295" s="1793"/>
    </row>
    <row r="296" spans="1:14" ht="12" thickBot="1" x14ac:dyDescent="0.25">
      <c r="E296" s="1585"/>
      <c r="F296" s="1585"/>
      <c r="G296" s="1585"/>
      <c r="H296" s="1585"/>
      <c r="I296" s="1585"/>
      <c r="J296" s="1585"/>
      <c r="N296" s="1793"/>
    </row>
    <row r="297" spans="1:14" x14ac:dyDescent="0.2">
      <c r="A297" s="1777"/>
      <c r="B297" s="1778"/>
      <c r="C297" s="1778"/>
      <c r="D297" s="1778"/>
      <c r="E297" s="1778"/>
      <c r="F297" s="1778"/>
      <c r="G297" s="1778"/>
      <c r="H297" s="1778"/>
      <c r="I297" s="1778"/>
      <c r="J297" s="1778"/>
      <c r="K297" s="1778"/>
      <c r="L297" s="1778"/>
      <c r="M297" s="1779"/>
      <c r="N297" s="1780"/>
    </row>
    <row r="298" spans="1:14" x14ac:dyDescent="0.2">
      <c r="A298" s="1771"/>
      <c r="B298" s="1585"/>
      <c r="C298" s="1585"/>
      <c r="D298" s="1585"/>
      <c r="E298" s="1585"/>
      <c r="F298" s="1585"/>
      <c r="G298" s="1585"/>
      <c r="H298" s="1585"/>
      <c r="I298" s="1585"/>
      <c r="J298" s="1585"/>
      <c r="N298" s="1772"/>
    </row>
    <row r="299" spans="1:14" x14ac:dyDescent="0.2">
      <c r="A299" s="1771"/>
      <c r="B299" s="1585"/>
      <c r="C299" s="1585"/>
      <c r="D299" s="1585"/>
      <c r="E299" s="1585"/>
      <c r="F299" s="1585"/>
      <c r="G299" s="1585"/>
      <c r="H299" s="1585"/>
      <c r="I299" s="1585"/>
      <c r="J299" s="1585"/>
      <c r="N299" s="1772"/>
    </row>
    <row r="300" spans="1:14" x14ac:dyDescent="0.2">
      <c r="A300" s="1771"/>
      <c r="B300" s="1585"/>
      <c r="C300" s="1585"/>
      <c r="D300" s="1585"/>
      <c r="E300" s="1585"/>
      <c r="F300" s="1585"/>
      <c r="G300" s="1585"/>
      <c r="H300" s="1585"/>
      <c r="I300" s="1585"/>
      <c r="J300" s="1585"/>
      <c r="N300" s="1772"/>
    </row>
    <row r="301" spans="1:14" x14ac:dyDescent="0.2">
      <c r="A301" s="1771"/>
      <c r="B301" s="1585"/>
      <c r="C301" s="1585"/>
      <c r="D301" s="1585"/>
      <c r="E301" s="1585"/>
      <c r="F301" s="1585"/>
      <c r="G301" s="1585"/>
      <c r="H301" s="1585"/>
      <c r="I301" s="1585"/>
      <c r="J301" s="1585"/>
      <c r="N301" s="1772"/>
    </row>
    <row r="302" spans="1:14" x14ac:dyDescent="0.2">
      <c r="A302" s="1771"/>
      <c r="B302" s="1585"/>
      <c r="C302" s="1585"/>
      <c r="D302" s="1585"/>
      <c r="E302" s="1585"/>
      <c r="F302" s="1585"/>
      <c r="G302" s="1585"/>
      <c r="H302" s="1585"/>
      <c r="I302" s="1585"/>
      <c r="J302" s="1585"/>
      <c r="N302" s="1772"/>
    </row>
    <row r="303" spans="1:14" x14ac:dyDescent="0.2">
      <c r="A303" s="1771"/>
      <c r="B303" s="1585"/>
      <c r="C303" s="1585"/>
      <c r="D303" s="1585"/>
      <c r="E303" s="1585"/>
      <c r="F303" s="1585"/>
      <c r="G303" s="1585"/>
      <c r="H303" s="1585"/>
      <c r="I303" s="1585"/>
      <c r="J303" s="1585"/>
      <c r="N303" s="1772"/>
    </row>
    <row r="304" spans="1:14" x14ac:dyDescent="0.2">
      <c r="A304" s="1771"/>
      <c r="B304" s="1585"/>
      <c r="C304" s="1585"/>
      <c r="D304" s="1585"/>
      <c r="E304" s="1585"/>
      <c r="F304" s="1585"/>
      <c r="G304" s="1585"/>
      <c r="H304" s="1585"/>
      <c r="I304" s="1585"/>
      <c r="J304" s="1585"/>
      <c r="N304" s="1772"/>
    </row>
    <row r="305" spans="1:14" ht="12" thickBot="1" x14ac:dyDescent="0.25">
      <c r="A305" s="1773"/>
      <c r="B305" s="1774"/>
      <c r="C305" s="1774"/>
      <c r="D305" s="1774"/>
      <c r="E305" s="1774"/>
      <c r="F305" s="1774"/>
      <c r="G305" s="1774"/>
      <c r="H305" s="1774"/>
      <c r="I305" s="1774"/>
      <c r="J305" s="1774"/>
      <c r="K305" s="1774"/>
      <c r="L305" s="1774"/>
      <c r="M305" s="1775"/>
      <c r="N305" s="1776"/>
    </row>
    <row r="306" spans="1:14" x14ac:dyDescent="0.2">
      <c r="A306" s="1777"/>
      <c r="B306" s="1778"/>
      <c r="C306" s="1778"/>
      <c r="D306" s="1778"/>
      <c r="E306" s="1778"/>
      <c r="F306" s="1778"/>
      <c r="G306" s="1778"/>
      <c r="H306" s="1778"/>
      <c r="I306" s="1778"/>
      <c r="J306" s="1778"/>
      <c r="K306" s="1778"/>
      <c r="L306" s="1778"/>
      <c r="M306" s="1779"/>
      <c r="N306" s="1780"/>
    </row>
    <row r="307" spans="1:14" x14ac:dyDescent="0.2">
      <c r="A307" s="1771"/>
      <c r="B307" s="1585"/>
      <c r="C307" s="1585"/>
      <c r="D307" s="1585"/>
      <c r="E307" s="1585"/>
      <c r="F307" s="1585"/>
      <c r="G307" s="1585"/>
      <c r="H307" s="1585"/>
      <c r="I307" s="1585"/>
      <c r="J307" s="1585"/>
      <c r="N307" s="1772"/>
    </row>
    <row r="308" spans="1:14" x14ac:dyDescent="0.2">
      <c r="A308" s="1771"/>
      <c r="B308" s="1585"/>
      <c r="C308" s="1585"/>
      <c r="D308" s="1585"/>
      <c r="E308" s="1585"/>
      <c r="F308" s="1585"/>
      <c r="G308" s="1585"/>
      <c r="H308" s="1585"/>
      <c r="I308" s="1585"/>
      <c r="J308" s="1585"/>
      <c r="N308" s="1772"/>
    </row>
    <row r="309" spans="1:14" x14ac:dyDescent="0.2">
      <c r="A309" s="1771"/>
      <c r="B309" s="1585"/>
      <c r="C309" s="1585"/>
      <c r="D309" s="1585"/>
      <c r="E309" s="1585"/>
      <c r="F309" s="1585"/>
      <c r="G309" s="1585"/>
      <c r="H309" s="1585"/>
      <c r="I309" s="1585"/>
      <c r="J309" s="1585"/>
      <c r="N309" s="1772"/>
    </row>
    <row r="310" spans="1:14" x14ac:dyDescent="0.2">
      <c r="A310" s="1771"/>
      <c r="B310" s="1585"/>
      <c r="C310" s="1585"/>
      <c r="D310" s="1585"/>
      <c r="E310" s="1585"/>
      <c r="F310" s="1585"/>
      <c r="G310" s="1585"/>
      <c r="H310" s="1585"/>
      <c r="I310" s="1585"/>
      <c r="J310" s="1585"/>
      <c r="N310" s="1772"/>
    </row>
    <row r="311" spans="1:14" x14ac:dyDescent="0.2">
      <c r="A311" s="1771"/>
      <c r="B311" s="1585"/>
      <c r="C311" s="1585"/>
      <c r="D311" s="1585"/>
      <c r="E311" s="1585"/>
      <c r="F311" s="1585"/>
      <c r="G311" s="1585"/>
      <c r="H311" s="1585"/>
      <c r="I311" s="1585"/>
      <c r="J311" s="1585"/>
      <c r="N311" s="1772"/>
    </row>
    <row r="312" spans="1:14" x14ac:dyDescent="0.2">
      <c r="A312" s="1771"/>
      <c r="B312" s="1585"/>
      <c r="C312" s="1585"/>
      <c r="D312" s="1585"/>
      <c r="E312" s="1585"/>
      <c r="F312" s="1585"/>
      <c r="G312" s="1585"/>
      <c r="H312" s="1585"/>
      <c r="I312" s="1585"/>
      <c r="J312" s="1585"/>
      <c r="N312" s="1772"/>
    </row>
    <row r="313" spans="1:14" x14ac:dyDescent="0.2">
      <c r="A313" s="1771"/>
      <c r="B313" s="1585"/>
      <c r="C313" s="1585"/>
      <c r="D313" s="1585"/>
      <c r="E313" s="1585"/>
      <c r="F313" s="1585"/>
      <c r="G313" s="1585"/>
      <c r="H313" s="1585"/>
      <c r="I313" s="1585"/>
      <c r="J313" s="1585"/>
      <c r="N313" s="1772"/>
    </row>
    <row r="314" spans="1:14" ht="12" thickBot="1" x14ac:dyDescent="0.25">
      <c r="A314" s="1773"/>
      <c r="B314" s="1774"/>
      <c r="C314" s="1774"/>
      <c r="D314" s="1774"/>
      <c r="E314" s="1774"/>
      <c r="F314" s="1774"/>
      <c r="G314" s="1774"/>
      <c r="H314" s="1774"/>
      <c r="I314" s="1774"/>
      <c r="J314" s="1774"/>
      <c r="K314" s="1774"/>
      <c r="L314" s="1774"/>
      <c r="M314" s="1775"/>
      <c r="N314" s="1776"/>
    </row>
    <row r="315" spans="1:14" x14ac:dyDescent="0.2">
      <c r="E315" s="1585"/>
      <c r="F315" s="1585"/>
      <c r="G315" s="1585"/>
      <c r="H315" s="1585"/>
      <c r="I315" s="1585"/>
      <c r="J315" s="1585"/>
      <c r="N315" s="1793"/>
    </row>
    <row r="316" spans="1:14" x14ac:dyDescent="0.2">
      <c r="E316" s="1585"/>
      <c r="F316" s="1585"/>
      <c r="G316" s="1585"/>
      <c r="H316" s="1585"/>
      <c r="I316" s="1585"/>
      <c r="J316" s="1585"/>
      <c r="N316" s="1793"/>
    </row>
    <row r="317" spans="1:14" x14ac:dyDescent="0.2">
      <c r="E317" s="1585"/>
      <c r="F317" s="1585"/>
      <c r="G317" s="1585"/>
      <c r="H317" s="1585"/>
      <c r="I317" s="1585"/>
      <c r="J317" s="1585"/>
      <c r="N317" s="1793"/>
    </row>
    <row r="318" spans="1:14" x14ac:dyDescent="0.2">
      <c r="E318" s="1585"/>
      <c r="F318" s="1585"/>
      <c r="G318" s="1585"/>
      <c r="H318" s="1585"/>
      <c r="I318" s="1585"/>
      <c r="J318" s="1585"/>
      <c r="N318" s="1793"/>
    </row>
    <row r="319" spans="1:14" x14ac:dyDescent="0.2">
      <c r="E319" s="1585"/>
      <c r="F319" s="1585"/>
      <c r="G319" s="1585"/>
      <c r="H319" s="1585"/>
      <c r="I319" s="1585"/>
      <c r="J319" s="1585"/>
      <c r="N319" s="1793"/>
    </row>
    <row r="320" spans="1:14" x14ac:dyDescent="0.2">
      <c r="E320" s="1585"/>
      <c r="F320" s="1585"/>
      <c r="G320" s="1585"/>
      <c r="H320" s="1585"/>
      <c r="I320" s="1585"/>
      <c r="J320" s="1585"/>
      <c r="N320" s="1793"/>
    </row>
    <row r="321" spans="1:14" x14ac:dyDescent="0.2">
      <c r="E321" s="1585"/>
      <c r="F321" s="1585"/>
      <c r="G321" s="1585"/>
      <c r="H321" s="1585"/>
      <c r="I321" s="1585"/>
      <c r="J321" s="1585"/>
      <c r="N321" s="1793"/>
    </row>
    <row r="322" spans="1:14" x14ac:dyDescent="0.2">
      <c r="E322" s="1585"/>
      <c r="F322" s="1585"/>
      <c r="G322" s="1585"/>
      <c r="H322" s="1585"/>
      <c r="I322" s="1585"/>
      <c r="J322" s="1585"/>
      <c r="N322" s="1793"/>
    </row>
    <row r="323" spans="1:14" x14ac:dyDescent="0.2">
      <c r="E323" s="1585"/>
      <c r="F323" s="1585"/>
      <c r="G323" s="1585"/>
      <c r="H323" s="1585"/>
      <c r="I323" s="1585"/>
      <c r="J323" s="1585"/>
      <c r="N323" s="1793"/>
    </row>
    <row r="324" spans="1:14" x14ac:dyDescent="0.2">
      <c r="E324" s="1585"/>
      <c r="F324" s="1585"/>
      <c r="G324" s="1585"/>
      <c r="H324" s="1585"/>
      <c r="I324" s="1585"/>
      <c r="J324" s="1585"/>
      <c r="N324" s="1793"/>
    </row>
    <row r="325" spans="1:14" x14ac:dyDescent="0.2">
      <c r="E325" s="1585"/>
      <c r="F325" s="1585"/>
      <c r="G325" s="1585"/>
      <c r="H325" s="1585"/>
      <c r="I325" s="1585"/>
      <c r="J325" s="1585"/>
      <c r="N325" s="1793"/>
    </row>
    <row r="326" spans="1:14" x14ac:dyDescent="0.2">
      <c r="E326" s="1585"/>
      <c r="F326" s="1585"/>
      <c r="G326" s="1585"/>
      <c r="H326" s="1585"/>
      <c r="I326" s="1585"/>
      <c r="J326" s="1585"/>
      <c r="N326" s="1793"/>
    </row>
    <row r="327" spans="1:14" x14ac:dyDescent="0.2">
      <c r="E327" s="1585"/>
      <c r="F327" s="1585"/>
      <c r="G327" s="1585"/>
      <c r="H327" s="1585"/>
      <c r="I327" s="1585"/>
      <c r="J327" s="1585"/>
      <c r="N327" s="1793"/>
    </row>
    <row r="328" spans="1:14" x14ac:dyDescent="0.2">
      <c r="E328" s="1585"/>
      <c r="F328" s="1585"/>
      <c r="G328" s="1585"/>
      <c r="H328" s="1585"/>
      <c r="I328" s="1585"/>
      <c r="J328" s="1585"/>
      <c r="N328" s="1793"/>
    </row>
    <row r="329" spans="1:14" x14ac:dyDescent="0.2">
      <c r="E329" s="1585"/>
      <c r="F329" s="1585"/>
      <c r="G329" s="1585"/>
      <c r="H329" s="1585"/>
      <c r="I329" s="1585"/>
      <c r="J329" s="1585"/>
      <c r="N329" s="1793"/>
    </row>
    <row r="330" spans="1:14" x14ac:dyDescent="0.2">
      <c r="E330" s="1585"/>
      <c r="F330" s="1585"/>
      <c r="G330" s="1585"/>
      <c r="H330" s="1585"/>
      <c r="I330" s="1585"/>
      <c r="J330" s="1585"/>
      <c r="N330" s="1793"/>
    </row>
    <row r="331" spans="1:14" x14ac:dyDescent="0.2">
      <c r="E331" s="1585"/>
      <c r="F331" s="1585"/>
      <c r="G331" s="1585"/>
      <c r="H331" s="1585"/>
      <c r="I331" s="1585"/>
      <c r="J331" s="1585"/>
      <c r="N331" s="1793"/>
    </row>
    <row r="332" spans="1:14" ht="12" thickBot="1" x14ac:dyDescent="0.25">
      <c r="E332" s="1585"/>
      <c r="F332" s="1585"/>
      <c r="G332" s="1585"/>
      <c r="H332" s="1585"/>
      <c r="I332" s="1585"/>
      <c r="J332" s="1585"/>
      <c r="N332" s="1793"/>
    </row>
    <row r="333" spans="1:14" x14ac:dyDescent="0.2">
      <c r="A333" s="1777"/>
      <c r="B333" s="1778"/>
      <c r="C333" s="1778"/>
      <c r="D333" s="1778"/>
      <c r="E333" s="1778"/>
      <c r="F333" s="1778"/>
      <c r="G333" s="1778"/>
      <c r="H333" s="1778"/>
      <c r="I333" s="1778"/>
      <c r="J333" s="1778"/>
      <c r="K333" s="1778"/>
      <c r="L333" s="1778"/>
      <c r="M333" s="1779"/>
      <c r="N333" s="1780"/>
    </row>
    <row r="334" spans="1:14" x14ac:dyDescent="0.2">
      <c r="A334" s="1771"/>
      <c r="B334" s="1585"/>
      <c r="C334" s="1585"/>
      <c r="D334" s="1585"/>
      <c r="E334" s="1585"/>
      <c r="F334" s="1585"/>
      <c r="G334" s="1585"/>
      <c r="H334" s="1585"/>
      <c r="I334" s="1585"/>
      <c r="J334" s="1585"/>
      <c r="N334" s="1772"/>
    </row>
    <row r="335" spans="1:14" x14ac:dyDescent="0.2">
      <c r="A335" s="1771"/>
      <c r="B335" s="1585"/>
      <c r="C335" s="1585"/>
      <c r="D335" s="1585"/>
      <c r="E335" s="1585"/>
      <c r="F335" s="1585"/>
      <c r="G335" s="1585"/>
      <c r="H335" s="1585"/>
      <c r="I335" s="1585"/>
      <c r="J335" s="1585"/>
      <c r="N335" s="1772"/>
    </row>
    <row r="336" spans="1:14" x14ac:dyDescent="0.2">
      <c r="A336" s="1771"/>
      <c r="B336" s="1585"/>
      <c r="C336" s="1585"/>
      <c r="D336" s="1585"/>
      <c r="E336" s="1585"/>
      <c r="F336" s="1585"/>
      <c r="G336" s="1585"/>
      <c r="H336" s="1585"/>
      <c r="I336" s="1585"/>
      <c r="J336" s="1585"/>
      <c r="N336" s="1772"/>
    </row>
    <row r="337" spans="1:14" x14ac:dyDescent="0.2">
      <c r="A337" s="1771"/>
      <c r="B337" s="1585"/>
      <c r="C337" s="1585"/>
      <c r="D337" s="1585"/>
      <c r="E337" s="1585"/>
      <c r="F337" s="1585"/>
      <c r="G337" s="1585"/>
      <c r="H337" s="1585"/>
      <c r="I337" s="1585"/>
      <c r="J337" s="1585"/>
      <c r="N337" s="1772"/>
    </row>
    <row r="338" spans="1:14" x14ac:dyDescent="0.2">
      <c r="A338" s="1771"/>
      <c r="B338" s="1585"/>
      <c r="C338" s="1585"/>
      <c r="D338" s="1585"/>
      <c r="E338" s="1585"/>
      <c r="F338" s="1585"/>
      <c r="G338" s="1585"/>
      <c r="H338" s="1585"/>
      <c r="I338" s="1585"/>
      <c r="J338" s="1585"/>
      <c r="N338" s="1772"/>
    </row>
    <row r="339" spans="1:14" x14ac:dyDescent="0.2">
      <c r="A339" s="1771"/>
      <c r="B339" s="1585"/>
      <c r="C339" s="1585"/>
      <c r="D339" s="1585"/>
      <c r="E339" s="1585"/>
      <c r="F339" s="1585"/>
      <c r="G339" s="1585"/>
      <c r="H339" s="1585"/>
      <c r="I339" s="1585"/>
      <c r="J339" s="1585"/>
      <c r="N339" s="1772"/>
    </row>
    <row r="340" spans="1:14" x14ac:dyDescent="0.2">
      <c r="A340" s="1771"/>
      <c r="B340" s="1585"/>
      <c r="C340" s="1585"/>
      <c r="D340" s="1585"/>
      <c r="E340" s="1585"/>
      <c r="F340" s="1585"/>
      <c r="G340" s="1585"/>
      <c r="H340" s="1585"/>
      <c r="I340" s="1585"/>
      <c r="J340" s="1585"/>
      <c r="N340" s="1772"/>
    </row>
    <row r="341" spans="1:14" ht="12" thickBot="1" x14ac:dyDescent="0.25">
      <c r="A341" s="1773"/>
      <c r="B341" s="1774"/>
      <c r="C341" s="1774"/>
      <c r="D341" s="1774"/>
      <c r="E341" s="1774"/>
      <c r="F341" s="1774"/>
      <c r="G341" s="1774"/>
      <c r="H341" s="1774"/>
      <c r="I341" s="1774"/>
      <c r="J341" s="1774"/>
      <c r="K341" s="1774"/>
      <c r="L341" s="1774"/>
      <c r="M341" s="1775"/>
      <c r="N341" s="1776"/>
    </row>
    <row r="342" spans="1:14" x14ac:dyDescent="0.2">
      <c r="A342" s="1777"/>
      <c r="B342" s="1778"/>
      <c r="C342" s="1778"/>
      <c r="D342" s="1778"/>
      <c r="E342" s="1778"/>
      <c r="F342" s="1778"/>
      <c r="G342" s="1778"/>
      <c r="H342" s="1778"/>
      <c r="I342" s="1778"/>
      <c r="J342" s="1778"/>
      <c r="K342" s="1778"/>
      <c r="L342" s="1778"/>
      <c r="M342" s="1779"/>
      <c r="N342" s="1780"/>
    </row>
    <row r="343" spans="1:14" x14ac:dyDescent="0.2">
      <c r="A343" s="1771"/>
      <c r="B343" s="1585"/>
      <c r="C343" s="1585"/>
      <c r="D343" s="1585"/>
      <c r="E343" s="1585"/>
      <c r="F343" s="1585"/>
      <c r="G343" s="1585"/>
      <c r="H343" s="1585"/>
      <c r="I343" s="1585"/>
      <c r="J343" s="1585"/>
      <c r="N343" s="1772"/>
    </row>
    <row r="344" spans="1:14" x14ac:dyDescent="0.2">
      <c r="A344" s="1771"/>
      <c r="B344" s="1585"/>
      <c r="C344" s="1585"/>
      <c r="D344" s="1585"/>
      <c r="E344" s="1585"/>
      <c r="F344" s="1585"/>
      <c r="G344" s="1585"/>
      <c r="H344" s="1585"/>
      <c r="I344" s="1585"/>
      <c r="J344" s="1585"/>
      <c r="N344" s="1772"/>
    </row>
    <row r="345" spans="1:14" x14ac:dyDescent="0.2">
      <c r="A345" s="1771"/>
      <c r="B345" s="1585"/>
      <c r="C345" s="1585"/>
      <c r="D345" s="1585"/>
      <c r="E345" s="1585"/>
      <c r="F345" s="1585"/>
      <c r="G345" s="1585"/>
      <c r="H345" s="1585"/>
      <c r="I345" s="1585"/>
      <c r="J345" s="1585"/>
      <c r="N345" s="1772"/>
    </row>
    <row r="346" spans="1:14" x14ac:dyDescent="0.2">
      <c r="A346" s="1771"/>
      <c r="B346" s="1585"/>
      <c r="C346" s="1585"/>
      <c r="D346" s="1585"/>
      <c r="E346" s="1585"/>
      <c r="F346" s="1585"/>
      <c r="G346" s="1585"/>
      <c r="H346" s="1585"/>
      <c r="I346" s="1585"/>
      <c r="J346" s="1585"/>
      <c r="N346" s="1772"/>
    </row>
    <row r="347" spans="1:14" x14ac:dyDescent="0.2">
      <c r="A347" s="1771"/>
      <c r="B347" s="1585"/>
      <c r="C347" s="1585"/>
      <c r="D347" s="1585"/>
      <c r="E347" s="1585"/>
      <c r="F347" s="1585"/>
      <c r="G347" s="1585"/>
      <c r="H347" s="1585"/>
      <c r="I347" s="1585"/>
      <c r="J347" s="1585"/>
      <c r="N347" s="1772"/>
    </row>
    <row r="348" spans="1:14" x14ac:dyDescent="0.2">
      <c r="A348" s="1771"/>
      <c r="B348" s="1585"/>
      <c r="C348" s="1585"/>
      <c r="D348" s="1585"/>
      <c r="E348" s="1585"/>
      <c r="F348" s="1585"/>
      <c r="G348" s="1585"/>
      <c r="H348" s="1585"/>
      <c r="I348" s="1585"/>
      <c r="J348" s="1585"/>
      <c r="N348" s="1772"/>
    </row>
    <row r="349" spans="1:14" x14ac:dyDescent="0.2">
      <c r="A349" s="1771"/>
      <c r="B349" s="1585"/>
      <c r="C349" s="1585"/>
      <c r="D349" s="1585"/>
      <c r="E349" s="1585"/>
      <c r="F349" s="1585"/>
      <c r="G349" s="1585"/>
      <c r="H349" s="1585"/>
      <c r="I349" s="1585"/>
      <c r="J349" s="1585"/>
      <c r="N349" s="1772"/>
    </row>
    <row r="350" spans="1:14" ht="12" thickBot="1" x14ac:dyDescent="0.25">
      <c r="A350" s="1773"/>
      <c r="B350" s="1774"/>
      <c r="C350" s="1774"/>
      <c r="D350" s="1774"/>
      <c r="E350" s="1774"/>
      <c r="F350" s="1774"/>
      <c r="G350" s="1774"/>
      <c r="H350" s="1774"/>
      <c r="I350" s="1774"/>
      <c r="J350" s="1774"/>
      <c r="K350" s="1774"/>
      <c r="L350" s="1774"/>
      <c r="M350" s="1775"/>
      <c r="N350" s="1776"/>
    </row>
    <row r="351" spans="1:14" x14ac:dyDescent="0.2">
      <c r="E351" s="1585"/>
      <c r="F351" s="1585"/>
      <c r="G351" s="1585"/>
      <c r="H351" s="1585"/>
      <c r="I351" s="1585"/>
      <c r="J351" s="1585"/>
      <c r="N351" s="1793"/>
    </row>
    <row r="352" spans="1:14" x14ac:dyDescent="0.2">
      <c r="E352" s="1585"/>
      <c r="F352" s="1585"/>
      <c r="G352" s="1585"/>
      <c r="H352" s="1585"/>
      <c r="I352" s="1585"/>
      <c r="J352" s="1585"/>
      <c r="N352" s="1793"/>
    </row>
    <row r="353" spans="5:14" x14ac:dyDescent="0.2">
      <c r="E353" s="1585"/>
      <c r="F353" s="1585"/>
      <c r="G353" s="1585"/>
      <c r="H353" s="1585"/>
      <c r="I353" s="1585"/>
      <c r="J353" s="1585"/>
      <c r="N353" s="1793"/>
    </row>
    <row r="354" spans="5:14" x14ac:dyDescent="0.2">
      <c r="E354" s="1585"/>
      <c r="F354" s="1585"/>
      <c r="G354" s="1585"/>
      <c r="H354" s="1585"/>
      <c r="I354" s="1585"/>
      <c r="J354" s="1585"/>
      <c r="N354" s="1793"/>
    </row>
    <row r="355" spans="5:14" x14ac:dyDescent="0.2">
      <c r="E355" s="1585"/>
      <c r="F355" s="1585"/>
      <c r="G355" s="1585"/>
      <c r="H355" s="1585"/>
      <c r="I355" s="1585"/>
      <c r="J355" s="1585"/>
      <c r="N355" s="1793"/>
    </row>
    <row r="356" spans="5:14" x14ac:dyDescent="0.2">
      <c r="E356" s="1585"/>
      <c r="F356" s="1585"/>
      <c r="G356" s="1585"/>
      <c r="H356" s="1585"/>
      <c r="I356" s="1585"/>
      <c r="J356" s="1585"/>
      <c r="N356" s="1793"/>
    </row>
    <row r="357" spans="5:14" x14ac:dyDescent="0.2">
      <c r="E357" s="1585"/>
      <c r="F357" s="1585"/>
      <c r="G357" s="1585"/>
      <c r="H357" s="1585"/>
      <c r="I357" s="1585"/>
      <c r="J357" s="1585"/>
      <c r="N357" s="1793"/>
    </row>
    <row r="358" spans="5:14" x14ac:dyDescent="0.2">
      <c r="E358" s="1585"/>
      <c r="F358" s="1585"/>
      <c r="G358" s="1585"/>
      <c r="H358" s="1585"/>
      <c r="I358" s="1585"/>
      <c r="J358" s="1585"/>
      <c r="N358" s="1793"/>
    </row>
    <row r="359" spans="5:14" x14ac:dyDescent="0.2">
      <c r="E359" s="1585"/>
      <c r="F359" s="1585"/>
      <c r="G359" s="1585"/>
      <c r="H359" s="1585"/>
      <c r="I359" s="1585"/>
      <c r="J359" s="1585"/>
      <c r="N359" s="1793"/>
    </row>
    <row r="360" spans="5:14" x14ac:dyDescent="0.2">
      <c r="E360" s="1585"/>
      <c r="F360" s="1585"/>
      <c r="G360" s="1585"/>
      <c r="H360" s="1585"/>
      <c r="I360" s="1585"/>
      <c r="J360" s="1585"/>
      <c r="N360" s="1793"/>
    </row>
    <row r="361" spans="5:14" x14ac:dyDescent="0.2">
      <c r="E361" s="1585"/>
      <c r="F361" s="1585"/>
      <c r="G361" s="1585"/>
      <c r="H361" s="1585"/>
      <c r="I361" s="1585"/>
      <c r="J361" s="1585"/>
      <c r="N361" s="1793"/>
    </row>
    <row r="362" spans="5:14" x14ac:dyDescent="0.2">
      <c r="E362" s="1585"/>
      <c r="F362" s="1585"/>
      <c r="G362" s="1585"/>
      <c r="H362" s="1585"/>
      <c r="I362" s="1585"/>
      <c r="J362" s="1585"/>
      <c r="N362" s="1793"/>
    </row>
    <row r="363" spans="5:14" x14ac:dyDescent="0.2">
      <c r="E363" s="1585"/>
      <c r="F363" s="1585"/>
      <c r="G363" s="1585"/>
      <c r="H363" s="1585"/>
      <c r="I363" s="1585"/>
      <c r="J363" s="1585"/>
      <c r="N363" s="1793"/>
    </row>
    <row r="364" spans="5:14" x14ac:dyDescent="0.2">
      <c r="E364" s="1585"/>
      <c r="F364" s="1585"/>
      <c r="G364" s="1585"/>
      <c r="H364" s="1585"/>
      <c r="I364" s="1585"/>
      <c r="J364" s="1585"/>
      <c r="N364" s="1793"/>
    </row>
    <row r="365" spans="5:14" x14ac:dyDescent="0.2">
      <c r="E365" s="1585"/>
      <c r="F365" s="1585"/>
      <c r="G365" s="1585"/>
      <c r="H365" s="1585"/>
      <c r="I365" s="1585"/>
      <c r="J365" s="1585"/>
      <c r="N365" s="1793"/>
    </row>
    <row r="366" spans="5:14" x14ac:dyDescent="0.2">
      <c r="E366" s="1585"/>
      <c r="F366" s="1585"/>
      <c r="G366" s="1585"/>
      <c r="H366" s="1585"/>
      <c r="I366" s="1585"/>
      <c r="J366" s="1585"/>
      <c r="N366" s="1793"/>
    </row>
    <row r="367" spans="5:14" x14ac:dyDescent="0.2">
      <c r="E367" s="1585"/>
      <c r="F367" s="1585"/>
      <c r="G367" s="1585"/>
      <c r="H367" s="1585"/>
      <c r="I367" s="1585"/>
      <c r="J367" s="1585"/>
      <c r="N367" s="1793"/>
    </row>
    <row r="368" spans="5:14" x14ac:dyDescent="0.2">
      <c r="E368" s="1585"/>
      <c r="F368" s="1585"/>
      <c r="G368" s="1585"/>
      <c r="H368" s="1585"/>
      <c r="I368" s="1585"/>
      <c r="J368" s="1585"/>
      <c r="N368" s="1793"/>
    </row>
    <row r="369" spans="1:14" ht="12" thickBot="1" x14ac:dyDescent="0.25">
      <c r="E369" s="1585"/>
      <c r="F369" s="1585"/>
      <c r="G369" s="1585"/>
      <c r="H369" s="1585"/>
      <c r="I369" s="1585"/>
      <c r="J369" s="1585"/>
      <c r="N369" s="1793"/>
    </row>
    <row r="370" spans="1:14" x14ac:dyDescent="0.2">
      <c r="A370" s="1777"/>
      <c r="B370" s="1778"/>
      <c r="C370" s="1778"/>
      <c r="D370" s="1778"/>
      <c r="E370" s="1778"/>
      <c r="F370" s="1778"/>
      <c r="G370" s="1778"/>
      <c r="H370" s="1778"/>
      <c r="I370" s="1778"/>
      <c r="J370" s="1778"/>
      <c r="K370" s="1778"/>
      <c r="L370" s="1778"/>
      <c r="M370" s="1779"/>
      <c r="N370" s="1780"/>
    </row>
    <row r="371" spans="1:14" x14ac:dyDescent="0.2">
      <c r="A371" s="1771"/>
      <c r="B371" s="1585"/>
      <c r="C371" s="1585"/>
      <c r="D371" s="1585"/>
      <c r="E371" s="1585"/>
      <c r="F371" s="1585"/>
      <c r="G371" s="1585"/>
      <c r="H371" s="1585"/>
      <c r="I371" s="1585"/>
      <c r="J371" s="1585"/>
      <c r="N371" s="1772"/>
    </row>
    <row r="372" spans="1:14" x14ac:dyDescent="0.2">
      <c r="A372" s="1771"/>
      <c r="B372" s="1585"/>
      <c r="C372" s="1585"/>
      <c r="D372" s="1585"/>
      <c r="E372" s="1585"/>
      <c r="F372" s="1585"/>
      <c r="G372" s="1585"/>
      <c r="H372" s="1585"/>
      <c r="I372" s="1585"/>
      <c r="J372" s="1585"/>
      <c r="N372" s="1772"/>
    </row>
    <row r="373" spans="1:14" x14ac:dyDescent="0.2">
      <c r="A373" s="1771"/>
      <c r="B373" s="1585"/>
      <c r="C373" s="1585"/>
      <c r="D373" s="1585"/>
      <c r="E373" s="1585"/>
      <c r="F373" s="1585"/>
      <c r="G373" s="1585"/>
      <c r="H373" s="1585"/>
      <c r="I373" s="1585"/>
      <c r="J373" s="1585"/>
      <c r="N373" s="1772"/>
    </row>
    <row r="374" spans="1:14" x14ac:dyDescent="0.2">
      <c r="A374" s="1771"/>
      <c r="B374" s="1585"/>
      <c r="C374" s="1585"/>
      <c r="D374" s="1585"/>
      <c r="E374" s="1585"/>
      <c r="F374" s="1585"/>
      <c r="G374" s="1585"/>
      <c r="H374" s="1585"/>
      <c r="I374" s="1585"/>
      <c r="J374" s="1585"/>
      <c r="N374" s="1772"/>
    </row>
    <row r="375" spans="1:14" x14ac:dyDescent="0.2">
      <c r="A375" s="1771"/>
      <c r="B375" s="1585"/>
      <c r="C375" s="1585"/>
      <c r="D375" s="1585"/>
      <c r="E375" s="1585"/>
      <c r="F375" s="1585"/>
      <c r="G375" s="1585"/>
      <c r="H375" s="1585"/>
      <c r="I375" s="1585"/>
      <c r="J375" s="1585"/>
      <c r="N375" s="1772"/>
    </row>
    <row r="376" spans="1:14" x14ac:dyDescent="0.2">
      <c r="A376" s="1771"/>
      <c r="B376" s="1585"/>
      <c r="C376" s="1585"/>
      <c r="D376" s="1585"/>
      <c r="E376" s="1585"/>
      <c r="F376" s="1585"/>
      <c r="G376" s="1585"/>
      <c r="H376" s="1585"/>
      <c r="I376" s="1585"/>
      <c r="J376" s="1585"/>
      <c r="N376" s="1772"/>
    </row>
    <row r="377" spans="1:14" x14ac:dyDescent="0.2">
      <c r="A377" s="1771"/>
      <c r="B377" s="1585"/>
      <c r="C377" s="1585"/>
      <c r="D377" s="1585"/>
      <c r="E377" s="1585"/>
      <c r="F377" s="1585"/>
      <c r="G377" s="1585"/>
      <c r="H377" s="1585"/>
      <c r="I377" s="1585"/>
      <c r="J377" s="1585"/>
      <c r="N377" s="1772"/>
    </row>
    <row r="378" spans="1:14" ht="12" thickBot="1" x14ac:dyDescent="0.25">
      <c r="A378" s="1773"/>
      <c r="B378" s="1774"/>
      <c r="C378" s="1774"/>
      <c r="D378" s="1774"/>
      <c r="E378" s="1774"/>
      <c r="F378" s="1774"/>
      <c r="G378" s="1774"/>
      <c r="H378" s="1774"/>
      <c r="I378" s="1774"/>
      <c r="J378" s="1774"/>
      <c r="K378" s="1774"/>
      <c r="L378" s="1774"/>
      <c r="M378" s="1775"/>
      <c r="N378" s="1776"/>
    </row>
    <row r="379" spans="1:14" x14ac:dyDescent="0.2">
      <c r="E379" s="1585"/>
      <c r="F379" s="1585"/>
      <c r="G379" s="1585"/>
      <c r="H379" s="1585"/>
      <c r="I379" s="1585"/>
      <c r="J379" s="1585"/>
      <c r="N379" s="1793"/>
    </row>
    <row r="380" spans="1:14" x14ac:dyDescent="0.2">
      <c r="E380" s="1585"/>
      <c r="F380" s="1585"/>
      <c r="G380" s="1585"/>
      <c r="H380" s="1585"/>
      <c r="I380" s="1585"/>
      <c r="J380" s="1585"/>
      <c r="N380" s="1793"/>
    </row>
    <row r="381" spans="1:14" x14ac:dyDescent="0.2">
      <c r="E381" s="1585"/>
      <c r="F381" s="1585"/>
      <c r="G381" s="1585"/>
      <c r="H381" s="1585"/>
      <c r="I381" s="1585"/>
      <c r="J381" s="1585"/>
      <c r="N381" s="1793"/>
    </row>
    <row r="382" spans="1:14" x14ac:dyDescent="0.2">
      <c r="E382" s="1585"/>
      <c r="F382" s="1585"/>
      <c r="G382" s="1585"/>
      <c r="H382" s="1585"/>
      <c r="I382" s="1585"/>
      <c r="J382" s="1585"/>
      <c r="N382" s="1793"/>
    </row>
    <row r="383" spans="1:14" x14ac:dyDescent="0.2">
      <c r="E383" s="1585"/>
      <c r="F383" s="1585"/>
      <c r="G383" s="1585"/>
      <c r="H383" s="1585"/>
      <c r="I383" s="1585"/>
      <c r="J383" s="1585"/>
      <c r="N383" s="1793"/>
    </row>
    <row r="384" spans="1:14" x14ac:dyDescent="0.2">
      <c r="E384" s="1585"/>
      <c r="F384" s="1585"/>
      <c r="G384" s="1585"/>
      <c r="H384" s="1585"/>
      <c r="I384" s="1585"/>
      <c r="J384" s="1585"/>
      <c r="N384" s="1793"/>
    </row>
    <row r="385" spans="1:14" x14ac:dyDescent="0.2">
      <c r="E385" s="1585"/>
      <c r="F385" s="1585"/>
      <c r="G385" s="1585"/>
      <c r="H385" s="1585"/>
      <c r="I385" s="1585"/>
      <c r="J385" s="1585"/>
      <c r="N385" s="1793"/>
    </row>
    <row r="386" spans="1:14" x14ac:dyDescent="0.2">
      <c r="E386" s="1585"/>
      <c r="F386" s="1585"/>
      <c r="G386" s="1585"/>
      <c r="H386" s="1585"/>
      <c r="I386" s="1585"/>
      <c r="J386" s="1585"/>
      <c r="N386" s="1793"/>
    </row>
    <row r="387" spans="1:14" ht="12" thickBot="1" x14ac:dyDescent="0.25">
      <c r="E387" s="1585"/>
      <c r="F387" s="1585"/>
      <c r="G387" s="1585"/>
      <c r="H387" s="1585"/>
      <c r="I387" s="1585"/>
      <c r="J387" s="1585"/>
      <c r="N387" s="1793"/>
    </row>
    <row r="388" spans="1:14" x14ac:dyDescent="0.2">
      <c r="A388" s="1777"/>
      <c r="B388" s="1778"/>
      <c r="C388" s="1778"/>
      <c r="D388" s="1778"/>
      <c r="E388" s="1778"/>
      <c r="F388" s="1778"/>
      <c r="G388" s="1778"/>
      <c r="H388" s="1778"/>
      <c r="I388" s="1778"/>
      <c r="J388" s="1778"/>
      <c r="K388" s="1778"/>
      <c r="L388" s="1778"/>
      <c r="M388" s="1779"/>
      <c r="N388" s="1780"/>
    </row>
    <row r="389" spans="1:14" x14ac:dyDescent="0.2">
      <c r="A389" s="1771"/>
      <c r="B389" s="1585"/>
      <c r="C389" s="1585"/>
      <c r="D389" s="1585"/>
      <c r="E389" s="1585"/>
      <c r="F389" s="1585"/>
      <c r="G389" s="1585"/>
      <c r="H389" s="1585"/>
      <c r="I389" s="1585"/>
      <c r="J389" s="1585"/>
      <c r="N389" s="1772"/>
    </row>
    <row r="390" spans="1:14" x14ac:dyDescent="0.2">
      <c r="A390" s="1771"/>
      <c r="B390" s="1585"/>
      <c r="C390" s="1585"/>
      <c r="D390" s="1585"/>
      <c r="E390" s="1585"/>
      <c r="F390" s="1585"/>
      <c r="G390" s="1585"/>
      <c r="H390" s="1585"/>
      <c r="I390" s="1585"/>
      <c r="J390" s="1585"/>
      <c r="N390" s="1772"/>
    </row>
    <row r="391" spans="1:14" x14ac:dyDescent="0.2">
      <c r="A391" s="1771"/>
      <c r="B391" s="1585"/>
      <c r="C391" s="1585"/>
      <c r="D391" s="1585"/>
      <c r="E391" s="1585"/>
      <c r="F391" s="1585"/>
      <c r="G391" s="1585"/>
      <c r="H391" s="1585"/>
      <c r="I391" s="1585"/>
      <c r="J391" s="1585"/>
      <c r="N391" s="1772"/>
    </row>
    <row r="392" spans="1:14" x14ac:dyDescent="0.2">
      <c r="A392" s="1771"/>
      <c r="B392" s="1585"/>
      <c r="C392" s="1585"/>
      <c r="D392" s="1585"/>
      <c r="E392" s="1585"/>
      <c r="F392" s="1585"/>
      <c r="G392" s="1585"/>
      <c r="H392" s="1585"/>
      <c r="I392" s="1585"/>
      <c r="J392" s="1585"/>
      <c r="N392" s="1772"/>
    </row>
    <row r="393" spans="1:14" x14ac:dyDescent="0.2">
      <c r="A393" s="1771"/>
      <c r="B393" s="1585"/>
      <c r="C393" s="1585"/>
      <c r="D393" s="1585"/>
      <c r="E393" s="1585"/>
      <c r="F393" s="1585"/>
      <c r="G393" s="1585"/>
      <c r="H393" s="1585"/>
      <c r="I393" s="1585"/>
      <c r="J393" s="1585"/>
      <c r="N393" s="1772"/>
    </row>
    <row r="394" spans="1:14" x14ac:dyDescent="0.2">
      <c r="A394" s="1771"/>
      <c r="B394" s="1585"/>
      <c r="C394" s="1585"/>
      <c r="D394" s="1585"/>
      <c r="E394" s="1585"/>
      <c r="F394" s="1585"/>
      <c r="G394" s="1585"/>
      <c r="H394" s="1585"/>
      <c r="I394" s="1585"/>
      <c r="J394" s="1585"/>
      <c r="N394" s="1772"/>
    </row>
    <row r="395" spans="1:14" x14ac:dyDescent="0.2">
      <c r="A395" s="1771"/>
      <c r="B395" s="1585"/>
      <c r="C395" s="1585"/>
      <c r="D395" s="1585"/>
      <c r="E395" s="1585"/>
      <c r="F395" s="1585"/>
      <c r="G395" s="1585"/>
      <c r="H395" s="1585"/>
      <c r="I395" s="1585"/>
      <c r="J395" s="1585"/>
      <c r="N395" s="1772"/>
    </row>
    <row r="396" spans="1:14" ht="12" thickBot="1" x14ac:dyDescent="0.25">
      <c r="A396" s="1773"/>
      <c r="B396" s="1774"/>
      <c r="C396" s="1774"/>
      <c r="D396" s="1774"/>
      <c r="E396" s="1774"/>
      <c r="F396" s="1774"/>
      <c r="G396" s="1774"/>
      <c r="H396" s="1774"/>
      <c r="I396" s="1774"/>
      <c r="J396" s="1774"/>
      <c r="K396" s="1774"/>
      <c r="L396" s="1774"/>
      <c r="M396" s="1775"/>
      <c r="N396" s="1776"/>
    </row>
    <row r="397" spans="1:14" x14ac:dyDescent="0.2">
      <c r="E397" s="1585"/>
      <c r="F397" s="1585"/>
      <c r="G397" s="1585"/>
      <c r="H397" s="1585"/>
      <c r="I397" s="1585"/>
      <c r="J397" s="1585"/>
      <c r="N397" s="1793"/>
    </row>
    <row r="398" spans="1:14" x14ac:dyDescent="0.2">
      <c r="E398" s="1585"/>
      <c r="F398" s="1585"/>
      <c r="G398" s="1585"/>
      <c r="H398" s="1585"/>
      <c r="I398" s="1585"/>
      <c r="J398" s="1585"/>
      <c r="N398" s="1793"/>
    </row>
    <row r="399" spans="1:14" x14ac:dyDescent="0.2">
      <c r="E399" s="1585"/>
      <c r="F399" s="1585"/>
      <c r="G399" s="1585"/>
      <c r="H399" s="1585"/>
      <c r="I399" s="1585"/>
      <c r="J399" s="1585"/>
      <c r="N399" s="1793"/>
    </row>
    <row r="400" spans="1:14" x14ac:dyDescent="0.2">
      <c r="E400" s="1585"/>
      <c r="F400" s="1585"/>
      <c r="G400" s="1585"/>
      <c r="H400" s="1585"/>
      <c r="I400" s="1585"/>
      <c r="J400" s="1585"/>
      <c r="N400" s="1793"/>
    </row>
    <row r="401" spans="5:14" x14ac:dyDescent="0.2">
      <c r="E401" s="1585"/>
      <c r="F401" s="1585"/>
      <c r="G401" s="1585"/>
      <c r="H401" s="1585"/>
      <c r="I401" s="1585"/>
      <c r="J401" s="1585"/>
      <c r="N401" s="1793"/>
    </row>
    <row r="402" spans="5:14" x14ac:dyDescent="0.2">
      <c r="E402" s="1585"/>
      <c r="F402" s="1585"/>
      <c r="G402" s="1585"/>
      <c r="H402" s="1585"/>
      <c r="I402" s="1585"/>
      <c r="J402" s="1585"/>
      <c r="N402" s="1793"/>
    </row>
    <row r="403" spans="5:14" x14ac:dyDescent="0.2">
      <c r="E403" s="1585"/>
      <c r="F403" s="1585"/>
      <c r="G403" s="1585"/>
      <c r="H403" s="1585"/>
      <c r="I403" s="1585"/>
      <c r="J403" s="1585"/>
      <c r="N403" s="1793"/>
    </row>
    <row r="404" spans="5:14" x14ac:dyDescent="0.2">
      <c r="E404" s="1585"/>
      <c r="F404" s="1585"/>
      <c r="G404" s="1585"/>
      <c r="H404" s="1585"/>
      <c r="I404" s="1585"/>
      <c r="J404" s="1585"/>
      <c r="N404" s="1793"/>
    </row>
    <row r="405" spans="5:14" x14ac:dyDescent="0.2">
      <c r="E405" s="1585"/>
      <c r="F405" s="1585"/>
      <c r="G405" s="1585"/>
      <c r="H405" s="1585"/>
      <c r="I405" s="1585"/>
      <c r="J405" s="1585"/>
      <c r="N405" s="1793"/>
    </row>
    <row r="406" spans="5:14" x14ac:dyDescent="0.2">
      <c r="E406" s="1585"/>
      <c r="F406" s="1585"/>
      <c r="G406" s="1585"/>
      <c r="H406" s="1585"/>
      <c r="I406" s="1585"/>
      <c r="J406" s="1585"/>
      <c r="N406" s="1793"/>
    </row>
    <row r="407" spans="5:14" x14ac:dyDescent="0.2">
      <c r="E407" s="1585"/>
      <c r="F407" s="1585"/>
      <c r="G407" s="1585"/>
      <c r="H407" s="1585"/>
      <c r="I407" s="1585"/>
      <c r="J407" s="1585"/>
      <c r="N407" s="1793"/>
    </row>
    <row r="408" spans="5:14" x14ac:dyDescent="0.2">
      <c r="E408" s="1585"/>
      <c r="F408" s="1585"/>
      <c r="G408" s="1585"/>
      <c r="H408" s="1585"/>
      <c r="I408" s="1585"/>
      <c r="J408" s="1585"/>
      <c r="N408" s="1793"/>
    </row>
    <row r="409" spans="5:14" x14ac:dyDescent="0.2">
      <c r="E409" s="1585"/>
      <c r="F409" s="1585"/>
      <c r="G409" s="1585"/>
      <c r="H409" s="1585"/>
      <c r="I409" s="1585"/>
      <c r="J409" s="1585"/>
      <c r="N409" s="1793"/>
    </row>
    <row r="410" spans="5:14" x14ac:dyDescent="0.2">
      <c r="E410" s="1585"/>
      <c r="F410" s="1585"/>
      <c r="G410" s="1585"/>
      <c r="H410" s="1585"/>
      <c r="I410" s="1585"/>
      <c r="J410" s="1585"/>
      <c r="N410" s="1793"/>
    </row>
    <row r="411" spans="5:14" x14ac:dyDescent="0.2">
      <c r="E411" s="1585"/>
      <c r="F411" s="1585"/>
      <c r="G411" s="1585"/>
      <c r="H411" s="1585"/>
      <c r="I411" s="1585"/>
      <c r="J411" s="1585"/>
      <c r="N411" s="1793"/>
    </row>
    <row r="412" spans="5:14" x14ac:dyDescent="0.2">
      <c r="E412" s="1585"/>
      <c r="F412" s="1585"/>
      <c r="G412" s="1585"/>
      <c r="H412" s="1585"/>
      <c r="I412" s="1585"/>
      <c r="J412" s="1585"/>
      <c r="N412" s="1793"/>
    </row>
    <row r="413" spans="5:14" x14ac:dyDescent="0.2">
      <c r="E413" s="1585"/>
      <c r="F413" s="1585"/>
      <c r="G413" s="1585"/>
      <c r="H413" s="1585"/>
      <c r="I413" s="1585"/>
      <c r="J413" s="1585"/>
      <c r="N413" s="1793"/>
    </row>
    <row r="414" spans="5:14" x14ac:dyDescent="0.2">
      <c r="E414" s="1585"/>
      <c r="F414" s="1585"/>
      <c r="G414" s="1585"/>
      <c r="H414" s="1585"/>
      <c r="I414" s="1585"/>
      <c r="J414" s="1585"/>
      <c r="N414" s="1793"/>
    </row>
    <row r="415" spans="5:14" x14ac:dyDescent="0.2">
      <c r="E415" s="1585"/>
      <c r="F415" s="1585"/>
      <c r="G415" s="1585"/>
      <c r="H415" s="1585"/>
      <c r="I415" s="1585"/>
      <c r="J415" s="1585"/>
      <c r="N415" s="1793"/>
    </row>
    <row r="416" spans="5:14" x14ac:dyDescent="0.2">
      <c r="E416" s="1585"/>
      <c r="F416" s="1585"/>
      <c r="G416" s="1585"/>
      <c r="H416" s="1585"/>
      <c r="I416" s="1585"/>
      <c r="J416" s="1585"/>
      <c r="N416" s="1793"/>
    </row>
    <row r="417" spans="1:14" x14ac:dyDescent="0.2">
      <c r="E417" s="1585"/>
      <c r="F417" s="1585"/>
      <c r="G417" s="1585"/>
      <c r="H417" s="1585"/>
      <c r="I417" s="1585"/>
      <c r="J417" s="1585"/>
      <c r="N417" s="1793"/>
    </row>
    <row r="418" spans="1:14" x14ac:dyDescent="0.2">
      <c r="E418" s="1585"/>
      <c r="F418" s="1585"/>
      <c r="G418" s="1585"/>
      <c r="H418" s="1585"/>
      <c r="I418" s="1585"/>
      <c r="J418" s="1585"/>
      <c r="N418" s="1793"/>
    </row>
    <row r="419" spans="1:14" x14ac:dyDescent="0.2">
      <c r="E419" s="1585"/>
      <c r="F419" s="1585"/>
      <c r="G419" s="1585"/>
      <c r="H419" s="1585"/>
      <c r="I419" s="1585"/>
      <c r="J419" s="1585"/>
      <c r="N419" s="1793"/>
    </row>
    <row r="420" spans="1:14" x14ac:dyDescent="0.2">
      <c r="E420" s="1585"/>
      <c r="F420" s="1585"/>
      <c r="G420" s="1585"/>
      <c r="H420" s="1585"/>
      <c r="I420" s="1585"/>
      <c r="J420" s="1585"/>
      <c r="N420" s="1793"/>
    </row>
    <row r="421" spans="1:14" x14ac:dyDescent="0.2">
      <c r="E421" s="1585"/>
      <c r="F421" s="1585"/>
      <c r="G421" s="1585"/>
      <c r="H421" s="1585"/>
      <c r="I421" s="1585"/>
      <c r="J421" s="1585"/>
      <c r="N421" s="1793"/>
    </row>
    <row r="422" spans="1:14" x14ac:dyDescent="0.2">
      <c r="E422" s="1585"/>
      <c r="F422" s="1585"/>
      <c r="G422" s="1585"/>
      <c r="H422" s="1585"/>
      <c r="I422" s="1585"/>
      <c r="J422" s="1585"/>
      <c r="N422" s="1793"/>
    </row>
    <row r="423" spans="1:14" ht="12" thickBot="1" x14ac:dyDescent="0.25">
      <c r="E423" s="1585"/>
      <c r="F423" s="1585"/>
      <c r="G423" s="1585"/>
      <c r="H423" s="1585"/>
      <c r="I423" s="1585"/>
      <c r="J423" s="1585"/>
      <c r="N423" s="1793"/>
    </row>
    <row r="424" spans="1:14" x14ac:dyDescent="0.2">
      <c r="A424" s="1777"/>
      <c r="B424" s="1778"/>
      <c r="C424" s="1778"/>
      <c r="D424" s="1778"/>
      <c r="E424" s="1778"/>
      <c r="F424" s="1778"/>
      <c r="G424" s="1778"/>
      <c r="H424" s="1778"/>
      <c r="I424" s="1778"/>
      <c r="J424" s="1778"/>
      <c r="K424" s="1778"/>
      <c r="L424" s="1778"/>
      <c r="M424" s="1779"/>
      <c r="N424" s="1780"/>
    </row>
    <row r="425" spans="1:14" x14ac:dyDescent="0.2">
      <c r="A425" s="1771"/>
      <c r="B425" s="1585"/>
      <c r="C425" s="1585"/>
      <c r="D425" s="1585"/>
      <c r="E425" s="1585"/>
      <c r="F425" s="1585"/>
      <c r="G425" s="1585"/>
      <c r="H425" s="1585"/>
      <c r="I425" s="1585"/>
      <c r="J425" s="1585"/>
      <c r="N425" s="1772"/>
    </row>
    <row r="426" spans="1:14" x14ac:dyDescent="0.2">
      <c r="A426" s="1771"/>
      <c r="B426" s="1585"/>
      <c r="C426" s="1585"/>
      <c r="D426" s="1585"/>
      <c r="E426" s="1585"/>
      <c r="F426" s="1585"/>
      <c r="G426" s="1585"/>
      <c r="H426" s="1585"/>
      <c r="I426" s="1585"/>
      <c r="J426" s="1585"/>
      <c r="N426" s="1772"/>
    </row>
    <row r="427" spans="1:14" x14ac:dyDescent="0.2">
      <c r="A427" s="1771"/>
      <c r="B427" s="1585"/>
      <c r="C427" s="1585"/>
      <c r="D427" s="1585"/>
      <c r="E427" s="1585"/>
      <c r="F427" s="1585"/>
      <c r="G427" s="1585"/>
      <c r="H427" s="1585"/>
      <c r="I427" s="1585"/>
      <c r="J427" s="1585"/>
      <c r="N427" s="1772"/>
    </row>
    <row r="428" spans="1:14" x14ac:dyDescent="0.2">
      <c r="A428" s="1771"/>
      <c r="B428" s="1585"/>
      <c r="C428" s="1585"/>
      <c r="D428" s="1585"/>
      <c r="E428" s="1585"/>
      <c r="F428" s="1585"/>
      <c r="G428" s="1585"/>
      <c r="H428" s="1585"/>
      <c r="I428" s="1585"/>
      <c r="J428" s="1585"/>
      <c r="N428" s="1772"/>
    </row>
    <row r="429" spans="1:14" x14ac:dyDescent="0.2">
      <c r="A429" s="1771"/>
      <c r="B429" s="1585"/>
      <c r="C429" s="1585"/>
      <c r="D429" s="1585"/>
      <c r="E429" s="1585"/>
      <c r="F429" s="1585"/>
      <c r="G429" s="1585"/>
      <c r="H429" s="1585"/>
      <c r="I429" s="1585"/>
      <c r="J429" s="1585"/>
      <c r="N429" s="1772"/>
    </row>
    <row r="430" spans="1:14" x14ac:dyDescent="0.2">
      <c r="A430" s="1771"/>
      <c r="B430" s="1585"/>
      <c r="C430" s="1585"/>
      <c r="D430" s="1585"/>
      <c r="E430" s="1585"/>
      <c r="F430" s="1585"/>
      <c r="G430" s="1585"/>
      <c r="H430" s="1585"/>
      <c r="I430" s="1585"/>
      <c r="J430" s="1585"/>
      <c r="N430" s="1772"/>
    </row>
    <row r="431" spans="1:14" x14ac:dyDescent="0.2">
      <c r="A431" s="1771"/>
      <c r="B431" s="1585"/>
      <c r="C431" s="1585"/>
      <c r="D431" s="1585"/>
      <c r="E431" s="1585"/>
      <c r="F431" s="1585"/>
      <c r="G431" s="1585"/>
      <c r="H431" s="1585"/>
      <c r="I431" s="1585"/>
      <c r="J431" s="1585"/>
      <c r="N431" s="1772"/>
    </row>
    <row r="432" spans="1:14" x14ac:dyDescent="0.2">
      <c r="A432" s="1771"/>
      <c r="B432" s="1585"/>
      <c r="C432" s="1585"/>
      <c r="D432" s="1585"/>
      <c r="E432" s="1585"/>
      <c r="F432" s="1585"/>
      <c r="G432" s="1585"/>
      <c r="H432" s="1585"/>
      <c r="I432" s="1585"/>
      <c r="J432" s="1585"/>
      <c r="N432" s="1772"/>
    </row>
    <row r="433" spans="1:14" x14ac:dyDescent="0.2">
      <c r="A433" s="1771"/>
      <c r="B433" s="1585"/>
      <c r="C433" s="1585"/>
      <c r="D433" s="1585"/>
      <c r="E433" s="1585"/>
      <c r="F433" s="1585"/>
      <c r="G433" s="1585"/>
      <c r="H433" s="1585"/>
      <c r="I433" s="1585"/>
      <c r="J433" s="1585"/>
      <c r="N433" s="1772"/>
    </row>
    <row r="434" spans="1:14" x14ac:dyDescent="0.2">
      <c r="A434" s="1771"/>
      <c r="B434" s="1585"/>
      <c r="C434" s="1585"/>
      <c r="D434" s="1585"/>
      <c r="E434" s="1585"/>
      <c r="F434" s="1585"/>
      <c r="G434" s="1585"/>
      <c r="H434" s="1585"/>
      <c r="I434" s="1585"/>
      <c r="J434" s="1585"/>
      <c r="N434" s="1772"/>
    </row>
    <row r="435" spans="1:14" x14ac:dyDescent="0.2">
      <c r="A435" s="1771"/>
      <c r="B435" s="1585"/>
      <c r="C435" s="1585"/>
      <c r="D435" s="1585"/>
      <c r="E435" s="1585"/>
      <c r="F435" s="1585"/>
      <c r="G435" s="1585"/>
      <c r="H435" s="1585"/>
      <c r="I435" s="1585"/>
      <c r="J435" s="1585"/>
      <c r="N435" s="1772"/>
    </row>
    <row r="436" spans="1:14" x14ac:dyDescent="0.2">
      <c r="A436" s="1771"/>
      <c r="B436" s="1585"/>
      <c r="C436" s="1585"/>
      <c r="D436" s="1585"/>
      <c r="E436" s="1585"/>
      <c r="F436" s="1585"/>
      <c r="G436" s="1585"/>
      <c r="H436" s="1585"/>
      <c r="I436" s="1585"/>
      <c r="J436" s="1585"/>
      <c r="N436" s="1772"/>
    </row>
    <row r="437" spans="1:14" ht="12" thickBot="1" x14ac:dyDescent="0.25">
      <c r="A437" s="1773"/>
      <c r="B437" s="1774"/>
      <c r="C437" s="1774"/>
      <c r="D437" s="1774"/>
      <c r="E437" s="1774"/>
      <c r="F437" s="1774"/>
      <c r="G437" s="1774"/>
      <c r="H437" s="1774"/>
      <c r="I437" s="1774"/>
      <c r="J437" s="1774"/>
      <c r="K437" s="1774"/>
      <c r="L437" s="1774"/>
      <c r="M437" s="1775"/>
      <c r="N437" s="1776"/>
    </row>
    <row r="438" spans="1:14" x14ac:dyDescent="0.2">
      <c r="A438" s="1777"/>
      <c r="B438" s="1778"/>
      <c r="C438" s="1778"/>
      <c r="D438" s="1778"/>
      <c r="E438" s="1778"/>
      <c r="F438" s="1778"/>
      <c r="G438" s="1778"/>
      <c r="H438" s="1778"/>
      <c r="I438" s="1778"/>
      <c r="J438" s="1778"/>
      <c r="K438" s="1778"/>
      <c r="L438" s="1778"/>
      <c r="M438" s="1779"/>
      <c r="N438" s="1780"/>
    </row>
    <row r="439" spans="1:14" x14ac:dyDescent="0.2">
      <c r="A439" s="1771"/>
      <c r="B439" s="1585"/>
      <c r="C439" s="1585"/>
      <c r="D439" s="1585"/>
      <c r="E439" s="1585"/>
      <c r="F439" s="1585"/>
      <c r="G439" s="1585"/>
      <c r="H439" s="1585"/>
      <c r="I439" s="1585"/>
      <c r="J439" s="1585"/>
      <c r="N439" s="1772"/>
    </row>
    <row r="440" spans="1:14" x14ac:dyDescent="0.2">
      <c r="A440" s="1771"/>
      <c r="B440" s="1585"/>
      <c r="C440" s="1585"/>
      <c r="D440" s="1585"/>
      <c r="E440" s="1585"/>
      <c r="F440" s="1585"/>
      <c r="G440" s="1585"/>
      <c r="H440" s="1585"/>
      <c r="I440" s="1585"/>
      <c r="J440" s="1585"/>
      <c r="N440" s="1772"/>
    </row>
    <row r="441" spans="1:14" x14ac:dyDescent="0.2">
      <c r="A441" s="1771"/>
      <c r="B441" s="1585"/>
      <c r="C441" s="1585"/>
      <c r="D441" s="1585"/>
      <c r="E441" s="1585"/>
      <c r="F441" s="1585"/>
      <c r="G441" s="1585"/>
      <c r="H441" s="1585"/>
      <c r="I441" s="1585"/>
      <c r="J441" s="1585"/>
      <c r="N441" s="1772"/>
    </row>
    <row r="442" spans="1:14" x14ac:dyDescent="0.2">
      <c r="A442" s="1771"/>
      <c r="B442" s="1585"/>
      <c r="C442" s="1585"/>
      <c r="D442" s="1585"/>
      <c r="E442" s="1585"/>
      <c r="F442" s="1585"/>
      <c r="G442" s="1585"/>
      <c r="H442" s="1585"/>
      <c r="I442" s="1585"/>
      <c r="J442" s="1585"/>
      <c r="N442" s="1772"/>
    </row>
    <row r="443" spans="1:14" x14ac:dyDescent="0.2">
      <c r="A443" s="1771"/>
      <c r="B443" s="1585"/>
      <c r="C443" s="1585"/>
      <c r="D443" s="1585"/>
      <c r="E443" s="1585"/>
      <c r="F443" s="1585"/>
      <c r="G443" s="1585"/>
      <c r="H443" s="1585"/>
      <c r="I443" s="1585"/>
      <c r="J443" s="1585"/>
      <c r="N443" s="1772"/>
    </row>
    <row r="444" spans="1:14" x14ac:dyDescent="0.2">
      <c r="A444" s="1771"/>
      <c r="B444" s="1585"/>
      <c r="C444" s="1585"/>
      <c r="D444" s="1585"/>
      <c r="E444" s="1585"/>
      <c r="F444" s="1585"/>
      <c r="G444" s="1585"/>
      <c r="H444" s="1585"/>
      <c r="I444" s="1585"/>
      <c r="J444" s="1585"/>
      <c r="N444" s="1772"/>
    </row>
    <row r="445" spans="1:14" x14ac:dyDescent="0.2">
      <c r="A445" s="1771"/>
      <c r="B445" s="1585"/>
      <c r="C445" s="1585"/>
      <c r="D445" s="1585"/>
      <c r="E445" s="1585"/>
      <c r="F445" s="1585"/>
      <c r="G445" s="1585"/>
      <c r="H445" s="1585"/>
      <c r="I445" s="1585"/>
      <c r="J445" s="1585"/>
      <c r="N445" s="1772"/>
    </row>
    <row r="446" spans="1:14" x14ac:dyDescent="0.2">
      <c r="A446" s="1771"/>
      <c r="B446" s="1585"/>
      <c r="C446" s="1585"/>
      <c r="D446" s="1585"/>
      <c r="E446" s="1585"/>
      <c r="F446" s="1585"/>
      <c r="G446" s="1585"/>
      <c r="H446" s="1585"/>
      <c r="I446" s="1585"/>
      <c r="J446" s="1585"/>
      <c r="N446" s="1772"/>
    </row>
    <row r="447" spans="1:14" x14ac:dyDescent="0.2">
      <c r="A447" s="1771"/>
      <c r="B447" s="1585"/>
      <c r="C447" s="1585"/>
      <c r="D447" s="1585"/>
      <c r="E447" s="1585"/>
      <c r="F447" s="1585"/>
      <c r="G447" s="1585"/>
      <c r="H447" s="1585"/>
      <c r="I447" s="1585"/>
      <c r="J447" s="1585"/>
      <c r="N447" s="1772"/>
    </row>
    <row r="448" spans="1:14" x14ac:dyDescent="0.2">
      <c r="A448" s="1771"/>
      <c r="B448" s="1585"/>
      <c r="C448" s="1585"/>
      <c r="D448" s="1585"/>
      <c r="E448" s="1585"/>
      <c r="F448" s="1585"/>
      <c r="G448" s="1585"/>
      <c r="H448" s="1585"/>
      <c r="I448" s="1585"/>
      <c r="J448" s="1585"/>
      <c r="N448" s="1772"/>
    </row>
    <row r="449" spans="1:14" x14ac:dyDescent="0.2">
      <c r="A449" s="1771"/>
      <c r="B449" s="1585"/>
      <c r="C449" s="1585"/>
      <c r="D449" s="1585"/>
      <c r="E449" s="1585"/>
      <c r="F449" s="1585"/>
      <c r="G449" s="1585"/>
      <c r="H449" s="1585"/>
      <c r="I449" s="1585"/>
      <c r="J449" s="1585"/>
      <c r="N449" s="1772"/>
    </row>
    <row r="450" spans="1:14" x14ac:dyDescent="0.2">
      <c r="A450" s="1771"/>
      <c r="B450" s="1585"/>
      <c r="C450" s="1585"/>
      <c r="D450" s="1585"/>
      <c r="E450" s="1585"/>
      <c r="F450" s="1585"/>
      <c r="G450" s="1585"/>
      <c r="H450" s="1585"/>
      <c r="I450" s="1585"/>
      <c r="J450" s="1585"/>
      <c r="N450" s="1772"/>
    </row>
    <row r="451" spans="1:14" ht="12" thickBot="1" x14ac:dyDescent="0.25">
      <c r="A451" s="1773"/>
      <c r="B451" s="1774"/>
      <c r="C451" s="1774"/>
      <c r="D451" s="1774"/>
      <c r="E451" s="1774"/>
      <c r="F451" s="1774"/>
      <c r="G451" s="1774"/>
      <c r="H451" s="1774"/>
      <c r="I451" s="1774"/>
      <c r="J451" s="1774"/>
      <c r="K451" s="1774"/>
      <c r="L451" s="1774"/>
      <c r="M451" s="1775"/>
      <c r="N451" s="1776"/>
    </row>
    <row r="452" spans="1:14" x14ac:dyDescent="0.2">
      <c r="E452" s="1585"/>
      <c r="F452" s="1585"/>
      <c r="G452" s="1585"/>
      <c r="H452" s="1585"/>
      <c r="I452" s="1585"/>
      <c r="J452" s="1585"/>
      <c r="N452" s="1793"/>
    </row>
    <row r="453" spans="1:14" x14ac:dyDescent="0.2">
      <c r="E453" s="1585"/>
      <c r="F453" s="1585"/>
      <c r="G453" s="1585"/>
      <c r="H453" s="1585"/>
      <c r="I453" s="1585"/>
      <c r="J453" s="1585"/>
      <c r="N453" s="1793"/>
    </row>
    <row r="454" spans="1:14" x14ac:dyDescent="0.2">
      <c r="E454" s="1585"/>
      <c r="F454" s="1585"/>
      <c r="G454" s="1585"/>
      <c r="H454" s="1585"/>
      <c r="I454" s="1585"/>
      <c r="J454" s="1585"/>
      <c r="N454" s="1793"/>
    </row>
    <row r="455" spans="1:14" x14ac:dyDescent="0.2">
      <c r="E455" s="1585"/>
      <c r="F455" s="1585"/>
      <c r="G455" s="1585"/>
      <c r="H455" s="1585"/>
      <c r="I455" s="1585"/>
      <c r="J455" s="1585"/>
      <c r="N455" s="1793"/>
    </row>
    <row r="456" spans="1:14" x14ac:dyDescent="0.2">
      <c r="E456" s="1585"/>
      <c r="F456" s="1585"/>
      <c r="G456" s="1585"/>
      <c r="H456" s="1585"/>
      <c r="I456" s="1585"/>
      <c r="J456" s="1585"/>
      <c r="N456" s="1793"/>
    </row>
    <row r="457" spans="1:14" x14ac:dyDescent="0.2">
      <c r="E457" s="1585"/>
      <c r="F457" s="1585"/>
      <c r="G457" s="1585"/>
      <c r="H457" s="1585"/>
      <c r="I457" s="1585"/>
      <c r="J457" s="1585"/>
      <c r="N457" s="1793"/>
    </row>
    <row r="458" spans="1:14" x14ac:dyDescent="0.2">
      <c r="E458" s="1585"/>
      <c r="F458" s="1585"/>
      <c r="G458" s="1585"/>
      <c r="H458" s="1585"/>
      <c r="I458" s="1585"/>
      <c r="J458" s="1585"/>
      <c r="N458" s="1793"/>
    </row>
    <row r="459" spans="1:14" x14ac:dyDescent="0.2">
      <c r="E459" s="1585"/>
      <c r="F459" s="1585"/>
      <c r="G459" s="1585"/>
      <c r="H459" s="1585"/>
      <c r="I459" s="1585"/>
      <c r="J459" s="1585"/>
      <c r="N459" s="1793"/>
    </row>
    <row r="460" spans="1:14" ht="12" thickBot="1" x14ac:dyDescent="0.25">
      <c r="E460" s="1585"/>
      <c r="F460" s="1585"/>
      <c r="G460" s="1585"/>
      <c r="H460" s="1585"/>
      <c r="I460" s="1585"/>
      <c r="J460" s="1585"/>
      <c r="N460" s="1793"/>
    </row>
    <row r="461" spans="1:14" x14ac:dyDescent="0.2">
      <c r="A461" s="1777"/>
      <c r="B461" s="1778"/>
      <c r="C461" s="1778"/>
      <c r="D461" s="1778"/>
      <c r="E461" s="1778"/>
      <c r="F461" s="1778"/>
      <c r="G461" s="1778"/>
      <c r="H461" s="1778"/>
      <c r="I461" s="1778"/>
      <c r="J461" s="1778"/>
      <c r="K461" s="1778"/>
      <c r="L461" s="1778"/>
      <c r="M461" s="1779"/>
      <c r="N461" s="1780"/>
    </row>
    <row r="462" spans="1:14" x14ac:dyDescent="0.2">
      <c r="A462" s="1771"/>
      <c r="B462" s="1585"/>
      <c r="C462" s="1585"/>
      <c r="D462" s="1585"/>
      <c r="E462" s="1585"/>
      <c r="F462" s="1585"/>
      <c r="G462" s="1585"/>
      <c r="H462" s="1585"/>
      <c r="I462" s="1585"/>
      <c r="J462" s="1585"/>
      <c r="N462" s="1772"/>
    </row>
    <row r="463" spans="1:14" x14ac:dyDescent="0.2">
      <c r="A463" s="1771"/>
      <c r="B463" s="1585"/>
      <c r="C463" s="1585"/>
      <c r="D463" s="1585"/>
      <c r="E463" s="1585"/>
      <c r="F463" s="1585"/>
      <c r="G463" s="1585"/>
      <c r="H463" s="1585"/>
      <c r="I463" s="1585"/>
      <c r="J463" s="1585"/>
      <c r="N463" s="1772"/>
    </row>
    <row r="464" spans="1:14" x14ac:dyDescent="0.2">
      <c r="A464" s="1771"/>
      <c r="B464" s="1585"/>
      <c r="C464" s="1585"/>
      <c r="D464" s="1585"/>
      <c r="E464" s="1585"/>
      <c r="F464" s="1585"/>
      <c r="G464" s="1585"/>
      <c r="H464" s="1585"/>
      <c r="I464" s="1585"/>
      <c r="J464" s="1585"/>
      <c r="N464" s="1772"/>
    </row>
    <row r="465" spans="1:14" x14ac:dyDescent="0.2">
      <c r="A465" s="1771"/>
      <c r="B465" s="1585"/>
      <c r="C465" s="1585"/>
      <c r="D465" s="1585"/>
      <c r="E465" s="1585"/>
      <c r="F465" s="1585"/>
      <c r="G465" s="1585"/>
      <c r="H465" s="1585"/>
      <c r="I465" s="1585"/>
      <c r="J465" s="1585"/>
      <c r="N465" s="1772"/>
    </row>
    <row r="466" spans="1:14" x14ac:dyDescent="0.2">
      <c r="A466" s="1771"/>
      <c r="B466" s="1585"/>
      <c r="C466" s="1585"/>
      <c r="D466" s="1585"/>
      <c r="E466" s="1585"/>
      <c r="F466" s="1585"/>
      <c r="G466" s="1585"/>
      <c r="H466" s="1585"/>
      <c r="I466" s="1585"/>
      <c r="J466" s="1585"/>
      <c r="N466" s="1772"/>
    </row>
    <row r="467" spans="1:14" x14ac:dyDescent="0.2">
      <c r="A467" s="1771"/>
      <c r="B467" s="1585"/>
      <c r="C467" s="1585"/>
      <c r="D467" s="1585"/>
      <c r="E467" s="1585"/>
      <c r="F467" s="1585"/>
      <c r="G467" s="1585"/>
      <c r="H467" s="1585"/>
      <c r="I467" s="1585"/>
      <c r="J467" s="1585"/>
      <c r="N467" s="1772"/>
    </row>
    <row r="468" spans="1:14" x14ac:dyDescent="0.2">
      <c r="A468" s="1771"/>
      <c r="B468" s="1585"/>
      <c r="C468" s="1585"/>
      <c r="D468" s="1585"/>
      <c r="E468" s="1585"/>
      <c r="F468" s="1585"/>
      <c r="G468" s="1585"/>
      <c r="H468" s="1585"/>
      <c r="I468" s="1585"/>
      <c r="J468" s="1585"/>
      <c r="N468" s="1772"/>
    </row>
    <row r="469" spans="1:14" ht="12" thickBot="1" x14ac:dyDescent="0.25">
      <c r="A469" s="1773"/>
      <c r="B469" s="1774"/>
      <c r="C469" s="1774"/>
      <c r="D469" s="1774"/>
      <c r="E469" s="1774"/>
      <c r="F469" s="1774"/>
      <c r="G469" s="1774"/>
      <c r="H469" s="1774"/>
      <c r="I469" s="1774"/>
      <c r="J469" s="1774"/>
      <c r="K469" s="1774"/>
      <c r="L469" s="1774"/>
      <c r="M469" s="1775"/>
      <c r="N469" s="1776"/>
    </row>
    <row r="470" spans="1:14" x14ac:dyDescent="0.2">
      <c r="E470" s="1585"/>
      <c r="F470" s="1585"/>
      <c r="G470" s="1585"/>
      <c r="H470" s="1585"/>
      <c r="I470" s="1585"/>
      <c r="J470" s="1585"/>
      <c r="N470" s="1793"/>
    </row>
    <row r="471" spans="1:14" x14ac:dyDescent="0.2">
      <c r="E471" s="1585"/>
      <c r="F471" s="1585"/>
      <c r="G471" s="1585"/>
      <c r="H471" s="1585"/>
      <c r="I471" s="1585"/>
      <c r="J471" s="1585"/>
      <c r="N471" s="1793"/>
    </row>
    <row r="472" spans="1:14" x14ac:dyDescent="0.2">
      <c r="E472" s="1585"/>
      <c r="F472" s="1585"/>
      <c r="G472" s="1585"/>
      <c r="H472" s="1585"/>
      <c r="I472" s="1585"/>
      <c r="J472" s="1585"/>
      <c r="N472" s="1793"/>
    </row>
    <row r="473" spans="1:14" x14ac:dyDescent="0.2">
      <c r="E473" s="1585"/>
      <c r="F473" s="1585"/>
      <c r="G473" s="1585"/>
      <c r="H473" s="1585"/>
      <c r="I473" s="1585"/>
      <c r="J473" s="1585"/>
      <c r="N473" s="1793"/>
    </row>
    <row r="474" spans="1:14" x14ac:dyDescent="0.2">
      <c r="E474" s="1585"/>
      <c r="F474" s="1585"/>
      <c r="G474" s="1585"/>
      <c r="H474" s="1585"/>
      <c r="I474" s="1585"/>
      <c r="J474" s="1585"/>
      <c r="N474" s="1793"/>
    </row>
    <row r="475" spans="1:14" x14ac:dyDescent="0.2">
      <c r="E475" s="1585"/>
      <c r="F475" s="1585"/>
      <c r="G475" s="1585"/>
      <c r="H475" s="1585"/>
      <c r="I475" s="1585"/>
      <c r="J475" s="1585"/>
      <c r="N475" s="1793"/>
    </row>
    <row r="476" spans="1:14" x14ac:dyDescent="0.2">
      <c r="E476" s="1585"/>
      <c r="F476" s="1585"/>
      <c r="G476" s="1585"/>
      <c r="H476" s="1585"/>
      <c r="I476" s="1585"/>
      <c r="J476" s="1585"/>
      <c r="N476" s="1793"/>
    </row>
    <row r="477" spans="1:14" x14ac:dyDescent="0.2">
      <c r="E477" s="1585"/>
      <c r="F477" s="1585"/>
      <c r="G477" s="1585"/>
      <c r="H477" s="1585"/>
      <c r="I477" s="1585"/>
      <c r="J477" s="1585"/>
      <c r="N477" s="1793"/>
    </row>
    <row r="478" spans="1:14" x14ac:dyDescent="0.2">
      <c r="E478" s="1585"/>
      <c r="F478" s="1585"/>
      <c r="G478" s="1585"/>
      <c r="H478" s="1585"/>
      <c r="I478" s="1585"/>
      <c r="J478" s="1585"/>
      <c r="N478" s="1793"/>
    </row>
    <row r="479" spans="1:14" x14ac:dyDescent="0.2">
      <c r="E479" s="1585"/>
      <c r="F479" s="1585"/>
      <c r="G479" s="1585"/>
      <c r="H479" s="1585"/>
      <c r="I479" s="1585"/>
      <c r="J479" s="1585"/>
      <c r="N479" s="1793"/>
    </row>
    <row r="480" spans="1:14" x14ac:dyDescent="0.2">
      <c r="E480" s="1585"/>
      <c r="F480" s="1585"/>
      <c r="G480" s="1585"/>
      <c r="H480" s="1585"/>
      <c r="I480" s="1585"/>
      <c r="J480" s="1585"/>
      <c r="N480" s="1793"/>
    </row>
    <row r="481" spans="5:14" x14ac:dyDescent="0.2">
      <c r="E481" s="1585"/>
      <c r="F481" s="1585"/>
      <c r="G481" s="1585"/>
      <c r="H481" s="1585"/>
      <c r="I481" s="1585"/>
      <c r="J481" s="1585"/>
      <c r="N481" s="1793"/>
    </row>
    <row r="482" spans="5:14" x14ac:dyDescent="0.2">
      <c r="E482" s="1585"/>
      <c r="F482" s="1585"/>
      <c r="G482" s="1585"/>
      <c r="H482" s="1585"/>
      <c r="I482" s="1585"/>
      <c r="J482" s="1585"/>
      <c r="N482" s="1793"/>
    </row>
    <row r="483" spans="5:14" x14ac:dyDescent="0.2">
      <c r="E483" s="1585"/>
      <c r="F483" s="1585"/>
      <c r="G483" s="1585"/>
      <c r="H483" s="1585"/>
      <c r="I483" s="1585"/>
      <c r="J483" s="1585"/>
      <c r="N483" s="1793"/>
    </row>
    <row r="484" spans="5:14" x14ac:dyDescent="0.2">
      <c r="E484" s="1585"/>
      <c r="F484" s="1585"/>
      <c r="G484" s="1585"/>
      <c r="H484" s="1585"/>
      <c r="I484" s="1585"/>
      <c r="J484" s="1585"/>
      <c r="N484" s="1793"/>
    </row>
    <row r="485" spans="5:14" x14ac:dyDescent="0.2">
      <c r="E485" s="1585"/>
      <c r="F485" s="1585"/>
      <c r="G485" s="1585"/>
      <c r="H485" s="1585"/>
      <c r="I485" s="1585"/>
      <c r="J485" s="1585"/>
      <c r="N485" s="1793"/>
    </row>
    <row r="486" spans="5:14" x14ac:dyDescent="0.2">
      <c r="E486" s="1585"/>
      <c r="F486" s="1585"/>
      <c r="G486" s="1585"/>
      <c r="H486" s="1585"/>
      <c r="I486" s="1585"/>
      <c r="J486" s="1585"/>
      <c r="N486" s="1793"/>
    </row>
    <row r="487" spans="5:14" x14ac:dyDescent="0.2">
      <c r="E487" s="1585"/>
      <c r="F487" s="1585"/>
      <c r="G487" s="1585"/>
      <c r="H487" s="1585"/>
      <c r="I487" s="1585"/>
      <c r="J487" s="1585"/>
      <c r="N487" s="1793"/>
    </row>
    <row r="488" spans="5:14" x14ac:dyDescent="0.2">
      <c r="E488" s="1585"/>
      <c r="F488" s="1585"/>
      <c r="G488" s="1585"/>
      <c r="H488" s="1585"/>
      <c r="I488" s="1585"/>
      <c r="J488" s="1585"/>
      <c r="N488" s="1793"/>
    </row>
    <row r="489" spans="5:14" x14ac:dyDescent="0.2">
      <c r="E489" s="1585"/>
      <c r="F489" s="1585"/>
      <c r="G489" s="1585"/>
      <c r="H489" s="1585"/>
      <c r="I489" s="1585"/>
      <c r="J489" s="1585"/>
      <c r="N489" s="1793"/>
    </row>
    <row r="490" spans="5:14" x14ac:dyDescent="0.2">
      <c r="E490" s="1585"/>
      <c r="F490" s="1585"/>
      <c r="G490" s="1585"/>
      <c r="H490" s="1585"/>
      <c r="I490" s="1585"/>
      <c r="J490" s="1585"/>
      <c r="N490" s="1793"/>
    </row>
    <row r="491" spans="5:14" x14ac:dyDescent="0.2">
      <c r="E491" s="1585"/>
      <c r="F491" s="1585"/>
      <c r="G491" s="1585"/>
      <c r="H491" s="1585"/>
      <c r="I491" s="1585"/>
      <c r="J491" s="1585"/>
      <c r="N491" s="1793"/>
    </row>
    <row r="492" spans="5:14" x14ac:dyDescent="0.2">
      <c r="E492" s="1585"/>
      <c r="F492" s="1585"/>
      <c r="G492" s="1585"/>
      <c r="H492" s="1585"/>
      <c r="I492" s="1585"/>
      <c r="J492" s="1585"/>
      <c r="N492" s="1793"/>
    </row>
    <row r="493" spans="5:14" x14ac:dyDescent="0.2">
      <c r="E493" s="1585"/>
      <c r="F493" s="1585"/>
      <c r="G493" s="1585"/>
      <c r="H493" s="1585"/>
      <c r="I493" s="1585"/>
      <c r="J493" s="1585"/>
      <c r="N493" s="1793"/>
    </row>
    <row r="494" spans="5:14" x14ac:dyDescent="0.2">
      <c r="E494" s="1585"/>
      <c r="F494" s="1585"/>
      <c r="G494" s="1585"/>
      <c r="H494" s="1585"/>
      <c r="I494" s="1585"/>
      <c r="J494" s="1585"/>
      <c r="N494" s="1793"/>
    </row>
    <row r="495" spans="5:14" x14ac:dyDescent="0.2">
      <c r="E495" s="1585"/>
      <c r="F495" s="1585"/>
      <c r="G495" s="1585"/>
      <c r="H495" s="1585"/>
      <c r="I495" s="1585"/>
      <c r="J495" s="1585"/>
      <c r="N495" s="1793"/>
    </row>
    <row r="496" spans="5:14" x14ac:dyDescent="0.2">
      <c r="E496" s="1585"/>
      <c r="F496" s="1585"/>
      <c r="G496" s="1585"/>
      <c r="H496" s="1585"/>
      <c r="I496" s="1585"/>
      <c r="J496" s="1585"/>
      <c r="N496" s="1793"/>
    </row>
    <row r="497" spans="5:14" x14ac:dyDescent="0.2">
      <c r="E497" s="1585"/>
      <c r="F497" s="1585"/>
      <c r="G497" s="1585"/>
      <c r="H497" s="1585"/>
      <c r="I497" s="1585"/>
      <c r="J497" s="1585"/>
      <c r="N497" s="1793"/>
    </row>
    <row r="498" spans="5:14" x14ac:dyDescent="0.2">
      <c r="E498" s="1585"/>
      <c r="F498" s="1585"/>
      <c r="G498" s="1585"/>
      <c r="H498" s="1585"/>
      <c r="I498" s="1585"/>
      <c r="J498" s="1585"/>
      <c r="N498" s="1793"/>
    </row>
    <row r="499" spans="5:14" x14ac:dyDescent="0.2">
      <c r="E499" s="1585"/>
      <c r="F499" s="1585"/>
      <c r="G499" s="1585"/>
      <c r="H499" s="1585"/>
      <c r="I499" s="1585"/>
      <c r="J499" s="1585"/>
      <c r="N499" s="1793"/>
    </row>
    <row r="500" spans="5:14" x14ac:dyDescent="0.2">
      <c r="E500" s="1585"/>
      <c r="F500" s="1585"/>
      <c r="G500" s="1585"/>
      <c r="H500" s="1585"/>
      <c r="I500" s="1585"/>
      <c r="J500" s="1585"/>
      <c r="N500" s="1793"/>
    </row>
    <row r="501" spans="5:14" x14ac:dyDescent="0.2">
      <c r="E501" s="1585"/>
      <c r="F501" s="1585"/>
      <c r="G501" s="1585"/>
      <c r="H501" s="1585"/>
      <c r="I501" s="1585"/>
      <c r="J501" s="1585"/>
      <c r="N501" s="1793"/>
    </row>
    <row r="502" spans="5:14" x14ac:dyDescent="0.2">
      <c r="E502" s="1585"/>
      <c r="F502" s="1585"/>
      <c r="G502" s="1585"/>
      <c r="H502" s="1585"/>
      <c r="I502" s="1585"/>
      <c r="J502" s="1585"/>
      <c r="N502" s="1793"/>
    </row>
    <row r="503" spans="5:14" x14ac:dyDescent="0.2">
      <c r="E503" s="1585"/>
      <c r="F503" s="1585"/>
      <c r="G503" s="1585"/>
      <c r="H503" s="1585"/>
      <c r="I503" s="1585"/>
      <c r="J503" s="1585"/>
      <c r="N503" s="1793"/>
    </row>
    <row r="504" spans="5:14" x14ac:dyDescent="0.2">
      <c r="E504" s="1585"/>
      <c r="F504" s="1585"/>
      <c r="G504" s="1585"/>
      <c r="H504" s="1585"/>
      <c r="I504" s="1585"/>
      <c r="J504" s="1585"/>
      <c r="N504" s="1793"/>
    </row>
    <row r="505" spans="5:14" x14ac:dyDescent="0.2">
      <c r="E505" s="1585"/>
      <c r="F505" s="1585"/>
      <c r="G505" s="1585"/>
      <c r="H505" s="1585"/>
      <c r="I505" s="1585"/>
      <c r="J505" s="1585"/>
      <c r="N505" s="1793"/>
    </row>
    <row r="506" spans="5:14" x14ac:dyDescent="0.2">
      <c r="E506" s="1585"/>
      <c r="F506" s="1585"/>
      <c r="G506" s="1585"/>
      <c r="H506" s="1585"/>
      <c r="I506" s="1585"/>
      <c r="J506" s="1585"/>
      <c r="N506" s="1793"/>
    </row>
    <row r="507" spans="5:14" x14ac:dyDescent="0.2">
      <c r="E507" s="1585"/>
      <c r="F507" s="1585"/>
      <c r="G507" s="1585"/>
      <c r="H507" s="1585"/>
      <c r="I507" s="1585"/>
      <c r="J507" s="1585"/>
      <c r="N507" s="1793"/>
    </row>
    <row r="508" spans="5:14" x14ac:dyDescent="0.2">
      <c r="E508" s="1585"/>
      <c r="F508" s="1585"/>
      <c r="G508" s="1585"/>
      <c r="H508" s="1585"/>
      <c r="I508" s="1585"/>
      <c r="J508" s="1585"/>
      <c r="N508" s="1793"/>
    </row>
    <row r="509" spans="5:14" x14ac:dyDescent="0.2">
      <c r="E509" s="1585"/>
      <c r="F509" s="1585"/>
      <c r="G509" s="1585"/>
      <c r="H509" s="1585"/>
      <c r="I509" s="1585"/>
      <c r="J509" s="1585"/>
      <c r="N509" s="1793"/>
    </row>
    <row r="510" spans="5:14" x14ac:dyDescent="0.2">
      <c r="E510" s="1585"/>
      <c r="F510" s="1581">
        <v>415162</v>
      </c>
      <c r="G510" s="1585"/>
      <c r="H510" s="1585"/>
      <c r="I510" s="1585"/>
      <c r="J510" s="1585"/>
      <c r="N510" s="1793"/>
    </row>
    <row r="511" spans="5:14" x14ac:dyDescent="0.2">
      <c r="E511" s="1585"/>
      <c r="F511" s="1585"/>
      <c r="G511" s="1585"/>
      <c r="H511" s="1585"/>
      <c r="I511" s="1585"/>
      <c r="J511" s="1585"/>
      <c r="N511" s="1793"/>
    </row>
    <row r="512" spans="5:14" x14ac:dyDescent="0.2">
      <c r="E512" s="1585"/>
      <c r="F512" s="1585"/>
      <c r="G512" s="1585"/>
      <c r="H512" s="1585"/>
      <c r="I512" s="1585"/>
      <c r="J512" s="1585"/>
      <c r="N512" s="1793"/>
    </row>
    <row r="513" spans="5:14" x14ac:dyDescent="0.2">
      <c r="E513" s="1585"/>
      <c r="F513" s="1585"/>
      <c r="G513" s="1585"/>
      <c r="H513" s="1585"/>
      <c r="I513" s="1585"/>
      <c r="J513" s="1585"/>
      <c r="N513" s="1793"/>
    </row>
    <row r="514" spans="5:14" x14ac:dyDescent="0.2">
      <c r="E514" s="1585"/>
      <c r="F514" s="1585"/>
      <c r="G514" s="1585"/>
      <c r="H514" s="1585"/>
      <c r="I514" s="1585"/>
      <c r="J514" s="1585"/>
      <c r="N514" s="1793"/>
    </row>
    <row r="515" spans="5:14" x14ac:dyDescent="0.2">
      <c r="E515" s="1585"/>
      <c r="F515" s="1585"/>
      <c r="G515" s="1585"/>
      <c r="H515" s="1585"/>
      <c r="I515" s="1585"/>
      <c r="J515" s="1585"/>
      <c r="N515" s="1793"/>
    </row>
    <row r="516" spans="5:14" x14ac:dyDescent="0.2">
      <c r="E516" s="1585"/>
      <c r="F516" s="1585"/>
      <c r="G516" s="1585"/>
      <c r="H516" s="1585"/>
      <c r="I516" s="1585"/>
      <c r="J516" s="1585"/>
      <c r="N516" s="1793"/>
    </row>
    <row r="517" spans="5:14" x14ac:dyDescent="0.2">
      <c r="E517" s="1585"/>
      <c r="F517" s="1585"/>
      <c r="G517" s="1585"/>
      <c r="H517" s="1585"/>
      <c r="I517" s="1585"/>
      <c r="J517" s="1585"/>
      <c r="N517" s="1793"/>
    </row>
    <row r="518" spans="5:14" x14ac:dyDescent="0.2">
      <c r="E518" s="1585"/>
      <c r="F518" s="1585"/>
      <c r="G518" s="1585"/>
      <c r="H518" s="1585"/>
      <c r="I518" s="1585"/>
      <c r="J518" s="1585"/>
      <c r="N518" s="1793"/>
    </row>
    <row r="519" spans="5:14" x14ac:dyDescent="0.2">
      <c r="E519" s="1585"/>
      <c r="F519" s="1585"/>
      <c r="G519" s="1585"/>
      <c r="H519" s="1585"/>
      <c r="I519" s="1585"/>
      <c r="J519" s="1585"/>
      <c r="N519" s="1793"/>
    </row>
    <row r="520" spans="5:14" x14ac:dyDescent="0.2">
      <c r="E520" s="1585"/>
      <c r="F520" s="1585"/>
      <c r="G520" s="1585"/>
      <c r="H520" s="1585"/>
      <c r="I520" s="1585"/>
      <c r="J520" s="1585"/>
      <c r="N520" s="1793"/>
    </row>
    <row r="521" spans="5:14" x14ac:dyDescent="0.2">
      <c r="E521" s="1585"/>
      <c r="F521" s="1585"/>
      <c r="G521" s="1585"/>
      <c r="H521" s="1585"/>
      <c r="I521" s="1585"/>
      <c r="J521" s="1585"/>
      <c r="N521" s="1793"/>
    </row>
    <row r="522" spans="5:14" x14ac:dyDescent="0.2">
      <c r="E522" s="1585"/>
      <c r="F522" s="1585"/>
      <c r="G522" s="1585"/>
      <c r="H522" s="1585"/>
      <c r="I522" s="1585"/>
      <c r="J522" s="1585"/>
      <c r="N522" s="1793"/>
    </row>
    <row r="523" spans="5:14" x14ac:dyDescent="0.2">
      <c r="E523" s="1585"/>
      <c r="F523" s="1585"/>
      <c r="G523" s="1585"/>
      <c r="H523" s="1585"/>
      <c r="I523" s="1585"/>
      <c r="J523" s="1585"/>
      <c r="N523" s="1793"/>
    </row>
    <row r="524" spans="5:14" x14ac:dyDescent="0.2">
      <c r="E524" s="1585"/>
      <c r="F524" s="1585"/>
      <c r="G524" s="1585"/>
      <c r="H524" s="1585"/>
      <c r="I524" s="1585"/>
      <c r="J524" s="1585"/>
      <c r="N524" s="1793"/>
    </row>
    <row r="525" spans="5:14" x14ac:dyDescent="0.2">
      <c r="E525" s="1585"/>
      <c r="F525" s="1585"/>
      <c r="G525" s="1585"/>
      <c r="H525" s="1585"/>
      <c r="I525" s="1585"/>
      <c r="J525" s="1585"/>
      <c r="N525" s="1793"/>
    </row>
    <row r="526" spans="5:14" x14ac:dyDescent="0.2">
      <c r="E526" s="1585"/>
      <c r="F526" s="1585"/>
      <c r="G526" s="1585"/>
      <c r="H526" s="1585"/>
      <c r="I526" s="1585"/>
      <c r="J526" s="1585"/>
      <c r="N526" s="1793"/>
    </row>
    <row r="527" spans="5:14" x14ac:dyDescent="0.2">
      <c r="E527" s="1585"/>
      <c r="F527" s="1585"/>
      <c r="G527" s="1585"/>
      <c r="H527" s="1585"/>
      <c r="I527" s="1585"/>
      <c r="J527" s="1585"/>
      <c r="N527" s="1793"/>
    </row>
    <row r="528" spans="5:14" x14ac:dyDescent="0.2">
      <c r="E528" s="1585"/>
      <c r="F528" s="1585"/>
      <c r="G528" s="1585"/>
      <c r="H528" s="1585"/>
      <c r="I528" s="1585"/>
      <c r="J528" s="1585"/>
      <c r="N528" s="1793"/>
    </row>
    <row r="529" spans="1:14" x14ac:dyDescent="0.2">
      <c r="E529" s="1585"/>
      <c r="F529" s="1585"/>
      <c r="G529" s="1585"/>
      <c r="H529" s="1585"/>
      <c r="I529" s="1585"/>
      <c r="J529" s="1585"/>
      <c r="N529" s="1793"/>
    </row>
    <row r="530" spans="1:14" x14ac:dyDescent="0.2">
      <c r="E530" s="1585"/>
      <c r="F530" s="1585"/>
      <c r="G530" s="1585"/>
      <c r="H530" s="1585"/>
      <c r="I530" s="1585"/>
      <c r="J530" s="1585"/>
      <c r="N530" s="1793"/>
    </row>
    <row r="531" spans="1:14" x14ac:dyDescent="0.2">
      <c r="E531" s="1585"/>
      <c r="F531" s="1585"/>
      <c r="G531" s="1585"/>
      <c r="H531" s="1585"/>
      <c r="I531" s="1585"/>
      <c r="J531" s="1585"/>
      <c r="N531" s="1793"/>
    </row>
    <row r="542" spans="1:14" ht="12" thickBot="1" x14ac:dyDescent="0.25"/>
    <row r="543" spans="1:14" x14ac:dyDescent="0.2">
      <c r="A543" s="1777"/>
      <c r="B543" s="1778"/>
      <c r="C543" s="1778"/>
      <c r="D543" s="1778"/>
      <c r="E543" s="1778"/>
      <c r="F543" s="1778"/>
      <c r="G543" s="1778"/>
      <c r="H543" s="1778"/>
      <c r="I543" s="1778"/>
      <c r="J543" s="1795"/>
      <c r="K543" s="1778"/>
      <c r="L543" s="1778"/>
      <c r="M543" s="1779"/>
      <c r="N543" s="1780"/>
    </row>
    <row r="544" spans="1:14" x14ac:dyDescent="0.2">
      <c r="A544" s="1771"/>
      <c r="B544" s="1585"/>
      <c r="C544" s="1585"/>
      <c r="D544" s="1585"/>
      <c r="E544" s="1585"/>
      <c r="F544" s="1585"/>
      <c r="G544" s="1585"/>
      <c r="H544" s="1585"/>
      <c r="I544" s="1585"/>
      <c r="N544" s="1772"/>
    </row>
    <row r="545" spans="1:14" x14ac:dyDescent="0.2">
      <c r="A545" s="1771"/>
      <c r="B545" s="1585"/>
      <c r="C545" s="1585"/>
      <c r="D545" s="1585"/>
      <c r="E545" s="1585"/>
      <c r="F545" s="1585"/>
      <c r="G545" s="1585"/>
      <c r="H545" s="1585"/>
      <c r="I545" s="1585"/>
      <c r="N545" s="1772"/>
    </row>
    <row r="546" spans="1:14" x14ac:dyDescent="0.2">
      <c r="A546" s="1771"/>
      <c r="B546" s="1585"/>
      <c r="C546" s="1585"/>
      <c r="D546" s="1585"/>
      <c r="E546" s="1585"/>
      <c r="F546" s="1585"/>
      <c r="G546" s="1585"/>
      <c r="H546" s="1585"/>
      <c r="I546" s="1585"/>
      <c r="N546" s="1772"/>
    </row>
    <row r="547" spans="1:14" x14ac:dyDescent="0.2">
      <c r="A547" s="1771"/>
      <c r="B547" s="1585"/>
      <c r="C547" s="1585"/>
      <c r="D547" s="1585"/>
      <c r="E547" s="1585"/>
      <c r="F547" s="1585"/>
      <c r="G547" s="1585"/>
      <c r="H547" s="1585"/>
      <c r="I547" s="1585"/>
      <c r="N547" s="1772"/>
    </row>
    <row r="548" spans="1:14" x14ac:dyDescent="0.2">
      <c r="A548" s="1771"/>
      <c r="B548" s="1585"/>
      <c r="C548" s="1585"/>
      <c r="D548" s="1585"/>
      <c r="E548" s="1585"/>
      <c r="F548" s="1585"/>
      <c r="G548" s="1585"/>
      <c r="H548" s="1585"/>
      <c r="I548" s="1585"/>
      <c r="N548" s="1772"/>
    </row>
    <row r="549" spans="1:14" x14ac:dyDescent="0.2">
      <c r="A549" s="1771"/>
      <c r="B549" s="1585"/>
      <c r="C549" s="1585"/>
      <c r="D549" s="1585"/>
      <c r="E549" s="1585"/>
      <c r="F549" s="1585"/>
      <c r="G549" s="1585"/>
      <c r="H549" s="1585"/>
      <c r="I549" s="1585"/>
      <c r="N549" s="1772"/>
    </row>
    <row r="550" spans="1:14" ht="12" thickBot="1" x14ac:dyDescent="0.25">
      <c r="A550" s="1773"/>
      <c r="B550" s="1774"/>
      <c r="C550" s="1774"/>
      <c r="D550" s="1774"/>
      <c r="E550" s="1774"/>
      <c r="F550" s="1774"/>
      <c r="G550" s="1774"/>
      <c r="H550" s="1774"/>
      <c r="I550" s="1774"/>
      <c r="J550" s="1796"/>
      <c r="K550" s="1774"/>
      <c r="L550" s="1774"/>
      <c r="M550" s="1775"/>
      <c r="N550" s="1776"/>
    </row>
    <row r="551" spans="1:14" x14ac:dyDescent="0.2">
      <c r="A551" s="1777"/>
      <c r="B551" s="1778"/>
      <c r="C551" s="1778"/>
      <c r="D551" s="1778"/>
      <c r="E551" s="1778"/>
      <c r="F551" s="1778"/>
      <c r="G551" s="1778"/>
      <c r="H551" s="1778"/>
      <c r="I551" s="1778"/>
      <c r="J551" s="1795"/>
      <c r="K551" s="1778"/>
      <c r="L551" s="1778"/>
      <c r="M551" s="1779"/>
      <c r="N551" s="1780"/>
    </row>
    <row r="552" spans="1:14" x14ac:dyDescent="0.2">
      <c r="A552" s="1771"/>
      <c r="B552" s="1585"/>
      <c r="C552" s="1585"/>
      <c r="D552" s="1585"/>
      <c r="E552" s="1585"/>
      <c r="F552" s="1585"/>
      <c r="G552" s="1585"/>
      <c r="H552" s="1585"/>
      <c r="I552" s="1585"/>
      <c r="N552" s="1772"/>
    </row>
    <row r="553" spans="1:14" x14ac:dyDescent="0.2">
      <c r="A553" s="1771"/>
      <c r="B553" s="1585"/>
      <c r="C553" s="1585"/>
      <c r="D553" s="1585"/>
      <c r="E553" s="1585"/>
      <c r="F553" s="1585"/>
      <c r="G553" s="1585"/>
      <c r="H553" s="1585"/>
      <c r="I553" s="1585"/>
      <c r="N553" s="1772"/>
    </row>
    <row r="554" spans="1:14" ht="12" thickBot="1" x14ac:dyDescent="0.25">
      <c r="A554" s="1773"/>
      <c r="B554" s="1774"/>
      <c r="C554" s="1774"/>
      <c r="D554" s="1774"/>
      <c r="E554" s="1774"/>
      <c r="F554" s="1774"/>
      <c r="G554" s="1774"/>
      <c r="H554" s="1774"/>
      <c r="I554" s="1774"/>
      <c r="J554" s="1796"/>
      <c r="K554" s="1774"/>
      <c r="L554" s="1774"/>
      <c r="M554" s="1775"/>
      <c r="N554" s="1776"/>
    </row>
  </sheetData>
  <mergeCells count="56">
    <mergeCell ref="A48:A50"/>
    <mergeCell ref="A9:B9"/>
    <mergeCell ref="A81:A84"/>
    <mergeCell ref="C82:C84"/>
    <mergeCell ref="N81:N84"/>
    <mergeCell ref="M76:M80"/>
    <mergeCell ref="M59:M63"/>
    <mergeCell ref="N51:N63"/>
    <mergeCell ref="A68:A80"/>
    <mergeCell ref="N68:N80"/>
    <mergeCell ref="C52:C57"/>
    <mergeCell ref="C62:C63"/>
    <mergeCell ref="A51:A63"/>
    <mergeCell ref="A64:A67"/>
    <mergeCell ref="C76:C78"/>
    <mergeCell ref="N64:N67"/>
    <mergeCell ref="L7:L8"/>
    <mergeCell ref="A47:N47"/>
    <mergeCell ref="A13:A20"/>
    <mergeCell ref="N13:N20"/>
    <mergeCell ref="C14:C17"/>
    <mergeCell ref="C19:C20"/>
    <mergeCell ref="A21:A29"/>
    <mergeCell ref="N21:N29"/>
    <mergeCell ref="C23:C26"/>
    <mergeCell ref="C28:C29"/>
    <mergeCell ref="A30:A38"/>
    <mergeCell ref="N30:N38"/>
    <mergeCell ref="A39:A45"/>
    <mergeCell ref="N39:N45"/>
    <mergeCell ref="C70:C74"/>
    <mergeCell ref="C79:C80"/>
    <mergeCell ref="G6:H6"/>
    <mergeCell ref="C32:C35"/>
    <mergeCell ref="C37:C38"/>
    <mergeCell ref="G7:G8"/>
    <mergeCell ref="H7:H8"/>
    <mergeCell ref="C66:C67"/>
    <mergeCell ref="C41:C42"/>
    <mergeCell ref="C44:C45"/>
    <mergeCell ref="K1:L1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M7:M8"/>
    <mergeCell ref="I5:M5"/>
    <mergeCell ref="N5:N8"/>
    <mergeCell ref="J6:J8"/>
    <mergeCell ref="K6:M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9" firstPageNumber="303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6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C813"/>
  <sheetViews>
    <sheetView showGridLines="0" view="pageBreakPreview" zoomScale="95" zoomScaleNormal="100" zoomScaleSheetLayoutView="95" workbookViewId="0">
      <pane xSplit="8" ySplit="9" topLeftCell="I125" activePane="bottomRight" state="frozen"/>
      <selection activeCell="A5" sqref="A5:N5"/>
      <selection pane="topRight" activeCell="A5" sqref="A5:N5"/>
      <selection pane="bottomLeft" activeCell="A5" sqref="A5:N5"/>
      <selection pane="bottomRight" activeCell="O4" sqref="O4"/>
    </sheetView>
  </sheetViews>
  <sheetFormatPr defaultRowHeight="12.75" x14ac:dyDescent="0.2"/>
  <cols>
    <col min="1" max="1" width="3.42578125" style="1579" customWidth="1"/>
    <col min="2" max="2" width="50" style="1250" customWidth="1"/>
    <col min="3" max="3" width="11.42578125" style="1251" customWidth="1"/>
    <col min="4" max="4" width="12.7109375" style="1250" customWidth="1"/>
    <col min="5" max="5" width="13.140625" style="1250" hidden="1" customWidth="1"/>
    <col min="6" max="6" width="13.28515625" style="1250" hidden="1" customWidth="1"/>
    <col min="7" max="7" width="12.85546875" style="1250" customWidth="1"/>
    <col min="8" max="8" width="12.42578125" style="1250" customWidth="1"/>
    <col min="9" max="9" width="13.85546875" style="1250" customWidth="1"/>
    <col min="10" max="10" width="9.5703125" style="1250" customWidth="1"/>
    <col min="11" max="11" width="12.42578125" style="1250" customWidth="1"/>
    <col min="12" max="12" width="10.7109375" style="1250" customWidth="1"/>
    <col min="13" max="13" width="13" style="1250" customWidth="1"/>
    <col min="14" max="14" width="12.85546875" style="1798" customWidth="1"/>
    <col min="15" max="16384" width="9.140625" style="1250"/>
  </cols>
  <sheetData>
    <row r="1" spans="1:55" ht="19.5" customHeight="1" x14ac:dyDescent="0.3">
      <c r="E1" s="1797"/>
      <c r="I1" s="43"/>
      <c r="J1" s="43"/>
      <c r="K1" s="3038" t="s">
        <v>375</v>
      </c>
      <c r="L1" s="3038"/>
    </row>
    <row r="2" spans="1:55" ht="7.5" customHeight="1" x14ac:dyDescent="0.2">
      <c r="D2" s="1797"/>
      <c r="I2" s="1079"/>
      <c r="N2" s="1080"/>
    </row>
    <row r="3" spans="1:55" ht="5.25" customHeight="1" thickBot="1" x14ac:dyDescent="0.25">
      <c r="D3" s="1797"/>
      <c r="I3" s="1079"/>
      <c r="N3" s="1080"/>
    </row>
    <row r="4" spans="1:55" s="1799" customFormat="1" ht="44.25" customHeight="1" thickBot="1" x14ac:dyDescent="0.35">
      <c r="A4" s="3498" t="s">
        <v>207</v>
      </c>
      <c r="B4" s="3331"/>
      <c r="C4" s="3331"/>
      <c r="D4" s="3331"/>
      <c r="E4" s="3331"/>
      <c r="F4" s="3331"/>
      <c r="G4" s="3331"/>
      <c r="H4" s="3331"/>
      <c r="I4" s="3331"/>
      <c r="J4" s="3331"/>
      <c r="K4" s="3331"/>
      <c r="L4" s="3331"/>
      <c r="M4" s="3331"/>
      <c r="N4" s="3332"/>
    </row>
    <row r="5" spans="1:55" s="472" customFormat="1" ht="38.25" customHeight="1" x14ac:dyDescent="0.2">
      <c r="A5" s="3499" t="s">
        <v>24</v>
      </c>
      <c r="B5" s="3502" t="s">
        <v>25</v>
      </c>
      <c r="C5" s="3505" t="s">
        <v>135</v>
      </c>
      <c r="D5" s="3010" t="s">
        <v>317</v>
      </c>
      <c r="E5" s="3011"/>
      <c r="F5" s="3011"/>
      <c r="G5" s="3011"/>
      <c r="H5" s="3012"/>
      <c r="I5" s="3010" t="s">
        <v>314</v>
      </c>
      <c r="J5" s="3011"/>
      <c r="K5" s="3011"/>
      <c r="L5" s="3011"/>
      <c r="M5" s="3011"/>
      <c r="N5" s="3317" t="s">
        <v>27</v>
      </c>
    </row>
    <row r="6" spans="1:55" s="273" customFormat="1" ht="24.75" customHeight="1" x14ac:dyDescent="0.2">
      <c r="A6" s="3500"/>
      <c r="B6" s="3503"/>
      <c r="C6" s="3506"/>
      <c r="D6" s="3508" t="s">
        <v>0</v>
      </c>
      <c r="E6" s="3511" t="s">
        <v>163</v>
      </c>
      <c r="F6" s="3514" t="s">
        <v>286</v>
      </c>
      <c r="G6" s="3517" t="s">
        <v>260</v>
      </c>
      <c r="H6" s="3518"/>
      <c r="I6" s="3005" t="s">
        <v>311</v>
      </c>
      <c r="J6" s="3282" t="s">
        <v>309</v>
      </c>
      <c r="K6" s="3040" t="s">
        <v>313</v>
      </c>
      <c r="L6" s="3041"/>
      <c r="M6" s="3041"/>
      <c r="N6" s="3318"/>
    </row>
    <row r="7" spans="1:55" s="273" customFormat="1" ht="27" customHeight="1" x14ac:dyDescent="0.2">
      <c r="A7" s="3500"/>
      <c r="B7" s="3503"/>
      <c r="C7" s="3506"/>
      <c r="D7" s="3509"/>
      <c r="E7" s="3512"/>
      <c r="F7" s="3515"/>
      <c r="G7" s="3511" t="s">
        <v>318</v>
      </c>
      <c r="H7" s="3542" t="s">
        <v>221</v>
      </c>
      <c r="I7" s="3006"/>
      <c r="J7" s="3283"/>
      <c r="K7" s="2998" t="s">
        <v>312</v>
      </c>
      <c r="L7" s="3230" t="s">
        <v>310</v>
      </c>
      <c r="M7" s="3232" t="s">
        <v>315</v>
      </c>
      <c r="N7" s="3318"/>
    </row>
    <row r="8" spans="1:55" s="273" customFormat="1" ht="72" customHeight="1" thickBot="1" x14ac:dyDescent="0.25">
      <c r="A8" s="3501"/>
      <c r="B8" s="3504"/>
      <c r="C8" s="3507"/>
      <c r="D8" s="3510"/>
      <c r="E8" s="3513"/>
      <c r="F8" s="3516"/>
      <c r="G8" s="3513"/>
      <c r="H8" s="3543"/>
      <c r="I8" s="3336"/>
      <c r="J8" s="3284"/>
      <c r="K8" s="3229"/>
      <c r="L8" s="3231"/>
      <c r="M8" s="3233"/>
      <c r="N8" s="3319"/>
    </row>
    <row r="9" spans="1:55" s="1803" customFormat="1" ht="15" customHeight="1" thickBot="1" x14ac:dyDescent="0.25">
      <c r="A9" s="3547">
        <v>1</v>
      </c>
      <c r="B9" s="3445"/>
      <c r="C9" s="1800">
        <v>2</v>
      </c>
      <c r="D9" s="2066">
        <v>3</v>
      </c>
      <c r="E9" s="2067">
        <v>4</v>
      </c>
      <c r="F9" s="2067">
        <v>5</v>
      </c>
      <c r="G9" s="2067">
        <v>4</v>
      </c>
      <c r="H9" s="2068">
        <v>5</v>
      </c>
      <c r="I9" s="1589">
        <v>6</v>
      </c>
      <c r="J9" s="1801">
        <v>7</v>
      </c>
      <c r="K9" s="1801">
        <v>8</v>
      </c>
      <c r="L9" s="1802">
        <v>9</v>
      </c>
      <c r="M9" s="1801">
        <v>10</v>
      </c>
      <c r="N9" s="1593">
        <v>11</v>
      </c>
    </row>
    <row r="10" spans="1:55" s="285" customFormat="1" ht="18" customHeight="1" thickBot="1" x14ac:dyDescent="0.25">
      <c r="A10" s="1804"/>
      <c r="B10" s="267" t="s">
        <v>164</v>
      </c>
      <c r="C10" s="268"/>
      <c r="D10" s="2069">
        <f t="shared" ref="D10:H10" si="0">D11+D12</f>
        <v>163457995</v>
      </c>
      <c r="E10" s="269">
        <f t="shared" si="0"/>
        <v>50443336</v>
      </c>
      <c r="F10" s="269">
        <f t="shared" si="0"/>
        <v>23866980</v>
      </c>
      <c r="G10" s="269">
        <f t="shared" si="0"/>
        <v>28574638</v>
      </c>
      <c r="H10" s="269">
        <f t="shared" si="0"/>
        <v>60573041</v>
      </c>
      <c r="I10" s="50">
        <f t="shared" ref="I10" si="1">I11+I12</f>
        <v>101759895.53</v>
      </c>
      <c r="J10" s="270">
        <f t="shared" ref="J10:J23" si="2">I10/D10*100</f>
        <v>62.254462089786436</v>
      </c>
      <c r="K10" s="54">
        <f>K11+K12</f>
        <v>27449579.530000001</v>
      </c>
      <c r="L10" s="270">
        <f t="shared" ref="L10:L23" si="3">K10/G10*100</f>
        <v>96.062737627682282</v>
      </c>
      <c r="M10" s="51">
        <f t="shared" ref="M10:M23" si="4">+K10-G10</f>
        <v>-1125058.4699999988</v>
      </c>
      <c r="N10" s="1805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</row>
    <row r="11" spans="1:55" s="285" customFormat="1" ht="15.75" customHeight="1" thickTop="1" x14ac:dyDescent="0.2">
      <c r="A11" s="1806"/>
      <c r="B11" s="276" t="s">
        <v>165</v>
      </c>
      <c r="C11" s="277"/>
      <c r="D11" s="2070">
        <f>D25+D47+D69+D83</f>
        <v>137969462</v>
      </c>
      <c r="E11" s="278">
        <f t="shared" ref="E11:H11" si="5">E25+E47+E69+E83</f>
        <v>49243648</v>
      </c>
      <c r="F11" s="278">
        <f t="shared" si="5"/>
        <v>18151252</v>
      </c>
      <c r="G11" s="278">
        <f t="shared" si="5"/>
        <v>20836438</v>
      </c>
      <c r="H11" s="278">
        <f t="shared" si="5"/>
        <v>49738124</v>
      </c>
      <c r="I11" s="59">
        <f t="shared" ref="I11" si="6">I25+I47+I69+I83</f>
        <v>87776875</v>
      </c>
      <c r="J11" s="936">
        <f t="shared" si="2"/>
        <v>63.620509732798702</v>
      </c>
      <c r="K11" s="279">
        <f>K25+K47+K69+K83</f>
        <v>20381975</v>
      </c>
      <c r="L11" s="936">
        <f t="shared" si="3"/>
        <v>97.818902635853604</v>
      </c>
      <c r="M11" s="60">
        <f t="shared" si="4"/>
        <v>-454463</v>
      </c>
      <c r="N11" s="1805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</row>
    <row r="12" spans="1:55" s="285" customFormat="1" ht="15.75" customHeight="1" thickBot="1" x14ac:dyDescent="0.25">
      <c r="A12" s="1806"/>
      <c r="B12" s="1807" t="s">
        <v>166</v>
      </c>
      <c r="C12" s="1808"/>
      <c r="D12" s="2071">
        <f>D36+D58+D76+D94</f>
        <v>25488533</v>
      </c>
      <c r="E12" s="2072">
        <f t="shared" ref="E12:H12" si="7">E36+E58+E76+E94</f>
        <v>1199688</v>
      </c>
      <c r="F12" s="2072">
        <f t="shared" si="7"/>
        <v>5715728</v>
      </c>
      <c r="G12" s="2072">
        <f t="shared" si="7"/>
        <v>7738200</v>
      </c>
      <c r="H12" s="2072">
        <f t="shared" si="7"/>
        <v>10834917</v>
      </c>
      <c r="I12" s="1809">
        <f t="shared" ref="I12" si="8">I36+I58+I76+I94</f>
        <v>13983020.530000001</v>
      </c>
      <c r="J12" s="294">
        <f t="shared" si="2"/>
        <v>54.860044436453059</v>
      </c>
      <c r="K12" s="940">
        <f>K36+K58+K76+K94</f>
        <v>7067604.5300000003</v>
      </c>
      <c r="L12" s="294">
        <f t="shared" si="3"/>
        <v>91.333960481765786</v>
      </c>
      <c r="M12" s="1810">
        <f t="shared" si="4"/>
        <v>-670595.46999999974</v>
      </c>
      <c r="N12" s="1805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</row>
    <row r="13" spans="1:55" s="1813" customFormat="1" ht="13.5" customHeight="1" x14ac:dyDescent="0.2">
      <c r="A13" s="3544"/>
      <c r="B13" s="297" t="s">
        <v>2</v>
      </c>
      <c r="C13" s="298"/>
      <c r="D13" s="1811">
        <f>+D14+D17</f>
        <v>163457995</v>
      </c>
      <c r="E13" s="1811">
        <f t="shared" ref="E13:H13" si="9">+E14+E17</f>
        <v>50443336</v>
      </c>
      <c r="F13" s="1607">
        <f t="shared" si="9"/>
        <v>23866980</v>
      </c>
      <c r="G13" s="1610">
        <f t="shared" si="9"/>
        <v>28574638</v>
      </c>
      <c r="H13" s="2985">
        <f t="shared" si="9"/>
        <v>60573041</v>
      </c>
      <c r="I13" s="1811">
        <f t="shared" ref="I13" si="10">+I14+I17</f>
        <v>101759895.53</v>
      </c>
      <c r="J13" s="1812">
        <f t="shared" si="2"/>
        <v>62.254462089786436</v>
      </c>
      <c r="K13" s="1610">
        <f>+K14+K17</f>
        <v>27449579.529999997</v>
      </c>
      <c r="L13" s="1812">
        <f t="shared" si="3"/>
        <v>96.062737627682267</v>
      </c>
      <c r="M13" s="1610">
        <f t="shared" si="4"/>
        <v>-1125058.4700000025</v>
      </c>
      <c r="N13" s="3537" t="s">
        <v>78</v>
      </c>
    </row>
    <row r="14" spans="1:55" s="1616" customFormat="1" ht="14.25" customHeight="1" x14ac:dyDescent="0.2">
      <c r="A14" s="3484"/>
      <c r="B14" s="1611" t="s">
        <v>3</v>
      </c>
      <c r="C14" s="3426" t="s">
        <v>78</v>
      </c>
      <c r="D14" s="1814">
        <f t="shared" ref="D14:H14" si="11">+D15+D16</f>
        <v>6877444</v>
      </c>
      <c r="E14" s="1814">
        <f t="shared" si="11"/>
        <v>461588</v>
      </c>
      <c r="F14" s="1612">
        <f t="shared" si="11"/>
        <v>1523618</v>
      </c>
      <c r="G14" s="1615">
        <f t="shared" si="11"/>
        <v>2029724</v>
      </c>
      <c r="H14" s="2986">
        <f t="shared" si="11"/>
        <v>2862514</v>
      </c>
      <c r="I14" s="1814">
        <f t="shared" ref="I14" si="12">+I15+I16</f>
        <v>3904324.13</v>
      </c>
      <c r="J14" s="1815">
        <f t="shared" si="2"/>
        <v>56.769987949011295</v>
      </c>
      <c r="K14" s="1615">
        <f>+K15+K16</f>
        <v>1919118.13</v>
      </c>
      <c r="L14" s="1815">
        <f>K14/G14*100</f>
        <v>94.550694084515925</v>
      </c>
      <c r="M14" s="1615">
        <f t="shared" si="4"/>
        <v>-110605.87000000011</v>
      </c>
      <c r="N14" s="3538"/>
      <c r="O14" s="284"/>
    </row>
    <row r="15" spans="1:55" s="1818" customFormat="1" ht="13.5" customHeight="1" x14ac:dyDescent="0.2">
      <c r="A15" s="3484"/>
      <c r="B15" s="1617" t="s">
        <v>4</v>
      </c>
      <c r="C15" s="3426"/>
      <c r="D15" s="1816">
        <f t="shared" ref="D15:H15" si="13">D96</f>
        <v>5750000</v>
      </c>
      <c r="E15" s="1816">
        <f t="shared" si="13"/>
        <v>9225</v>
      </c>
      <c r="F15" s="1618">
        <f t="shared" si="13"/>
        <v>1343620</v>
      </c>
      <c r="G15" s="1621">
        <f t="shared" si="13"/>
        <v>1825000</v>
      </c>
      <c r="H15" s="2987">
        <f t="shared" si="13"/>
        <v>2572155</v>
      </c>
      <c r="I15" s="1816">
        <f t="shared" ref="I15:K15" si="14">I96</f>
        <v>3103130.13</v>
      </c>
      <c r="J15" s="1817">
        <f t="shared" si="2"/>
        <v>53.967480521739134</v>
      </c>
      <c r="K15" s="1621">
        <f t="shared" si="14"/>
        <v>1750285.13</v>
      </c>
      <c r="L15" s="1817">
        <f t="shared" si="3"/>
        <v>95.906034520547934</v>
      </c>
      <c r="M15" s="1621">
        <f t="shared" si="4"/>
        <v>-74714.870000000112</v>
      </c>
      <c r="N15" s="3538"/>
    </row>
    <row r="16" spans="1:55" s="1818" customFormat="1" ht="12.75" customHeight="1" x14ac:dyDescent="0.2">
      <c r="A16" s="3484"/>
      <c r="B16" s="351" t="s">
        <v>7</v>
      </c>
      <c r="C16" s="3426"/>
      <c r="D16" s="1816">
        <f t="shared" ref="D16:H16" si="15">D27+D38+D49+D60+D85</f>
        <v>1127444</v>
      </c>
      <c r="E16" s="1816">
        <f t="shared" si="15"/>
        <v>452363</v>
      </c>
      <c r="F16" s="1618">
        <f t="shared" si="15"/>
        <v>179998</v>
      </c>
      <c r="G16" s="1621">
        <f t="shared" si="15"/>
        <v>204724</v>
      </c>
      <c r="H16" s="2987">
        <f t="shared" si="15"/>
        <v>290359</v>
      </c>
      <c r="I16" s="1816">
        <f t="shared" ref="I16:K16" si="16">I27+I38+I49+I60+I85</f>
        <v>801194</v>
      </c>
      <c r="J16" s="1625">
        <f t="shared" si="2"/>
        <v>71.06286431964692</v>
      </c>
      <c r="K16" s="1621">
        <f t="shared" si="16"/>
        <v>168833</v>
      </c>
      <c r="L16" s="1625">
        <f t="shared" si="3"/>
        <v>82.468591860260645</v>
      </c>
      <c r="M16" s="1621">
        <f t="shared" si="4"/>
        <v>-35891</v>
      </c>
      <c r="N16" s="3538"/>
    </row>
    <row r="17" spans="1:15" s="1616" customFormat="1" ht="13.5" customHeight="1" x14ac:dyDescent="0.2">
      <c r="A17" s="3484"/>
      <c r="B17" s="1278" t="s">
        <v>12</v>
      </c>
      <c r="C17" s="3426"/>
      <c r="D17" s="1814">
        <f t="shared" ref="D17:I17" si="17">D18</f>
        <v>156580551</v>
      </c>
      <c r="E17" s="1814">
        <f t="shared" si="17"/>
        <v>49981748</v>
      </c>
      <c r="F17" s="1612">
        <f t="shared" si="17"/>
        <v>22343362</v>
      </c>
      <c r="G17" s="1615">
        <f t="shared" si="17"/>
        <v>26544914</v>
      </c>
      <c r="H17" s="2986">
        <f t="shared" si="17"/>
        <v>57710527</v>
      </c>
      <c r="I17" s="1814">
        <f t="shared" si="17"/>
        <v>97855571.400000006</v>
      </c>
      <c r="J17" s="1623">
        <f t="shared" si="2"/>
        <v>62.495355122361275</v>
      </c>
      <c r="K17" s="1615">
        <f>K18</f>
        <v>25530461.399999999</v>
      </c>
      <c r="L17" s="1623">
        <f t="shared" si="3"/>
        <v>96.178354166074897</v>
      </c>
      <c r="M17" s="1615">
        <f t="shared" si="4"/>
        <v>-1014452.6000000015</v>
      </c>
      <c r="N17" s="3538"/>
      <c r="O17" s="1284"/>
    </row>
    <row r="18" spans="1:15" s="1616" customFormat="1" ht="14.1" customHeight="1" x14ac:dyDescent="0.2">
      <c r="A18" s="3484"/>
      <c r="B18" s="1819" t="s">
        <v>14</v>
      </c>
      <c r="C18" s="3426"/>
      <c r="D18" s="1816">
        <f t="shared" ref="D18:H18" si="18">D29+D40+D51+D62+D71+D78+D87+D98</f>
        <v>156580551</v>
      </c>
      <c r="E18" s="1816">
        <f t="shared" si="18"/>
        <v>49981748</v>
      </c>
      <c r="F18" s="1618">
        <f t="shared" si="18"/>
        <v>22343362</v>
      </c>
      <c r="G18" s="1621">
        <f t="shared" si="18"/>
        <v>26544914</v>
      </c>
      <c r="H18" s="2987">
        <f t="shared" si="18"/>
        <v>57710527</v>
      </c>
      <c r="I18" s="1816">
        <f t="shared" ref="I18" si="19">I29+I40+I51+I62+I71+I78+I87+I98</f>
        <v>97855571.400000006</v>
      </c>
      <c r="J18" s="1625">
        <f t="shared" si="2"/>
        <v>62.495355122361275</v>
      </c>
      <c r="K18" s="1621">
        <f>K29+K40+K51+K62+K71+K78+K87+K98</f>
        <v>25530461.399999999</v>
      </c>
      <c r="L18" s="1625">
        <f t="shared" si="3"/>
        <v>96.178354166074897</v>
      </c>
      <c r="M18" s="1621">
        <f t="shared" si="4"/>
        <v>-1014452.6000000015</v>
      </c>
      <c r="N18" s="3538"/>
      <c r="O18" s="284"/>
    </row>
    <row r="19" spans="1:15" s="1616" customFormat="1" ht="14.1" customHeight="1" x14ac:dyDescent="0.2">
      <c r="A19" s="3484"/>
      <c r="B19" s="334" t="s">
        <v>16</v>
      </c>
      <c r="C19" s="1820"/>
      <c r="D19" s="1822">
        <f t="shared" ref="D19:H19" si="20">+D20+D22</f>
        <v>157707995</v>
      </c>
      <c r="E19" s="1822">
        <f t="shared" si="20"/>
        <v>50206718</v>
      </c>
      <c r="F19" s="2983">
        <f t="shared" si="20"/>
        <v>23571021</v>
      </c>
      <c r="G19" s="1824">
        <f t="shared" si="20"/>
        <v>26904374</v>
      </c>
      <c r="H19" s="2010">
        <f t="shared" si="20"/>
        <v>57025882</v>
      </c>
      <c r="I19" s="1822">
        <f t="shared" ref="I19:K19" si="21">+I20+I22</f>
        <v>99050279</v>
      </c>
      <c r="J19" s="1823">
        <f t="shared" si="2"/>
        <v>62.806124064921377</v>
      </c>
      <c r="K19" s="1824">
        <f t="shared" si="21"/>
        <v>25272540</v>
      </c>
      <c r="L19" s="1823">
        <f t="shared" si="3"/>
        <v>93.934688835354436</v>
      </c>
      <c r="M19" s="1824">
        <f t="shared" si="4"/>
        <v>-1631834</v>
      </c>
      <c r="N19" s="3538"/>
      <c r="O19" s="284"/>
    </row>
    <row r="20" spans="1:15" s="1616" customFormat="1" ht="13.5" customHeight="1" x14ac:dyDescent="0.2">
      <c r="A20" s="3484"/>
      <c r="B20" s="1611" t="s">
        <v>3</v>
      </c>
      <c r="C20" s="3426" t="s">
        <v>78</v>
      </c>
      <c r="D20" s="1814">
        <f t="shared" ref="D20:K20" si="22">D21</f>
        <v>1127444</v>
      </c>
      <c r="E20" s="1814">
        <f t="shared" si="22"/>
        <v>424719</v>
      </c>
      <c r="F20" s="1612">
        <f t="shared" si="22"/>
        <v>180383</v>
      </c>
      <c r="G20" s="1615">
        <f t="shared" si="22"/>
        <v>204724</v>
      </c>
      <c r="H20" s="2986">
        <f t="shared" si="22"/>
        <v>317618</v>
      </c>
      <c r="I20" s="1814">
        <f t="shared" si="22"/>
        <v>775714</v>
      </c>
      <c r="J20" s="1623">
        <f t="shared" si="2"/>
        <v>68.802885110036499</v>
      </c>
      <c r="K20" s="1615">
        <f t="shared" si="22"/>
        <v>170612</v>
      </c>
      <c r="L20" s="1623">
        <f t="shared" si="3"/>
        <v>83.337566675133345</v>
      </c>
      <c r="M20" s="1615">
        <f t="shared" si="4"/>
        <v>-34112</v>
      </c>
      <c r="N20" s="3538"/>
      <c r="O20" s="284"/>
    </row>
    <row r="21" spans="1:15" s="1616" customFormat="1" ht="12" customHeight="1" x14ac:dyDescent="0.2">
      <c r="A21" s="3484"/>
      <c r="B21" s="351" t="s">
        <v>7</v>
      </c>
      <c r="C21" s="3426"/>
      <c r="D21" s="1816">
        <f t="shared" ref="D21:H21" si="23">D32+D43+D54+D65+D90</f>
        <v>1127444</v>
      </c>
      <c r="E21" s="1816">
        <f t="shared" si="23"/>
        <v>424719</v>
      </c>
      <c r="F21" s="1618">
        <f t="shared" si="23"/>
        <v>180383</v>
      </c>
      <c r="G21" s="1621">
        <f t="shared" si="23"/>
        <v>204724</v>
      </c>
      <c r="H21" s="2987">
        <f t="shared" si="23"/>
        <v>317618</v>
      </c>
      <c r="I21" s="1816">
        <f t="shared" ref="I21" si="24">I32+I43+I54+I65+I90</f>
        <v>775714</v>
      </c>
      <c r="J21" s="1625">
        <f t="shared" si="2"/>
        <v>68.802885110036499</v>
      </c>
      <c r="K21" s="1621">
        <f>K32+K43+K54+K65+K90</f>
        <v>170612</v>
      </c>
      <c r="L21" s="1625">
        <f t="shared" si="3"/>
        <v>83.337566675133345</v>
      </c>
      <c r="M21" s="1621">
        <f t="shared" si="4"/>
        <v>-34112</v>
      </c>
      <c r="N21" s="3538"/>
      <c r="O21" s="284"/>
    </row>
    <row r="22" spans="1:15" s="1616" customFormat="1" ht="14.1" customHeight="1" x14ac:dyDescent="0.2">
      <c r="A22" s="3484"/>
      <c r="B22" s="1278" t="s">
        <v>12</v>
      </c>
      <c r="C22" s="3426"/>
      <c r="D22" s="1814">
        <f t="shared" ref="D22:K22" si="25">D23</f>
        <v>156580551</v>
      </c>
      <c r="E22" s="1814">
        <f t="shared" si="25"/>
        <v>49781999</v>
      </c>
      <c r="F22" s="1612">
        <f t="shared" si="25"/>
        <v>23390638</v>
      </c>
      <c r="G22" s="1615">
        <f t="shared" si="25"/>
        <v>26699650</v>
      </c>
      <c r="H22" s="2986">
        <f t="shared" si="25"/>
        <v>56708264</v>
      </c>
      <c r="I22" s="1814">
        <f t="shared" si="25"/>
        <v>98274565</v>
      </c>
      <c r="J22" s="1625">
        <f t="shared" si="2"/>
        <v>62.762944933052381</v>
      </c>
      <c r="K22" s="1615">
        <f t="shared" si="25"/>
        <v>25101928</v>
      </c>
      <c r="L22" s="1625">
        <f t="shared" si="3"/>
        <v>94.015944029228848</v>
      </c>
      <c r="M22" s="1615">
        <f t="shared" si="4"/>
        <v>-1597722</v>
      </c>
      <c r="N22" s="3538"/>
      <c r="O22" s="1284"/>
    </row>
    <row r="23" spans="1:15" s="1616" customFormat="1" ht="13.5" thickBot="1" x14ac:dyDescent="0.25">
      <c r="A23" s="3545"/>
      <c r="B23" s="1825" t="s">
        <v>14</v>
      </c>
      <c r="C23" s="3546"/>
      <c r="D23" s="1633">
        <f t="shared" ref="D23:H23" si="26">D34+D45+D56+D67+D74+D81+D92+D101</f>
        <v>156580551</v>
      </c>
      <c r="E23" s="1633">
        <f t="shared" si="26"/>
        <v>49781999</v>
      </c>
      <c r="F23" s="2984">
        <f t="shared" si="26"/>
        <v>23390638</v>
      </c>
      <c r="G23" s="1634">
        <f t="shared" si="26"/>
        <v>26699650</v>
      </c>
      <c r="H23" s="2988">
        <f t="shared" si="26"/>
        <v>56708264</v>
      </c>
      <c r="I23" s="1633">
        <f t="shared" ref="I23" si="27">I34+I45+I56+I67+I74+I81+I92+I101</f>
        <v>98274565</v>
      </c>
      <c r="J23" s="1625">
        <f t="shared" si="2"/>
        <v>62.762944933052381</v>
      </c>
      <c r="K23" s="1634">
        <f>K34+K45+K56+K67+K74+K81+K92+K101</f>
        <v>25101928</v>
      </c>
      <c r="L23" s="1625">
        <f t="shared" si="3"/>
        <v>94.015944029228848</v>
      </c>
      <c r="M23" s="1634">
        <f t="shared" si="4"/>
        <v>-1597722</v>
      </c>
      <c r="N23" s="3539"/>
      <c r="O23" s="284"/>
    </row>
    <row r="24" spans="1:15" s="1670" customFormat="1" ht="39.75" customHeight="1" x14ac:dyDescent="0.2">
      <c r="A24" s="3474" t="s">
        <v>32</v>
      </c>
      <c r="B24" s="1826" t="s">
        <v>146</v>
      </c>
      <c r="C24" s="1827" t="s">
        <v>173</v>
      </c>
      <c r="D24" s="1828"/>
      <c r="E24" s="1829"/>
      <c r="F24" s="1829"/>
      <c r="G24" s="1829"/>
      <c r="H24" s="1830"/>
      <c r="I24" s="1828"/>
      <c r="J24" s="1831"/>
      <c r="K24" s="1829"/>
      <c r="L24" s="1831"/>
      <c r="M24" s="1829"/>
      <c r="N24" s="3495" t="s">
        <v>351</v>
      </c>
    </row>
    <row r="25" spans="1:15" s="1670" customFormat="1" ht="15" customHeight="1" x14ac:dyDescent="0.2">
      <c r="A25" s="3472"/>
      <c r="B25" s="334" t="s">
        <v>2</v>
      </c>
      <c r="C25" s="1832"/>
      <c r="D25" s="1835">
        <f t="shared" ref="D25:H25" si="28">+D26+D28</f>
        <v>5117038</v>
      </c>
      <c r="E25" s="1835">
        <f t="shared" si="28"/>
        <v>1550983</v>
      </c>
      <c r="F25" s="1835">
        <f t="shared" si="28"/>
        <v>851190</v>
      </c>
      <c r="G25" s="1835">
        <f t="shared" si="28"/>
        <v>1049145</v>
      </c>
      <c r="H25" s="1835">
        <f t="shared" si="28"/>
        <v>1665720</v>
      </c>
      <c r="I25" s="1833">
        <f t="shared" ref="I25:I34" si="29">+K25+E25+F25</f>
        <v>3244909</v>
      </c>
      <c r="J25" s="1834">
        <f t="shared" ref="J25:J34" si="30">I25/D25*100</f>
        <v>63.413814788946269</v>
      </c>
      <c r="K25" s="1835">
        <f>+K26+K28</f>
        <v>842736</v>
      </c>
      <c r="L25" s="1834">
        <f t="shared" ref="L25:L34" si="31">K25/G25*100</f>
        <v>80.325979726348592</v>
      </c>
      <c r="M25" s="1835">
        <f t="shared" ref="M25:M74" si="32">+K25-G25*0.5</f>
        <v>318163.5</v>
      </c>
      <c r="N25" s="3496"/>
    </row>
    <row r="26" spans="1:15" s="1670" customFormat="1" ht="15" customHeight="1" x14ac:dyDescent="0.2">
      <c r="A26" s="3472"/>
      <c r="B26" s="775" t="s">
        <v>17</v>
      </c>
      <c r="C26" s="3478" t="s">
        <v>136</v>
      </c>
      <c r="D26" s="1836">
        <f t="shared" ref="D26:H26" si="33">+D27</f>
        <v>767556</v>
      </c>
      <c r="E26" s="1837">
        <f t="shared" si="33"/>
        <v>232646</v>
      </c>
      <c r="F26" s="1837">
        <f t="shared" si="33"/>
        <v>127679</v>
      </c>
      <c r="G26" s="1837">
        <f t="shared" si="33"/>
        <v>157372</v>
      </c>
      <c r="H26" s="1838">
        <f t="shared" si="33"/>
        <v>249859</v>
      </c>
      <c r="I26" s="1520">
        <f t="shared" si="29"/>
        <v>486738</v>
      </c>
      <c r="J26" s="1839">
        <f t="shared" si="30"/>
        <v>63.414004971624216</v>
      </c>
      <c r="K26" s="1518">
        <f>+K27</f>
        <v>126413</v>
      </c>
      <c r="L26" s="1839">
        <f t="shared" si="31"/>
        <v>80.327504257428259</v>
      </c>
      <c r="M26" s="1518">
        <f t="shared" si="32"/>
        <v>47727</v>
      </c>
      <c r="N26" s="3496"/>
    </row>
    <row r="27" spans="1:15" s="1670" customFormat="1" ht="15" customHeight="1" x14ac:dyDescent="0.2">
      <c r="A27" s="3472"/>
      <c r="B27" s="1840" t="s">
        <v>7</v>
      </c>
      <c r="C27" s="3171"/>
      <c r="D27" s="1474">
        <f>+E27+F27+G27+H27</f>
        <v>767556</v>
      </c>
      <c r="E27" s="1475">
        <f>27008+90621+115017</f>
        <v>232646</v>
      </c>
      <c r="F27" s="1475">
        <v>127679</v>
      </c>
      <c r="G27" s="1475">
        <v>157372</v>
      </c>
      <c r="H27" s="1480">
        <f>163136+86723</f>
        <v>249859</v>
      </c>
      <c r="I27" s="1841">
        <f t="shared" si="29"/>
        <v>486738</v>
      </c>
      <c r="J27" s="1842">
        <f t="shared" si="30"/>
        <v>63.414004971624216</v>
      </c>
      <c r="K27" s="1843">
        <v>126413</v>
      </c>
      <c r="L27" s="1842">
        <f t="shared" si="31"/>
        <v>80.327504257428259</v>
      </c>
      <c r="M27" s="1843">
        <f t="shared" si="32"/>
        <v>47727</v>
      </c>
      <c r="N27" s="3496"/>
    </row>
    <row r="28" spans="1:15" s="1670" customFormat="1" ht="15" customHeight="1" x14ac:dyDescent="0.2">
      <c r="A28" s="3472"/>
      <c r="B28" s="1665" t="s">
        <v>12</v>
      </c>
      <c r="C28" s="3171"/>
      <c r="D28" s="1844">
        <f>+D29</f>
        <v>4349482</v>
      </c>
      <c r="E28" s="1845">
        <f>+E29</f>
        <v>1318337</v>
      </c>
      <c r="F28" s="1845">
        <f>F29</f>
        <v>723511</v>
      </c>
      <c r="G28" s="1845">
        <f>G29</f>
        <v>891773</v>
      </c>
      <c r="H28" s="1846">
        <f>H29</f>
        <v>1415861</v>
      </c>
      <c r="I28" s="1847">
        <f t="shared" si="29"/>
        <v>2758171</v>
      </c>
      <c r="J28" s="1848">
        <f t="shared" si="30"/>
        <v>63.413781227281774</v>
      </c>
      <c r="K28" s="1849">
        <f>K29</f>
        <v>716323</v>
      </c>
      <c r="L28" s="1848">
        <f t="shared" si="31"/>
        <v>80.325710690949379</v>
      </c>
      <c r="M28" s="1849">
        <f t="shared" si="32"/>
        <v>270436.5</v>
      </c>
      <c r="N28" s="3496"/>
    </row>
    <row r="29" spans="1:15" s="1670" customFormat="1" ht="15" customHeight="1" x14ac:dyDescent="0.2">
      <c r="A29" s="3472"/>
      <c r="B29" s="1850" t="s">
        <v>14</v>
      </c>
      <c r="C29" s="3171"/>
      <c r="D29" s="1474">
        <f>+E29+F29+G29+H29</f>
        <v>4349482</v>
      </c>
      <c r="E29" s="846">
        <f>153046+513525+651766</f>
        <v>1318337</v>
      </c>
      <c r="F29" s="846">
        <v>723511</v>
      </c>
      <c r="G29" s="846">
        <f>891773</f>
        <v>891773</v>
      </c>
      <c r="H29" s="1026">
        <f>924435+491426</f>
        <v>1415861</v>
      </c>
      <c r="I29" s="1841">
        <f t="shared" si="29"/>
        <v>2758171</v>
      </c>
      <c r="J29" s="1842">
        <f t="shared" si="30"/>
        <v>63.413781227281774</v>
      </c>
      <c r="K29" s="847">
        <v>716323</v>
      </c>
      <c r="L29" s="1842">
        <f t="shared" si="31"/>
        <v>80.325710690949379</v>
      </c>
      <c r="M29" s="847">
        <f t="shared" si="32"/>
        <v>270436.5</v>
      </c>
      <c r="N29" s="3496"/>
    </row>
    <row r="30" spans="1:15" s="1670" customFormat="1" ht="15" customHeight="1" x14ac:dyDescent="0.2">
      <c r="A30" s="3118"/>
      <c r="B30" s="334" t="s">
        <v>16</v>
      </c>
      <c r="C30" s="22"/>
      <c r="D30" s="1822">
        <f>+D31+D33</f>
        <v>5117038</v>
      </c>
      <c r="E30" s="1824">
        <f>+E31+E33</f>
        <v>1550983</v>
      </c>
      <c r="F30" s="1824">
        <f>F31+F33</f>
        <v>851190</v>
      </c>
      <c r="G30" s="1824">
        <f>G31+G33</f>
        <v>1049145</v>
      </c>
      <c r="H30" s="1821">
        <f>H31+H33</f>
        <v>1665720</v>
      </c>
      <c r="I30" s="1833">
        <f t="shared" si="29"/>
        <v>3244059</v>
      </c>
      <c r="J30" s="1834">
        <f t="shared" si="30"/>
        <v>63.397203616623521</v>
      </c>
      <c r="K30" s="1835">
        <f>K31+K33</f>
        <v>841886</v>
      </c>
      <c r="L30" s="1834">
        <f t="shared" si="31"/>
        <v>80.24496137330874</v>
      </c>
      <c r="M30" s="1835">
        <f t="shared" si="32"/>
        <v>317313.5</v>
      </c>
      <c r="N30" s="3496"/>
    </row>
    <row r="31" spans="1:15" s="1670" customFormat="1" ht="15" customHeight="1" x14ac:dyDescent="0.2">
      <c r="A31" s="3118"/>
      <c r="B31" s="775" t="s">
        <v>17</v>
      </c>
      <c r="C31" s="3478" t="s">
        <v>136</v>
      </c>
      <c r="D31" s="1836">
        <f>+D32</f>
        <v>767556</v>
      </c>
      <c r="E31" s="1837">
        <f>+E32</f>
        <v>232646</v>
      </c>
      <c r="F31" s="1837">
        <f>F32</f>
        <v>127679</v>
      </c>
      <c r="G31" s="1837">
        <f>G32</f>
        <v>157372</v>
      </c>
      <c r="H31" s="1838">
        <f>H32</f>
        <v>249859</v>
      </c>
      <c r="I31" s="1836">
        <f t="shared" si="29"/>
        <v>486608</v>
      </c>
      <c r="J31" s="1851">
        <f t="shared" si="30"/>
        <v>63.39706809666005</v>
      </c>
      <c r="K31" s="1837">
        <f>K32</f>
        <v>126283</v>
      </c>
      <c r="L31" s="1851">
        <f t="shared" si="31"/>
        <v>80.244897440459553</v>
      </c>
      <c r="M31" s="1837">
        <f t="shared" si="32"/>
        <v>47597</v>
      </c>
      <c r="N31" s="3496"/>
    </row>
    <row r="32" spans="1:15" s="1670" customFormat="1" ht="15" customHeight="1" x14ac:dyDescent="0.2">
      <c r="A32" s="3118"/>
      <c r="B32" s="1840" t="s">
        <v>7</v>
      </c>
      <c r="C32" s="3171"/>
      <c r="D32" s="1474">
        <f>+E32+F32+G32+H32</f>
        <v>767556</v>
      </c>
      <c r="E32" s="1475">
        <f>27008+90621+115017</f>
        <v>232646</v>
      </c>
      <c r="F32" s="1475">
        <v>127679</v>
      </c>
      <c r="G32" s="1475">
        <v>157372</v>
      </c>
      <c r="H32" s="1480">
        <f>163136+86723</f>
        <v>249859</v>
      </c>
      <c r="I32" s="1019">
        <f t="shared" si="29"/>
        <v>486608</v>
      </c>
      <c r="J32" s="1852">
        <f t="shared" si="30"/>
        <v>63.39706809666005</v>
      </c>
      <c r="K32" s="1475">
        <v>126283</v>
      </c>
      <c r="L32" s="1852">
        <f t="shared" si="31"/>
        <v>80.244897440459553</v>
      </c>
      <c r="M32" s="1475">
        <f t="shared" si="32"/>
        <v>47597</v>
      </c>
      <c r="N32" s="3496"/>
    </row>
    <row r="33" spans="1:14" s="1670" customFormat="1" ht="15" customHeight="1" thickBot="1" x14ac:dyDescent="0.25">
      <c r="A33" s="3164"/>
      <c r="B33" s="1665" t="s">
        <v>12</v>
      </c>
      <c r="C33" s="3143"/>
      <c r="D33" s="1844">
        <f>+D34</f>
        <v>4349482</v>
      </c>
      <c r="E33" s="1845">
        <f>+E34</f>
        <v>1318337</v>
      </c>
      <c r="F33" s="1845">
        <f>F34</f>
        <v>723511</v>
      </c>
      <c r="G33" s="1845">
        <f>G34</f>
        <v>891773</v>
      </c>
      <c r="H33" s="1846">
        <f>H34</f>
        <v>1415861</v>
      </c>
      <c r="I33" s="1844">
        <f t="shared" si="29"/>
        <v>2757451</v>
      </c>
      <c r="J33" s="1853">
        <f t="shared" si="30"/>
        <v>63.397227531922198</v>
      </c>
      <c r="K33" s="1845">
        <f>K34</f>
        <v>715603</v>
      </c>
      <c r="L33" s="1853">
        <f t="shared" si="31"/>
        <v>80.244972655597337</v>
      </c>
      <c r="M33" s="1845">
        <f t="shared" si="32"/>
        <v>269716.5</v>
      </c>
      <c r="N33" s="3496"/>
    </row>
    <row r="34" spans="1:14" s="1670" customFormat="1" ht="13.5" thickBot="1" x14ac:dyDescent="0.25">
      <c r="A34" s="3189"/>
      <c r="B34" s="1854" t="s">
        <v>14</v>
      </c>
      <c r="C34" s="3541"/>
      <c r="D34" s="1855">
        <f>+E34+F34+G34+H34</f>
        <v>4349482</v>
      </c>
      <c r="E34" s="1053">
        <f>153046+513525+651766</f>
        <v>1318337</v>
      </c>
      <c r="F34" s="1053">
        <v>723511</v>
      </c>
      <c r="G34" s="1053">
        <f>891773</f>
        <v>891773</v>
      </c>
      <c r="H34" s="1856">
        <f>924435+491426</f>
        <v>1415861</v>
      </c>
      <c r="I34" s="1857">
        <f t="shared" si="29"/>
        <v>2757451</v>
      </c>
      <c r="J34" s="1858">
        <f t="shared" si="30"/>
        <v>63.397227531922198</v>
      </c>
      <c r="K34" s="1053">
        <v>715603</v>
      </c>
      <c r="L34" s="1858">
        <f t="shared" si="31"/>
        <v>80.244972655597337</v>
      </c>
      <c r="M34" s="1053">
        <f t="shared" si="32"/>
        <v>269716.5</v>
      </c>
      <c r="N34" s="3540"/>
    </row>
    <row r="35" spans="1:14" s="1670" customFormat="1" ht="39.75" customHeight="1" x14ac:dyDescent="0.2">
      <c r="A35" s="3474">
        <v>2</v>
      </c>
      <c r="B35" s="1826" t="s">
        <v>208</v>
      </c>
      <c r="C35" s="1501" t="s">
        <v>168</v>
      </c>
      <c r="D35" s="1828"/>
      <c r="E35" s="1829"/>
      <c r="F35" s="1829"/>
      <c r="G35" s="1829"/>
      <c r="H35" s="1859"/>
      <c r="I35" s="1828"/>
      <c r="J35" s="1831"/>
      <c r="K35" s="1829"/>
      <c r="L35" s="1831"/>
      <c r="M35" s="1829"/>
      <c r="N35" s="3495" t="s">
        <v>351</v>
      </c>
    </row>
    <row r="36" spans="1:14" s="1670" customFormat="1" ht="12.75" customHeight="1" thickBot="1" x14ac:dyDescent="0.25">
      <c r="A36" s="3472"/>
      <c r="B36" s="334" t="s">
        <v>2</v>
      </c>
      <c r="C36" s="1860"/>
      <c r="D36" s="1822">
        <f t="shared" ref="D36:H36" si="34">+D37+D39</f>
        <v>283962</v>
      </c>
      <c r="E36" s="1824">
        <f t="shared" si="34"/>
        <v>283962</v>
      </c>
      <c r="F36" s="1861">
        <f t="shared" si="34"/>
        <v>0</v>
      </c>
      <c r="G36" s="1861">
        <f t="shared" si="34"/>
        <v>0</v>
      </c>
      <c r="H36" s="1862">
        <f t="shared" si="34"/>
        <v>0</v>
      </c>
      <c r="I36" s="1833">
        <f t="shared" ref="I36:I45" si="35">+K36+E36+F36</f>
        <v>283962</v>
      </c>
      <c r="J36" s="1834">
        <f t="shared" ref="J36:J45" si="36">I36/D36*100</f>
        <v>100</v>
      </c>
      <c r="K36" s="1863">
        <f>+K37+K39</f>
        <v>0</v>
      </c>
      <c r="L36" s="1863">
        <v>0</v>
      </c>
      <c r="M36" s="1863">
        <f t="shared" si="32"/>
        <v>0</v>
      </c>
      <c r="N36" s="3496"/>
    </row>
    <row r="37" spans="1:14" s="1670" customFormat="1" ht="12.75" customHeight="1" x14ac:dyDescent="0.2">
      <c r="A37" s="3472"/>
      <c r="B37" s="775" t="s">
        <v>17</v>
      </c>
      <c r="C37" s="3390" t="s">
        <v>136</v>
      </c>
      <c r="D37" s="1836">
        <f t="shared" ref="D37:H37" si="37">+D38</f>
        <v>42595</v>
      </c>
      <c r="E37" s="1837">
        <f t="shared" si="37"/>
        <v>42595</v>
      </c>
      <c r="F37" s="1864">
        <f t="shared" si="37"/>
        <v>0</v>
      </c>
      <c r="G37" s="1864">
        <f t="shared" si="37"/>
        <v>0</v>
      </c>
      <c r="H37" s="1865">
        <f t="shared" si="37"/>
        <v>0</v>
      </c>
      <c r="I37" s="1520">
        <f t="shared" si="35"/>
        <v>42595</v>
      </c>
      <c r="J37" s="1839">
        <f t="shared" si="36"/>
        <v>100</v>
      </c>
      <c r="K37" s="1866">
        <f>+K38</f>
        <v>0</v>
      </c>
      <c r="L37" s="1866">
        <v>0</v>
      </c>
      <c r="M37" s="1866">
        <f t="shared" si="32"/>
        <v>0</v>
      </c>
      <c r="N37" s="3495"/>
    </row>
    <row r="38" spans="1:14" s="1670" customFormat="1" ht="12.75" customHeight="1" x14ac:dyDescent="0.2">
      <c r="A38" s="3472"/>
      <c r="B38" s="1840" t="s">
        <v>7</v>
      </c>
      <c r="C38" s="3384"/>
      <c r="D38" s="1474">
        <f>+E38+F38+G38+H38</f>
        <v>42595</v>
      </c>
      <c r="E38" s="1475">
        <v>42595</v>
      </c>
      <c r="F38" s="1867">
        <v>0</v>
      </c>
      <c r="G38" s="1867">
        <v>0</v>
      </c>
      <c r="H38" s="1868">
        <v>0</v>
      </c>
      <c r="I38" s="1869">
        <f t="shared" si="35"/>
        <v>42595</v>
      </c>
      <c r="J38" s="1870">
        <f t="shared" si="36"/>
        <v>100</v>
      </c>
      <c r="K38" s="1871">
        <v>0</v>
      </c>
      <c r="L38" s="1871">
        <v>0</v>
      </c>
      <c r="M38" s="1871">
        <f t="shared" si="32"/>
        <v>0</v>
      </c>
      <c r="N38" s="3496"/>
    </row>
    <row r="39" spans="1:14" s="1670" customFormat="1" ht="12.75" customHeight="1" x14ac:dyDescent="0.2">
      <c r="A39" s="3472"/>
      <c r="B39" s="1665" t="s">
        <v>12</v>
      </c>
      <c r="C39" s="3384"/>
      <c r="D39" s="1844">
        <f>+D40</f>
        <v>241367</v>
      </c>
      <c r="E39" s="1845">
        <f>+E40</f>
        <v>241367</v>
      </c>
      <c r="F39" s="1872">
        <f>F40</f>
        <v>0</v>
      </c>
      <c r="G39" s="1872">
        <f>G40</f>
        <v>0</v>
      </c>
      <c r="H39" s="1873">
        <f>H40</f>
        <v>0</v>
      </c>
      <c r="I39" s="1847">
        <f t="shared" si="35"/>
        <v>241367</v>
      </c>
      <c r="J39" s="1848">
        <f t="shared" si="36"/>
        <v>100</v>
      </c>
      <c r="K39" s="1874">
        <f>K40</f>
        <v>0</v>
      </c>
      <c r="L39" s="1874">
        <v>0</v>
      </c>
      <c r="M39" s="1874">
        <f t="shared" si="32"/>
        <v>0</v>
      </c>
      <c r="N39" s="3496"/>
    </row>
    <row r="40" spans="1:14" s="1670" customFormat="1" ht="12.75" customHeight="1" x14ac:dyDescent="0.2">
      <c r="A40" s="3472"/>
      <c r="B40" s="1850" t="s">
        <v>14</v>
      </c>
      <c r="C40" s="3384"/>
      <c r="D40" s="1474">
        <f>+E40+F40+G40+H40</f>
        <v>241367</v>
      </c>
      <c r="E40" s="846">
        <v>241367</v>
      </c>
      <c r="F40" s="482">
        <v>0</v>
      </c>
      <c r="G40" s="482">
        <v>0</v>
      </c>
      <c r="H40" s="535">
        <v>0</v>
      </c>
      <c r="I40" s="1869">
        <f t="shared" si="35"/>
        <v>241367</v>
      </c>
      <c r="J40" s="1870">
        <f t="shared" si="36"/>
        <v>100</v>
      </c>
      <c r="K40" s="470">
        <v>0</v>
      </c>
      <c r="L40" s="1871">
        <v>0</v>
      </c>
      <c r="M40" s="470">
        <f t="shared" si="32"/>
        <v>0</v>
      </c>
      <c r="N40" s="3496"/>
    </row>
    <row r="41" spans="1:14" s="1670" customFormat="1" ht="12.75" customHeight="1" x14ac:dyDescent="0.2">
      <c r="A41" s="3118"/>
      <c r="B41" s="334" t="s">
        <v>16</v>
      </c>
      <c r="C41" s="1875"/>
      <c r="D41" s="1822">
        <f>+D42+D44</f>
        <v>283962</v>
      </c>
      <c r="E41" s="1824">
        <f>+E42+E44</f>
        <v>283962</v>
      </c>
      <c r="F41" s="1861">
        <f>F42+F44</f>
        <v>0</v>
      </c>
      <c r="G41" s="1861">
        <f>G42+G44</f>
        <v>0</v>
      </c>
      <c r="H41" s="1862">
        <f>H42+H44</f>
        <v>0</v>
      </c>
      <c r="I41" s="1833">
        <f t="shared" si="35"/>
        <v>283962</v>
      </c>
      <c r="J41" s="1834">
        <f t="shared" si="36"/>
        <v>100</v>
      </c>
      <c r="K41" s="1863">
        <f>K42+K44</f>
        <v>0</v>
      </c>
      <c r="L41" s="1863">
        <v>0</v>
      </c>
      <c r="M41" s="1863">
        <f t="shared" si="32"/>
        <v>0</v>
      </c>
      <c r="N41" s="3496"/>
    </row>
    <row r="42" spans="1:14" s="1670" customFormat="1" ht="12.75" customHeight="1" x14ac:dyDescent="0.2">
      <c r="A42" s="3494"/>
      <c r="B42" s="1876" t="s">
        <v>17</v>
      </c>
      <c r="C42" s="3478" t="s">
        <v>136</v>
      </c>
      <c r="D42" s="1836">
        <f>+D43</f>
        <v>42595</v>
      </c>
      <c r="E42" s="1837">
        <f>+E43</f>
        <v>42595</v>
      </c>
      <c r="F42" s="1864">
        <f>F43</f>
        <v>0</v>
      </c>
      <c r="G42" s="1864">
        <f>G43</f>
        <v>0</v>
      </c>
      <c r="H42" s="1865">
        <f>H43</f>
        <v>0</v>
      </c>
      <c r="I42" s="1520">
        <f t="shared" si="35"/>
        <v>42595</v>
      </c>
      <c r="J42" s="1839">
        <f t="shared" si="36"/>
        <v>100</v>
      </c>
      <c r="K42" s="1866">
        <f>K43</f>
        <v>0</v>
      </c>
      <c r="L42" s="1866">
        <v>0</v>
      </c>
      <c r="M42" s="1866">
        <f t="shared" si="32"/>
        <v>0</v>
      </c>
      <c r="N42" s="3496"/>
    </row>
    <row r="43" spans="1:14" s="1670" customFormat="1" ht="12.75" customHeight="1" x14ac:dyDescent="0.2">
      <c r="A43" s="3118"/>
      <c r="B43" s="1877" t="s">
        <v>7</v>
      </c>
      <c r="C43" s="3171"/>
      <c r="D43" s="1474">
        <f>+E43+F43+G43+H43</f>
        <v>42595</v>
      </c>
      <c r="E43" s="1475">
        <v>42595</v>
      </c>
      <c r="F43" s="1867">
        <v>0</v>
      </c>
      <c r="G43" s="1867">
        <v>0</v>
      </c>
      <c r="H43" s="1868">
        <v>0</v>
      </c>
      <c r="I43" s="1869">
        <f t="shared" si="35"/>
        <v>42595</v>
      </c>
      <c r="J43" s="1870">
        <f t="shared" si="36"/>
        <v>100</v>
      </c>
      <c r="K43" s="1871">
        <v>0</v>
      </c>
      <c r="L43" s="1871">
        <v>0</v>
      </c>
      <c r="M43" s="1871">
        <f t="shared" si="32"/>
        <v>0</v>
      </c>
      <c r="N43" s="3496"/>
    </row>
    <row r="44" spans="1:14" s="1670" customFormat="1" ht="12.75" customHeight="1" x14ac:dyDescent="0.2">
      <c r="A44" s="3118"/>
      <c r="B44" s="1878" t="s">
        <v>12</v>
      </c>
      <c r="C44" s="3171"/>
      <c r="D44" s="1844">
        <f>+D45</f>
        <v>241367</v>
      </c>
      <c r="E44" s="1845">
        <f>+E45</f>
        <v>241367</v>
      </c>
      <c r="F44" s="1872">
        <f>F45</f>
        <v>0</v>
      </c>
      <c r="G44" s="1872">
        <f>G45</f>
        <v>0</v>
      </c>
      <c r="H44" s="1873">
        <f>H45</f>
        <v>0</v>
      </c>
      <c r="I44" s="1847">
        <f t="shared" si="35"/>
        <v>241367</v>
      </c>
      <c r="J44" s="1848">
        <f t="shared" si="36"/>
        <v>100</v>
      </c>
      <c r="K44" s="1874">
        <f>K45</f>
        <v>0</v>
      </c>
      <c r="L44" s="1879"/>
      <c r="M44" s="1874">
        <f t="shared" si="32"/>
        <v>0</v>
      </c>
      <c r="N44" s="3496"/>
    </row>
    <row r="45" spans="1:14" s="1670" customFormat="1" ht="12.75" customHeight="1" thickBot="1" x14ac:dyDescent="0.25">
      <c r="A45" s="3119"/>
      <c r="B45" s="1880" t="s">
        <v>14</v>
      </c>
      <c r="C45" s="3172"/>
      <c r="D45" s="1855">
        <f>+E45+F45+G45+H45</f>
        <v>241367</v>
      </c>
      <c r="E45" s="1053">
        <v>241367</v>
      </c>
      <c r="F45" s="527">
        <v>0</v>
      </c>
      <c r="G45" s="527">
        <v>0</v>
      </c>
      <c r="H45" s="538">
        <v>0</v>
      </c>
      <c r="I45" s="1881">
        <f t="shared" si="35"/>
        <v>241367</v>
      </c>
      <c r="J45" s="1882">
        <f t="shared" si="36"/>
        <v>100</v>
      </c>
      <c r="K45" s="526">
        <v>0</v>
      </c>
      <c r="L45" s="1883"/>
      <c r="M45" s="526">
        <f t="shared" si="32"/>
        <v>0</v>
      </c>
      <c r="N45" s="3497"/>
    </row>
    <row r="46" spans="1:14" s="1670" customFormat="1" ht="68.25" hidden="1" customHeight="1" x14ac:dyDescent="0.25">
      <c r="A46" s="3474" t="s">
        <v>40</v>
      </c>
      <c r="B46" s="1826" t="s">
        <v>147</v>
      </c>
      <c r="C46" s="1827" t="s">
        <v>173</v>
      </c>
      <c r="D46" s="1828"/>
      <c r="E46" s="1829"/>
      <c r="F46" s="1829"/>
      <c r="G46" s="1829"/>
      <c r="H46" s="1830"/>
      <c r="I46" s="1828"/>
      <c r="J46" s="1884"/>
      <c r="K46" s="1885"/>
      <c r="L46" s="1885"/>
      <c r="M46" s="1886"/>
      <c r="N46" s="3489" t="s">
        <v>148</v>
      </c>
    </row>
    <row r="47" spans="1:14" s="1670" customFormat="1" ht="12.75" hidden="1" customHeight="1" x14ac:dyDescent="0.25">
      <c r="A47" s="3472"/>
      <c r="B47" s="334" t="s">
        <v>2</v>
      </c>
      <c r="C47" s="1832"/>
      <c r="D47" s="1822">
        <f t="shared" ref="D47:H47" si="38">+D48+D50</f>
        <v>0</v>
      </c>
      <c r="E47" s="1824">
        <f t="shared" si="38"/>
        <v>0</v>
      </c>
      <c r="F47" s="1824">
        <f t="shared" si="38"/>
        <v>0</v>
      </c>
      <c r="G47" s="1861">
        <f t="shared" si="38"/>
        <v>0</v>
      </c>
      <c r="H47" s="1887">
        <f t="shared" si="38"/>
        <v>0</v>
      </c>
      <c r="I47" s="1822">
        <f t="shared" ref="I47:I56" si="39">+K47+E47+F47</f>
        <v>0</v>
      </c>
      <c r="J47" s="1888" t="e">
        <f t="shared" ref="J47:J56" si="40">I47/D47*100</f>
        <v>#DIV/0!</v>
      </c>
      <c r="K47" s="1861">
        <f>+K48+K50</f>
        <v>0</v>
      </c>
      <c r="L47" s="1861">
        <f>+L48+L50</f>
        <v>0</v>
      </c>
      <c r="M47" s="1889">
        <f t="shared" si="32"/>
        <v>0</v>
      </c>
      <c r="N47" s="3171"/>
    </row>
    <row r="48" spans="1:14" s="1670" customFormat="1" ht="12.75" hidden="1" customHeight="1" x14ac:dyDescent="0.25">
      <c r="A48" s="3472"/>
      <c r="B48" s="775" t="s">
        <v>17</v>
      </c>
      <c r="C48" s="3478" t="s">
        <v>136</v>
      </c>
      <c r="D48" s="1836">
        <f t="shared" ref="D48:H48" si="41">+D49</f>
        <v>0</v>
      </c>
      <c r="E48" s="1837">
        <f t="shared" si="41"/>
        <v>0</v>
      </c>
      <c r="F48" s="1837">
        <f t="shared" si="41"/>
        <v>0</v>
      </c>
      <c r="G48" s="1864">
        <f t="shared" si="41"/>
        <v>0</v>
      </c>
      <c r="H48" s="1890">
        <f t="shared" si="41"/>
        <v>0</v>
      </c>
      <c r="I48" s="1836">
        <f t="shared" si="39"/>
        <v>0</v>
      </c>
      <c r="J48" s="1851" t="e">
        <f t="shared" si="40"/>
        <v>#DIV/0!</v>
      </c>
      <c r="K48" s="1864">
        <f>+K49</f>
        <v>0</v>
      </c>
      <c r="L48" s="1890">
        <v>0</v>
      </c>
      <c r="M48" s="1864">
        <f t="shared" si="32"/>
        <v>0</v>
      </c>
      <c r="N48" s="3171"/>
    </row>
    <row r="49" spans="1:14" s="1670" customFormat="1" ht="12.75" hidden="1" customHeight="1" x14ac:dyDescent="0.25">
      <c r="A49" s="3472"/>
      <c r="B49" s="1891" t="s">
        <v>7</v>
      </c>
      <c r="C49" s="3171"/>
      <c r="D49" s="1474">
        <f>+E49+F49+G49+H49</f>
        <v>0</v>
      </c>
      <c r="E49" s="1475"/>
      <c r="F49" s="1475"/>
      <c r="G49" s="1867">
        <v>0</v>
      </c>
      <c r="H49" s="1892">
        <v>0</v>
      </c>
      <c r="I49" s="1474">
        <f t="shared" si="39"/>
        <v>0</v>
      </c>
      <c r="J49" s="1893" t="e">
        <f t="shared" si="40"/>
        <v>#DIV/0!</v>
      </c>
      <c r="K49" s="1867">
        <v>0</v>
      </c>
      <c r="L49" s="1892">
        <v>0</v>
      </c>
      <c r="M49" s="1867">
        <f t="shared" si="32"/>
        <v>0</v>
      </c>
      <c r="N49" s="3171"/>
    </row>
    <row r="50" spans="1:14" s="1670" customFormat="1" ht="12.75" hidden="1" customHeight="1" x14ac:dyDescent="0.25">
      <c r="A50" s="3472"/>
      <c r="B50" s="1665" t="s">
        <v>12</v>
      </c>
      <c r="C50" s="3171"/>
      <c r="D50" s="1844">
        <f>+D51</f>
        <v>0</v>
      </c>
      <c r="E50" s="1845">
        <f>+E51</f>
        <v>0</v>
      </c>
      <c r="F50" s="1845">
        <f>F51</f>
        <v>0</v>
      </c>
      <c r="G50" s="1872">
        <f>G51</f>
        <v>0</v>
      </c>
      <c r="H50" s="1894">
        <f>H51</f>
        <v>0</v>
      </c>
      <c r="I50" s="1844">
        <f t="shared" si="39"/>
        <v>0</v>
      </c>
      <c r="J50" s="1853" t="e">
        <f t="shared" si="40"/>
        <v>#DIV/0!</v>
      </c>
      <c r="K50" s="1872">
        <f>K51</f>
        <v>0</v>
      </c>
      <c r="L50" s="1894">
        <v>0</v>
      </c>
      <c r="M50" s="1872">
        <f t="shared" si="32"/>
        <v>0</v>
      </c>
      <c r="N50" s="3171"/>
    </row>
    <row r="51" spans="1:14" s="1670" customFormat="1" ht="12.75" hidden="1" customHeight="1" x14ac:dyDescent="0.25">
      <c r="A51" s="3472"/>
      <c r="B51" s="1850" t="s">
        <v>14</v>
      </c>
      <c r="C51" s="3171"/>
      <c r="D51" s="1474">
        <f>+E51+F51+G51+H51</f>
        <v>0</v>
      </c>
      <c r="E51" s="846"/>
      <c r="F51" s="846"/>
      <c r="G51" s="482">
        <v>0</v>
      </c>
      <c r="H51" s="471">
        <v>0</v>
      </c>
      <c r="I51" s="1474">
        <f t="shared" si="39"/>
        <v>0</v>
      </c>
      <c r="J51" s="1893" t="e">
        <f t="shared" si="40"/>
        <v>#DIV/0!</v>
      </c>
      <c r="K51" s="482">
        <v>0</v>
      </c>
      <c r="L51" s="1892">
        <v>0</v>
      </c>
      <c r="M51" s="482">
        <f t="shared" si="32"/>
        <v>0</v>
      </c>
      <c r="N51" s="3171"/>
    </row>
    <row r="52" spans="1:14" s="1670" customFormat="1" ht="12.75" hidden="1" customHeight="1" x14ac:dyDescent="0.25">
      <c r="A52" s="3118"/>
      <c r="B52" s="334" t="s">
        <v>16</v>
      </c>
      <c r="C52" s="22"/>
      <c r="D52" s="1822">
        <f>+D53+D55</f>
        <v>0</v>
      </c>
      <c r="E52" s="1824">
        <f>+E53+E55</f>
        <v>0</v>
      </c>
      <c r="F52" s="1824">
        <f>F53+F55</f>
        <v>0</v>
      </c>
      <c r="G52" s="1861">
        <f>G53+G55</f>
        <v>0</v>
      </c>
      <c r="H52" s="1887">
        <f>H53+H55</f>
        <v>0</v>
      </c>
      <c r="I52" s="1822">
        <f t="shared" si="39"/>
        <v>0</v>
      </c>
      <c r="J52" s="1888" t="e">
        <f t="shared" si="40"/>
        <v>#DIV/0!</v>
      </c>
      <c r="K52" s="1861">
        <f>K53+K55</f>
        <v>0</v>
      </c>
      <c r="L52" s="1887">
        <v>0</v>
      </c>
      <c r="M52" s="1861">
        <f t="shared" si="32"/>
        <v>0</v>
      </c>
      <c r="N52" s="3171"/>
    </row>
    <row r="53" spans="1:14" s="1670" customFormat="1" ht="12.75" hidden="1" customHeight="1" x14ac:dyDescent="0.25">
      <c r="A53" s="3118"/>
      <c r="B53" s="775" t="s">
        <v>17</v>
      </c>
      <c r="C53" s="3478" t="s">
        <v>136</v>
      </c>
      <c r="D53" s="1836">
        <f>+D54</f>
        <v>0</v>
      </c>
      <c r="E53" s="1837">
        <f>+E54</f>
        <v>0</v>
      </c>
      <c r="F53" s="1837">
        <f>F54</f>
        <v>0</v>
      </c>
      <c r="G53" s="1864">
        <f>G54</f>
        <v>0</v>
      </c>
      <c r="H53" s="1890">
        <f>H54</f>
        <v>0</v>
      </c>
      <c r="I53" s="1836">
        <f t="shared" si="39"/>
        <v>0</v>
      </c>
      <c r="J53" s="1851" t="e">
        <f t="shared" si="40"/>
        <v>#DIV/0!</v>
      </c>
      <c r="K53" s="1864">
        <f>K54</f>
        <v>0</v>
      </c>
      <c r="L53" s="1890">
        <v>0</v>
      </c>
      <c r="M53" s="1864">
        <f t="shared" si="32"/>
        <v>0</v>
      </c>
      <c r="N53" s="3171"/>
    </row>
    <row r="54" spans="1:14" s="1670" customFormat="1" ht="12.75" hidden="1" customHeight="1" x14ac:dyDescent="0.25">
      <c r="A54" s="3118"/>
      <c r="B54" s="1891" t="s">
        <v>7</v>
      </c>
      <c r="C54" s="3171"/>
      <c r="D54" s="1474">
        <f>+E54+F54+G54+H54</f>
        <v>0</v>
      </c>
      <c r="E54" s="1475"/>
      <c r="F54" s="1475"/>
      <c r="G54" s="1867">
        <v>0</v>
      </c>
      <c r="H54" s="1892">
        <v>0</v>
      </c>
      <c r="I54" s="1474">
        <f t="shared" si="39"/>
        <v>0</v>
      </c>
      <c r="J54" s="1893" t="e">
        <f t="shared" si="40"/>
        <v>#DIV/0!</v>
      </c>
      <c r="K54" s="1867">
        <v>0</v>
      </c>
      <c r="L54" s="1892">
        <v>0</v>
      </c>
      <c r="M54" s="1867">
        <f t="shared" si="32"/>
        <v>0</v>
      </c>
      <c r="N54" s="3171"/>
    </row>
    <row r="55" spans="1:14" s="1670" customFormat="1" ht="12.75" hidden="1" customHeight="1" x14ac:dyDescent="0.25">
      <c r="A55" s="3118"/>
      <c r="B55" s="1665" t="s">
        <v>12</v>
      </c>
      <c r="C55" s="3171"/>
      <c r="D55" s="1844">
        <f>+D56</f>
        <v>0</v>
      </c>
      <c r="E55" s="1845">
        <f>+E56</f>
        <v>0</v>
      </c>
      <c r="F55" s="1845">
        <f>F56</f>
        <v>0</v>
      </c>
      <c r="G55" s="1872">
        <f>G56</f>
        <v>0</v>
      </c>
      <c r="H55" s="1894">
        <f>H56</f>
        <v>0</v>
      </c>
      <c r="I55" s="1844">
        <f t="shared" si="39"/>
        <v>0</v>
      </c>
      <c r="J55" s="1853" t="e">
        <f t="shared" si="40"/>
        <v>#DIV/0!</v>
      </c>
      <c r="K55" s="1872">
        <f>K56</f>
        <v>0</v>
      </c>
      <c r="L55" s="1894">
        <v>0</v>
      </c>
      <c r="M55" s="1872">
        <f t="shared" si="32"/>
        <v>0</v>
      </c>
      <c r="N55" s="3171"/>
    </row>
    <row r="56" spans="1:14" s="1670" customFormat="1" ht="12.75" hidden="1" customHeight="1" thickBot="1" x14ac:dyDescent="0.25">
      <c r="A56" s="3119"/>
      <c r="B56" s="1854" t="s">
        <v>14</v>
      </c>
      <c r="C56" s="3172"/>
      <c r="D56" s="1855">
        <f>+E56+F56+G56+H56</f>
        <v>0</v>
      </c>
      <c r="E56" s="1053"/>
      <c r="F56" s="1053"/>
      <c r="G56" s="527">
        <v>0</v>
      </c>
      <c r="H56" s="540">
        <v>0</v>
      </c>
      <c r="I56" s="1855">
        <f t="shared" si="39"/>
        <v>0</v>
      </c>
      <c r="J56" s="1895" t="e">
        <f t="shared" si="40"/>
        <v>#DIV/0!</v>
      </c>
      <c r="K56" s="527">
        <v>0</v>
      </c>
      <c r="L56" s="1896">
        <v>0</v>
      </c>
      <c r="M56" s="527">
        <f t="shared" si="32"/>
        <v>0</v>
      </c>
      <c r="N56" s="3172"/>
    </row>
    <row r="57" spans="1:14" s="1670" customFormat="1" ht="67.5" hidden="1" customHeight="1" x14ac:dyDescent="0.25">
      <c r="A57" s="3490" t="s">
        <v>41</v>
      </c>
      <c r="B57" s="1826" t="s">
        <v>209</v>
      </c>
      <c r="C57" s="1827" t="s">
        <v>168</v>
      </c>
      <c r="D57" s="1828"/>
      <c r="E57" s="1829"/>
      <c r="F57" s="1829"/>
      <c r="G57" s="1829"/>
      <c r="H57" s="1830"/>
      <c r="I57" s="1828"/>
      <c r="J57" s="1884"/>
      <c r="K57" s="1829"/>
      <c r="L57" s="1897"/>
      <c r="M57" s="1829"/>
      <c r="N57" s="3480" t="s">
        <v>148</v>
      </c>
    </row>
    <row r="58" spans="1:14" s="1670" customFormat="1" ht="12.75" hidden="1" customHeight="1" x14ac:dyDescent="0.25">
      <c r="A58" s="3491"/>
      <c r="B58" s="334" t="s">
        <v>2</v>
      </c>
      <c r="C58" s="1832"/>
      <c r="D58" s="1822">
        <f t="shared" ref="D58:H58" si="42">+D59+D61</f>
        <v>0</v>
      </c>
      <c r="E58" s="1824">
        <f t="shared" si="42"/>
        <v>0</v>
      </c>
      <c r="F58" s="1861">
        <f t="shared" si="42"/>
        <v>0</v>
      </c>
      <c r="G58" s="1861">
        <f t="shared" si="42"/>
        <v>0</v>
      </c>
      <c r="H58" s="1887">
        <f t="shared" si="42"/>
        <v>0</v>
      </c>
      <c r="I58" s="1822">
        <f t="shared" ref="I58:I67" si="43">+K58+E58+F58</f>
        <v>0</v>
      </c>
      <c r="J58" s="1888" t="e">
        <f t="shared" ref="J58:J67" si="44">I58/D58*100</f>
        <v>#DIV/0!</v>
      </c>
      <c r="K58" s="1861">
        <f>+K59+K61</f>
        <v>0</v>
      </c>
      <c r="L58" s="1898">
        <v>0</v>
      </c>
      <c r="M58" s="1861">
        <f t="shared" si="32"/>
        <v>0</v>
      </c>
      <c r="N58" s="3171"/>
    </row>
    <row r="59" spans="1:14" s="1670" customFormat="1" ht="12.75" hidden="1" customHeight="1" thickBot="1" x14ac:dyDescent="0.25">
      <c r="A59" s="3491"/>
      <c r="B59" s="1899" t="s">
        <v>17</v>
      </c>
      <c r="C59" s="3493" t="s">
        <v>136</v>
      </c>
      <c r="D59" s="1900">
        <f t="shared" ref="D59:H59" si="45">+D60</f>
        <v>0</v>
      </c>
      <c r="E59" s="1901">
        <f t="shared" si="45"/>
        <v>0</v>
      </c>
      <c r="F59" s="1902">
        <f t="shared" si="45"/>
        <v>0</v>
      </c>
      <c r="G59" s="1902">
        <f t="shared" si="45"/>
        <v>0</v>
      </c>
      <c r="H59" s="1890">
        <f t="shared" si="45"/>
        <v>0</v>
      </c>
      <c r="I59" s="1836">
        <f t="shared" si="43"/>
        <v>0</v>
      </c>
      <c r="J59" s="1851" t="e">
        <f t="shared" si="44"/>
        <v>#DIV/0!</v>
      </c>
      <c r="K59" s="1864">
        <f>+K60</f>
        <v>0</v>
      </c>
      <c r="L59" s="1903">
        <v>0</v>
      </c>
      <c r="M59" s="1864">
        <f t="shared" si="32"/>
        <v>0</v>
      </c>
      <c r="N59" s="3172"/>
    </row>
    <row r="60" spans="1:14" s="1670" customFormat="1" ht="12.75" hidden="1" customHeight="1" x14ac:dyDescent="0.25">
      <c r="A60" s="3491"/>
      <c r="B60" s="1904" t="s">
        <v>7</v>
      </c>
      <c r="C60" s="3305"/>
      <c r="D60" s="1474">
        <f>+E60+F60+G60+H60</f>
        <v>0</v>
      </c>
      <c r="E60" s="1475"/>
      <c r="F60" s="1867">
        <v>0</v>
      </c>
      <c r="G60" s="1867">
        <v>0</v>
      </c>
      <c r="H60" s="1905">
        <v>0</v>
      </c>
      <c r="I60" s="1474">
        <f t="shared" si="43"/>
        <v>0</v>
      </c>
      <c r="J60" s="1893" t="e">
        <f t="shared" si="44"/>
        <v>#DIV/0!</v>
      </c>
      <c r="K60" s="1867">
        <v>0</v>
      </c>
      <c r="L60" s="1905">
        <v>0</v>
      </c>
      <c r="M60" s="1867">
        <f t="shared" si="32"/>
        <v>0</v>
      </c>
      <c r="N60" s="3305"/>
    </row>
    <row r="61" spans="1:14" s="1670" customFormat="1" ht="12.75" hidden="1" customHeight="1" x14ac:dyDescent="0.25">
      <c r="A61" s="3491"/>
      <c r="B61" s="1878" t="s">
        <v>12</v>
      </c>
      <c r="C61" s="3171"/>
      <c r="D61" s="1844">
        <f>+D62</f>
        <v>0</v>
      </c>
      <c r="E61" s="1845">
        <f>+E62</f>
        <v>0</v>
      </c>
      <c r="F61" s="1872">
        <f>F62</f>
        <v>0</v>
      </c>
      <c r="G61" s="1872">
        <f>G62</f>
        <v>0</v>
      </c>
      <c r="H61" s="1906">
        <f>H62</f>
        <v>0</v>
      </c>
      <c r="I61" s="1844">
        <f t="shared" si="43"/>
        <v>0</v>
      </c>
      <c r="J61" s="1853" t="e">
        <f t="shared" si="44"/>
        <v>#DIV/0!</v>
      </c>
      <c r="K61" s="1872">
        <f>K62</f>
        <v>0</v>
      </c>
      <c r="L61" s="1906">
        <v>0</v>
      </c>
      <c r="M61" s="1872">
        <f t="shared" si="32"/>
        <v>0</v>
      </c>
      <c r="N61" s="3171"/>
    </row>
    <row r="62" spans="1:14" s="1670" customFormat="1" ht="12.75" hidden="1" customHeight="1" x14ac:dyDescent="0.25">
      <c r="A62" s="3491"/>
      <c r="B62" s="1907" t="s">
        <v>14</v>
      </c>
      <c r="C62" s="3171"/>
      <c r="D62" s="1474">
        <f>+E62+F62+G62+H62</f>
        <v>0</v>
      </c>
      <c r="E62" s="846"/>
      <c r="F62" s="482">
        <v>0</v>
      </c>
      <c r="G62" s="482">
        <v>0</v>
      </c>
      <c r="H62" s="1908">
        <v>0</v>
      </c>
      <c r="I62" s="1474">
        <f t="shared" si="43"/>
        <v>0</v>
      </c>
      <c r="J62" s="1893" t="e">
        <f t="shared" si="44"/>
        <v>#DIV/0!</v>
      </c>
      <c r="K62" s="482">
        <v>0</v>
      </c>
      <c r="L62" s="1905">
        <v>0</v>
      </c>
      <c r="M62" s="482">
        <f t="shared" si="32"/>
        <v>0</v>
      </c>
      <c r="N62" s="3171"/>
    </row>
    <row r="63" spans="1:14" s="1670" customFormat="1" ht="12.75" hidden="1" customHeight="1" thickBot="1" x14ac:dyDescent="0.25">
      <c r="A63" s="3207"/>
      <c r="B63" s="512" t="s">
        <v>16</v>
      </c>
      <c r="C63" s="22"/>
      <c r="D63" s="1822">
        <f>+D64+D66</f>
        <v>0</v>
      </c>
      <c r="E63" s="1824">
        <f>+E64+E66</f>
        <v>0</v>
      </c>
      <c r="F63" s="1861">
        <f>F64+F66</f>
        <v>0</v>
      </c>
      <c r="G63" s="1861">
        <f>G64+G66</f>
        <v>0</v>
      </c>
      <c r="H63" s="1898">
        <f>H64+H66</f>
        <v>0</v>
      </c>
      <c r="I63" s="1822">
        <f t="shared" si="43"/>
        <v>0</v>
      </c>
      <c r="J63" s="1888" t="e">
        <f t="shared" si="44"/>
        <v>#DIV/0!</v>
      </c>
      <c r="K63" s="1861">
        <f>K64+K66</f>
        <v>0</v>
      </c>
      <c r="L63" s="1898">
        <v>0</v>
      </c>
      <c r="M63" s="1861">
        <f t="shared" si="32"/>
        <v>0</v>
      </c>
      <c r="N63" s="3172"/>
    </row>
    <row r="64" spans="1:14" s="1670" customFormat="1" ht="12.75" hidden="1" customHeight="1" x14ac:dyDescent="0.25">
      <c r="A64" s="3207"/>
      <c r="B64" s="1899" t="s">
        <v>17</v>
      </c>
      <c r="C64" s="3340" t="s">
        <v>136</v>
      </c>
      <c r="D64" s="1836">
        <f>+D65</f>
        <v>0</v>
      </c>
      <c r="E64" s="1837">
        <f>+E65</f>
        <v>0</v>
      </c>
      <c r="F64" s="1864">
        <f>F65</f>
        <v>0</v>
      </c>
      <c r="G64" s="1864">
        <f>G65</f>
        <v>0</v>
      </c>
      <c r="H64" s="1903">
        <f>H65</f>
        <v>0</v>
      </c>
      <c r="I64" s="1836">
        <f t="shared" si="43"/>
        <v>0</v>
      </c>
      <c r="J64" s="1851" t="e">
        <f t="shared" si="44"/>
        <v>#DIV/0!</v>
      </c>
      <c r="K64" s="1864">
        <f>K65</f>
        <v>0</v>
      </c>
      <c r="L64" s="1903">
        <v>0</v>
      </c>
      <c r="M64" s="1864">
        <f t="shared" si="32"/>
        <v>0</v>
      </c>
      <c r="N64" s="3492"/>
    </row>
    <row r="65" spans="1:14" s="1670" customFormat="1" ht="12.75" hidden="1" customHeight="1" x14ac:dyDescent="0.25">
      <c r="A65" s="3207"/>
      <c r="B65" s="1904" t="s">
        <v>7</v>
      </c>
      <c r="C65" s="3171"/>
      <c r="D65" s="1474">
        <f>+E65+F65+G65+H65</f>
        <v>0</v>
      </c>
      <c r="E65" s="1475"/>
      <c r="F65" s="1867">
        <v>0</v>
      </c>
      <c r="G65" s="1867">
        <v>0</v>
      </c>
      <c r="H65" s="1905">
        <v>0</v>
      </c>
      <c r="I65" s="1474">
        <f t="shared" si="43"/>
        <v>0</v>
      </c>
      <c r="J65" s="1893" t="e">
        <f t="shared" si="44"/>
        <v>#DIV/0!</v>
      </c>
      <c r="K65" s="1867">
        <v>0</v>
      </c>
      <c r="L65" s="1905">
        <v>0</v>
      </c>
      <c r="M65" s="1867">
        <f t="shared" si="32"/>
        <v>0</v>
      </c>
      <c r="N65" s="3171"/>
    </row>
    <row r="66" spans="1:14" s="1670" customFormat="1" ht="12.75" hidden="1" customHeight="1" x14ac:dyDescent="0.25">
      <c r="A66" s="3207"/>
      <c r="B66" s="1878" t="s">
        <v>12</v>
      </c>
      <c r="C66" s="3171"/>
      <c r="D66" s="1844">
        <f>+D67</f>
        <v>0</v>
      </c>
      <c r="E66" s="1845">
        <f>+E67</f>
        <v>0</v>
      </c>
      <c r="F66" s="1872">
        <f>F67</f>
        <v>0</v>
      </c>
      <c r="G66" s="1872">
        <f>G67</f>
        <v>0</v>
      </c>
      <c r="H66" s="1906">
        <f>H67</f>
        <v>0</v>
      </c>
      <c r="I66" s="1844">
        <f t="shared" si="43"/>
        <v>0</v>
      </c>
      <c r="J66" s="1853" t="e">
        <f t="shared" si="44"/>
        <v>#DIV/0!</v>
      </c>
      <c r="K66" s="1872">
        <f>K67</f>
        <v>0</v>
      </c>
      <c r="L66" s="1906">
        <v>0</v>
      </c>
      <c r="M66" s="1872">
        <f t="shared" si="32"/>
        <v>0</v>
      </c>
      <c r="N66" s="3171"/>
    </row>
    <row r="67" spans="1:14" s="1670" customFormat="1" ht="13.5" hidden="1" thickBot="1" x14ac:dyDescent="0.25">
      <c r="A67" s="3208"/>
      <c r="B67" s="1880" t="s">
        <v>14</v>
      </c>
      <c r="C67" s="3172"/>
      <c r="D67" s="1855">
        <f>+E67+F67+G67+H67</f>
        <v>0</v>
      </c>
      <c r="E67" s="1053"/>
      <c r="F67" s="527">
        <v>0</v>
      </c>
      <c r="G67" s="527">
        <v>0</v>
      </c>
      <c r="H67" s="1909">
        <v>0</v>
      </c>
      <c r="I67" s="1855">
        <f t="shared" si="43"/>
        <v>0</v>
      </c>
      <c r="J67" s="1895" t="e">
        <f t="shared" si="44"/>
        <v>#DIV/0!</v>
      </c>
      <c r="K67" s="527">
        <v>0</v>
      </c>
      <c r="L67" s="1910">
        <v>0</v>
      </c>
      <c r="M67" s="527">
        <f t="shared" si="32"/>
        <v>0</v>
      </c>
      <c r="N67" s="3172"/>
    </row>
    <row r="68" spans="1:14" s="1670" customFormat="1" ht="29.25" customHeight="1" x14ac:dyDescent="0.2">
      <c r="A68" s="3474" t="s">
        <v>40</v>
      </c>
      <c r="B68" s="1911" t="s">
        <v>149</v>
      </c>
      <c r="C68" s="1827" t="s">
        <v>173</v>
      </c>
      <c r="D68" s="1828"/>
      <c r="E68" s="1829"/>
      <c r="F68" s="1829"/>
      <c r="G68" s="1829"/>
      <c r="H68" s="1912"/>
      <c r="I68" s="1828"/>
      <c r="J68" s="1831"/>
      <c r="K68" s="1829"/>
      <c r="L68" s="1913"/>
      <c r="M68" s="1829"/>
      <c r="N68" s="3535" t="s">
        <v>352</v>
      </c>
    </row>
    <row r="69" spans="1:14" s="1670" customFormat="1" ht="12.75" customHeight="1" x14ac:dyDescent="0.2">
      <c r="A69" s="3472"/>
      <c r="B69" s="512" t="s">
        <v>2</v>
      </c>
      <c r="C69" s="1832"/>
      <c r="D69" s="1833">
        <f>+D70</f>
        <v>130737141</v>
      </c>
      <c r="E69" s="1835">
        <f t="shared" ref="E69:H70" si="46">+E70</f>
        <v>46511853</v>
      </c>
      <c r="F69" s="1835">
        <f t="shared" si="46"/>
        <v>16951270</v>
      </c>
      <c r="G69" s="1835">
        <f t="shared" si="46"/>
        <v>19471614</v>
      </c>
      <c r="H69" s="1914">
        <f t="shared" si="46"/>
        <v>47802404</v>
      </c>
      <c r="I69" s="1833">
        <f t="shared" ref="I69:I74" si="47">+K69+E69+F69</f>
        <v>82719559</v>
      </c>
      <c r="J69" s="1834">
        <f t="shared" ref="J69:J74" si="48">I69/D69*100</f>
        <v>63.271659734397886</v>
      </c>
      <c r="K69" s="1835">
        <f>+K70</f>
        <v>19256436</v>
      </c>
      <c r="L69" s="1915">
        <f t="shared" ref="L69:L73" si="49">K69/G69*100</f>
        <v>98.894914412333762</v>
      </c>
      <c r="M69" s="1835">
        <f t="shared" si="32"/>
        <v>9520629</v>
      </c>
      <c r="N69" s="3536"/>
    </row>
    <row r="70" spans="1:14" s="1670" customFormat="1" ht="12.75" customHeight="1" x14ac:dyDescent="0.2">
      <c r="A70" s="3472"/>
      <c r="B70" s="1878" t="s">
        <v>12</v>
      </c>
      <c r="C70" s="3171" t="s">
        <v>136</v>
      </c>
      <c r="D70" s="1847">
        <f>+D71</f>
        <v>130737141</v>
      </c>
      <c r="E70" s="1849">
        <f t="shared" si="46"/>
        <v>46511853</v>
      </c>
      <c r="F70" s="1849">
        <f t="shared" si="46"/>
        <v>16951270</v>
      </c>
      <c r="G70" s="1849">
        <f t="shared" si="46"/>
        <v>19471614</v>
      </c>
      <c r="H70" s="1916">
        <f t="shared" si="46"/>
        <v>47802404</v>
      </c>
      <c r="I70" s="1917">
        <f t="shared" si="47"/>
        <v>82719559</v>
      </c>
      <c r="J70" s="1918">
        <f t="shared" si="48"/>
        <v>63.271659734397886</v>
      </c>
      <c r="K70" s="1919">
        <f>+K71</f>
        <v>19256436</v>
      </c>
      <c r="L70" s="1920">
        <f t="shared" si="49"/>
        <v>98.894914412333762</v>
      </c>
      <c r="M70" s="1849">
        <f t="shared" si="32"/>
        <v>9520629</v>
      </c>
      <c r="N70" s="3536"/>
    </row>
    <row r="71" spans="1:14" s="1670" customFormat="1" ht="12.75" customHeight="1" x14ac:dyDescent="0.2">
      <c r="A71" s="3472"/>
      <c r="B71" s="1907" t="s">
        <v>14</v>
      </c>
      <c r="C71" s="3171"/>
      <c r="D71" s="1869">
        <f>+E71+F71+G71+H71</f>
        <v>130737141</v>
      </c>
      <c r="E71" s="847">
        <f>10748789+22033262+13729802</f>
        <v>46511853</v>
      </c>
      <c r="F71" s="847">
        <v>16951270</v>
      </c>
      <c r="G71" s="847">
        <v>19471614</v>
      </c>
      <c r="H71" s="1921">
        <f>25037422+22764982</f>
        <v>47802404</v>
      </c>
      <c r="I71" s="1841">
        <f t="shared" si="47"/>
        <v>82719559</v>
      </c>
      <c r="J71" s="1842">
        <f t="shared" si="48"/>
        <v>63.271659734397886</v>
      </c>
      <c r="K71" s="847">
        <f>15838272+2192768+1225396</f>
        <v>19256436</v>
      </c>
      <c r="L71" s="1922">
        <f>K71/G71*100</f>
        <v>98.894914412333762</v>
      </c>
      <c r="M71" s="847">
        <f t="shared" si="32"/>
        <v>9520629</v>
      </c>
      <c r="N71" s="3536"/>
    </row>
    <row r="72" spans="1:14" s="1670" customFormat="1" ht="12.75" customHeight="1" x14ac:dyDescent="0.2">
      <c r="A72" s="3118"/>
      <c r="B72" s="334" t="s">
        <v>16</v>
      </c>
      <c r="C72" s="1923"/>
      <c r="D72" s="1924">
        <f t="shared" ref="D72:H73" si="50">+D73</f>
        <v>130737141</v>
      </c>
      <c r="E72" s="1925">
        <f t="shared" si="50"/>
        <v>46511853</v>
      </c>
      <c r="F72" s="1925">
        <f t="shared" si="50"/>
        <v>17985056</v>
      </c>
      <c r="G72" s="1925">
        <f t="shared" si="50"/>
        <v>19700000</v>
      </c>
      <c r="H72" s="1926">
        <f t="shared" si="50"/>
        <v>46540232</v>
      </c>
      <c r="I72" s="1833">
        <f t="shared" si="47"/>
        <v>83226156</v>
      </c>
      <c r="J72" s="1915">
        <f t="shared" si="48"/>
        <v>63.659152528048622</v>
      </c>
      <c r="K72" s="1835">
        <f>+K73</f>
        <v>18729247</v>
      </c>
      <c r="L72" s="1915">
        <f t="shared" si="49"/>
        <v>95.072319796954318</v>
      </c>
      <c r="M72" s="1835">
        <f t="shared" si="32"/>
        <v>8879247</v>
      </c>
      <c r="N72" s="3536"/>
    </row>
    <row r="73" spans="1:14" s="1670" customFormat="1" ht="12.75" customHeight="1" x14ac:dyDescent="0.2">
      <c r="A73" s="3118"/>
      <c r="B73" s="1878" t="s">
        <v>12</v>
      </c>
      <c r="C73" s="3171" t="s">
        <v>34</v>
      </c>
      <c r="D73" s="1847">
        <f t="shared" si="50"/>
        <v>130737141</v>
      </c>
      <c r="E73" s="1849">
        <f t="shared" si="50"/>
        <v>46511853</v>
      </c>
      <c r="F73" s="1849">
        <f t="shared" si="50"/>
        <v>17985056</v>
      </c>
      <c r="G73" s="1849">
        <f t="shared" si="50"/>
        <v>19700000</v>
      </c>
      <c r="H73" s="1927">
        <f t="shared" si="50"/>
        <v>46540232</v>
      </c>
      <c r="I73" s="1917">
        <f t="shared" si="47"/>
        <v>83226156</v>
      </c>
      <c r="J73" s="1918">
        <f t="shared" si="48"/>
        <v>63.659152528048622</v>
      </c>
      <c r="K73" s="1919">
        <f>+K74</f>
        <v>18729247</v>
      </c>
      <c r="L73" s="1920">
        <f t="shared" si="49"/>
        <v>95.072319796954318</v>
      </c>
      <c r="M73" s="1849">
        <f t="shared" si="32"/>
        <v>8879247</v>
      </c>
      <c r="N73" s="3536"/>
    </row>
    <row r="74" spans="1:14" s="1670" customFormat="1" ht="12.75" customHeight="1" thickBot="1" x14ac:dyDescent="0.25">
      <c r="A74" s="3119"/>
      <c r="B74" s="1880" t="s">
        <v>14</v>
      </c>
      <c r="C74" s="3172"/>
      <c r="D74" s="1881">
        <f>+E74+F74+G74+H74</f>
        <v>130737141</v>
      </c>
      <c r="E74" s="1052">
        <f>10739103+22042948+13729802</f>
        <v>46511853</v>
      </c>
      <c r="F74" s="1052">
        <v>17985056</v>
      </c>
      <c r="G74" s="1052">
        <v>19700000</v>
      </c>
      <c r="H74" s="1928">
        <f>24500000+20090232+1950000</f>
        <v>46540232</v>
      </c>
      <c r="I74" s="1929">
        <f t="shared" si="47"/>
        <v>83226156</v>
      </c>
      <c r="J74" s="1930">
        <f t="shared" si="48"/>
        <v>63.659152528048622</v>
      </c>
      <c r="K74" s="1052">
        <v>18729247</v>
      </c>
      <c r="L74" s="1931">
        <f>K74/G74*100</f>
        <v>95.072319796954318</v>
      </c>
      <c r="M74" s="1052">
        <f t="shared" si="32"/>
        <v>8879247</v>
      </c>
      <c r="N74" s="3341"/>
    </row>
    <row r="75" spans="1:14" s="1670" customFormat="1" ht="31.5" customHeight="1" x14ac:dyDescent="0.2">
      <c r="A75" s="3474" t="s">
        <v>41</v>
      </c>
      <c r="B75" s="1911" t="s">
        <v>237</v>
      </c>
      <c r="C75" s="1827" t="s">
        <v>168</v>
      </c>
      <c r="D75" s="1828"/>
      <c r="E75" s="1829"/>
      <c r="F75" s="1829"/>
      <c r="G75" s="1829"/>
      <c r="H75" s="1830"/>
      <c r="I75" s="1828"/>
      <c r="J75" s="1884"/>
      <c r="K75" s="1885"/>
      <c r="L75" s="1897"/>
      <c r="M75" s="1829"/>
      <c r="N75" s="3535" t="s">
        <v>353</v>
      </c>
    </row>
    <row r="76" spans="1:14" s="1670" customFormat="1" ht="12.75" customHeight="1" x14ac:dyDescent="0.2">
      <c r="A76" s="3472"/>
      <c r="B76" s="512" t="s">
        <v>2</v>
      </c>
      <c r="C76" s="1832"/>
      <c r="D76" s="1833">
        <f>+D77</f>
        <v>2204571</v>
      </c>
      <c r="E76" s="1835">
        <f t="shared" ref="E76:H77" si="51">+E77</f>
        <v>878826</v>
      </c>
      <c r="F76" s="1835">
        <f t="shared" si="51"/>
        <v>275745</v>
      </c>
      <c r="G76" s="1835">
        <f t="shared" si="51"/>
        <v>438200</v>
      </c>
      <c r="H76" s="1926">
        <f t="shared" si="51"/>
        <v>611800</v>
      </c>
      <c r="I76" s="1822">
        <f t="shared" ref="I76:I81" si="52">+K76+E76+F76</f>
        <v>1221035</v>
      </c>
      <c r="J76" s="1888">
        <f t="shared" ref="J76:J81" si="53">I76/D76*100</f>
        <v>55.386512840820281</v>
      </c>
      <c r="K76" s="1824">
        <f>+K77</f>
        <v>66464</v>
      </c>
      <c r="L76" s="1823">
        <f t="shared" ref="L76:L81" si="54">K76/G76*100</f>
        <v>15.167503423094479</v>
      </c>
      <c r="M76" s="1824">
        <f t="shared" ref="M76:M132" si="55">+K76-G76*0.5</f>
        <v>-152636</v>
      </c>
      <c r="N76" s="3536"/>
    </row>
    <row r="77" spans="1:14" s="1670" customFormat="1" ht="12.75" customHeight="1" x14ac:dyDescent="0.2">
      <c r="A77" s="3472"/>
      <c r="B77" s="1878" t="s">
        <v>12</v>
      </c>
      <c r="C77" s="3171" t="s">
        <v>136</v>
      </c>
      <c r="D77" s="1847">
        <f>+D78</f>
        <v>2204571</v>
      </c>
      <c r="E77" s="1849">
        <f t="shared" si="51"/>
        <v>878826</v>
      </c>
      <c r="F77" s="1849">
        <f t="shared" si="51"/>
        <v>275745</v>
      </c>
      <c r="G77" s="1849">
        <f t="shared" si="51"/>
        <v>438200</v>
      </c>
      <c r="H77" s="1927">
        <f t="shared" si="51"/>
        <v>611800</v>
      </c>
      <c r="I77" s="1932">
        <f t="shared" si="52"/>
        <v>1221035</v>
      </c>
      <c r="J77" s="1933">
        <f t="shared" si="53"/>
        <v>55.386512840820281</v>
      </c>
      <c r="K77" s="1934">
        <f>+K78</f>
        <v>66464</v>
      </c>
      <c r="L77" s="1935">
        <f t="shared" si="54"/>
        <v>15.167503423094479</v>
      </c>
      <c r="M77" s="1845">
        <f t="shared" si="55"/>
        <v>-152636</v>
      </c>
      <c r="N77" s="3536"/>
    </row>
    <row r="78" spans="1:14" s="1670" customFormat="1" ht="12.75" customHeight="1" x14ac:dyDescent="0.2">
      <c r="A78" s="3472"/>
      <c r="B78" s="1907" t="s">
        <v>14</v>
      </c>
      <c r="C78" s="3171"/>
      <c r="D78" s="1869">
        <f>+E78+F78+G78+H78</f>
        <v>2204571</v>
      </c>
      <c r="E78" s="847">
        <f>134277+392458+352091</f>
        <v>878826</v>
      </c>
      <c r="F78" s="847">
        <v>275745</v>
      </c>
      <c r="G78" s="847">
        <v>438200</v>
      </c>
      <c r="H78" s="1022">
        <f>250000+361800</f>
        <v>611800</v>
      </c>
      <c r="I78" s="1019">
        <f t="shared" si="52"/>
        <v>1221035</v>
      </c>
      <c r="J78" s="1852">
        <f t="shared" si="53"/>
        <v>55.386512840820281</v>
      </c>
      <c r="K78" s="846">
        <f>65866+598</f>
        <v>66464</v>
      </c>
      <c r="L78" s="1936">
        <f t="shared" si="54"/>
        <v>15.167503423094479</v>
      </c>
      <c r="M78" s="846">
        <f t="shared" si="55"/>
        <v>-152636</v>
      </c>
      <c r="N78" s="3536"/>
    </row>
    <row r="79" spans="1:14" s="1670" customFormat="1" ht="12.75" customHeight="1" x14ac:dyDescent="0.2">
      <c r="A79" s="3118"/>
      <c r="B79" s="512" t="s">
        <v>16</v>
      </c>
      <c r="C79" s="22"/>
      <c r="D79" s="1833">
        <f t="shared" ref="D79:H80" si="56">+D80</f>
        <v>2204571</v>
      </c>
      <c r="E79" s="1835">
        <f t="shared" si="56"/>
        <v>878826</v>
      </c>
      <c r="F79" s="1835">
        <f t="shared" si="56"/>
        <v>275745</v>
      </c>
      <c r="G79" s="1835">
        <f t="shared" si="56"/>
        <v>300000</v>
      </c>
      <c r="H79" s="1926">
        <f t="shared" si="56"/>
        <v>750000</v>
      </c>
      <c r="I79" s="1822">
        <f t="shared" si="52"/>
        <v>1268751</v>
      </c>
      <c r="J79" s="1888">
        <f t="shared" si="53"/>
        <v>57.550924873818985</v>
      </c>
      <c r="K79" s="1824">
        <f>+K80</f>
        <v>114180</v>
      </c>
      <c r="L79" s="1823">
        <f t="shared" si="54"/>
        <v>38.06</v>
      </c>
      <c r="M79" s="1824">
        <f t="shared" si="55"/>
        <v>-35820</v>
      </c>
      <c r="N79" s="3536"/>
    </row>
    <row r="80" spans="1:14" s="1670" customFormat="1" ht="12.75" customHeight="1" x14ac:dyDescent="0.2">
      <c r="A80" s="3118"/>
      <c r="B80" s="1878" t="s">
        <v>12</v>
      </c>
      <c r="C80" s="3171" t="s">
        <v>34</v>
      </c>
      <c r="D80" s="1847">
        <f t="shared" si="56"/>
        <v>2204571</v>
      </c>
      <c r="E80" s="1849">
        <f t="shared" si="56"/>
        <v>878826</v>
      </c>
      <c r="F80" s="1849">
        <f t="shared" si="56"/>
        <v>275745</v>
      </c>
      <c r="G80" s="1849">
        <f t="shared" si="56"/>
        <v>300000</v>
      </c>
      <c r="H80" s="1927">
        <f t="shared" si="56"/>
        <v>750000</v>
      </c>
      <c r="I80" s="1932">
        <f t="shared" si="52"/>
        <v>1268751</v>
      </c>
      <c r="J80" s="1933">
        <f t="shared" si="53"/>
        <v>57.550924873818985</v>
      </c>
      <c r="K80" s="1934">
        <f>+K81</f>
        <v>114180</v>
      </c>
      <c r="L80" s="1935">
        <f t="shared" si="54"/>
        <v>38.06</v>
      </c>
      <c r="M80" s="1845">
        <f t="shared" si="55"/>
        <v>-35820</v>
      </c>
      <c r="N80" s="3536"/>
    </row>
    <row r="81" spans="1:14" s="1670" customFormat="1" ht="12.75" customHeight="1" thickBot="1" x14ac:dyDescent="0.25">
      <c r="A81" s="3119"/>
      <c r="B81" s="1880" t="s">
        <v>14</v>
      </c>
      <c r="C81" s="3172"/>
      <c r="D81" s="1881">
        <f>+E81+F81+G81+H81</f>
        <v>2204571</v>
      </c>
      <c r="E81" s="1052">
        <f>134277+392458+352091</f>
        <v>878826</v>
      </c>
      <c r="F81" s="1052">
        <v>275745</v>
      </c>
      <c r="G81" s="1052">
        <v>300000</v>
      </c>
      <c r="H81" s="1928">
        <f>500000+200000+50000</f>
        <v>750000</v>
      </c>
      <c r="I81" s="1857">
        <f t="shared" si="52"/>
        <v>1268751</v>
      </c>
      <c r="J81" s="1858">
        <f t="shared" si="53"/>
        <v>57.550924873818985</v>
      </c>
      <c r="K81" s="1053">
        <v>114180</v>
      </c>
      <c r="L81" s="1937">
        <f t="shared" si="54"/>
        <v>38.06</v>
      </c>
      <c r="M81" s="1053">
        <f t="shared" si="55"/>
        <v>-35820</v>
      </c>
      <c r="N81" s="3341"/>
    </row>
    <row r="82" spans="1:14" s="1670" customFormat="1" ht="33.75" customHeight="1" x14ac:dyDescent="0.2">
      <c r="A82" s="3479" t="s">
        <v>43</v>
      </c>
      <c r="B82" s="1826" t="s">
        <v>350</v>
      </c>
      <c r="C82" s="1827" t="s">
        <v>173</v>
      </c>
      <c r="D82" s="1828"/>
      <c r="E82" s="1829"/>
      <c r="F82" s="1829"/>
      <c r="G82" s="1829"/>
      <c r="H82" s="1830"/>
      <c r="I82" s="1828"/>
      <c r="J82" s="1884"/>
      <c r="K82" s="1829"/>
      <c r="L82" s="1897"/>
      <c r="M82" s="1829"/>
      <c r="N82" s="3531" t="s">
        <v>283</v>
      </c>
    </row>
    <row r="83" spans="1:14" s="1670" customFormat="1" ht="12.75" customHeight="1" thickBot="1" x14ac:dyDescent="0.25">
      <c r="A83" s="3473"/>
      <c r="B83" s="334" t="s">
        <v>2</v>
      </c>
      <c r="C83" s="1832"/>
      <c r="D83" s="1822">
        <f>D84+D86</f>
        <v>2115283</v>
      </c>
      <c r="E83" s="1824">
        <f>+E86+E84</f>
        <v>1180812</v>
      </c>
      <c r="F83" s="1824">
        <f>+F86+F84</f>
        <v>348792</v>
      </c>
      <c r="G83" s="1824">
        <f>+G86+G84</f>
        <v>315679</v>
      </c>
      <c r="H83" s="1821">
        <f>+H86+H84</f>
        <v>270000</v>
      </c>
      <c r="I83" s="1822">
        <f t="shared" ref="I83:I92" si="57">+K83+E83+F83</f>
        <v>1812407</v>
      </c>
      <c r="J83" s="1888">
        <f t="shared" ref="J83:J92" si="58">I83/D83*100</f>
        <v>85.681537647681182</v>
      </c>
      <c r="K83" s="1824">
        <f>+K86+K84</f>
        <v>282803</v>
      </c>
      <c r="L83" s="1823">
        <f t="shared" ref="L83:L92" si="59">K83/G83*100</f>
        <v>89.585623370575803</v>
      </c>
      <c r="M83" s="1824">
        <f t="shared" ref="M83:M92" si="60">+K83-G83</f>
        <v>-32876</v>
      </c>
      <c r="N83" s="3532"/>
    </row>
    <row r="84" spans="1:14" s="1670" customFormat="1" ht="12.75" customHeight="1" x14ac:dyDescent="0.2">
      <c r="A84" s="3474"/>
      <c r="B84" s="775" t="s">
        <v>17</v>
      </c>
      <c r="C84" s="3171" t="s">
        <v>136</v>
      </c>
      <c r="D84" s="1932">
        <f>D85</f>
        <v>317293</v>
      </c>
      <c r="E84" s="1934">
        <f>+E85</f>
        <v>177122</v>
      </c>
      <c r="F84" s="1934">
        <f>+F85</f>
        <v>52319</v>
      </c>
      <c r="G84" s="1934">
        <f>+G85</f>
        <v>47352</v>
      </c>
      <c r="H84" s="1938">
        <f>+H85</f>
        <v>40500</v>
      </c>
      <c r="I84" s="1932">
        <f t="shared" si="57"/>
        <v>271861</v>
      </c>
      <c r="J84" s="1933">
        <f t="shared" si="58"/>
        <v>85.681373367833515</v>
      </c>
      <c r="K84" s="1934">
        <f>+K85</f>
        <v>42420</v>
      </c>
      <c r="L84" s="1935">
        <f t="shared" si="59"/>
        <v>89.584389254941712</v>
      </c>
      <c r="M84" s="1934">
        <f t="shared" si="60"/>
        <v>-4932</v>
      </c>
      <c r="N84" s="3533"/>
    </row>
    <row r="85" spans="1:14" s="1670" customFormat="1" ht="12.75" customHeight="1" x14ac:dyDescent="0.2">
      <c r="A85" s="3472"/>
      <c r="B85" s="608" t="s">
        <v>7</v>
      </c>
      <c r="C85" s="3171"/>
      <c r="D85" s="1474">
        <f>+E85+F85+G85+H85</f>
        <v>317293</v>
      </c>
      <c r="E85" s="846">
        <f>66154+54716+56252</f>
        <v>177122</v>
      </c>
      <c r="F85" s="846">
        <v>52319</v>
      </c>
      <c r="G85" s="846">
        <v>47352</v>
      </c>
      <c r="H85" s="1024">
        <v>40500</v>
      </c>
      <c r="I85" s="1019">
        <f>+K85+E85+F85</f>
        <v>271861</v>
      </c>
      <c r="J85" s="1852">
        <f t="shared" si="58"/>
        <v>85.681373367833515</v>
      </c>
      <c r="K85" s="846">
        <v>42420</v>
      </c>
      <c r="L85" s="1936">
        <f t="shared" si="59"/>
        <v>89.584389254941712</v>
      </c>
      <c r="M85" s="846">
        <f t="shared" si="60"/>
        <v>-4932</v>
      </c>
      <c r="N85" s="3534"/>
    </row>
    <row r="86" spans="1:14" s="1670" customFormat="1" ht="12.75" customHeight="1" x14ac:dyDescent="0.2">
      <c r="A86" s="3472"/>
      <c r="B86" s="1665" t="s">
        <v>12</v>
      </c>
      <c r="C86" s="3171"/>
      <c r="D86" s="1844">
        <f t="shared" ref="D86:H86" si="61">+D87</f>
        <v>1797990</v>
      </c>
      <c r="E86" s="1845">
        <f t="shared" si="61"/>
        <v>1003690</v>
      </c>
      <c r="F86" s="1845">
        <f t="shared" si="61"/>
        <v>296473</v>
      </c>
      <c r="G86" s="1845">
        <f t="shared" si="61"/>
        <v>268327</v>
      </c>
      <c r="H86" s="1846">
        <f t="shared" si="61"/>
        <v>229500</v>
      </c>
      <c r="I86" s="1844">
        <f t="shared" si="57"/>
        <v>1540546</v>
      </c>
      <c r="J86" s="1853">
        <f t="shared" si="58"/>
        <v>85.681566638301661</v>
      </c>
      <c r="K86" s="1845">
        <f>+K87</f>
        <v>240383</v>
      </c>
      <c r="L86" s="1939">
        <f t="shared" si="59"/>
        <v>89.585841156499342</v>
      </c>
      <c r="M86" s="1845">
        <f t="shared" si="60"/>
        <v>-27944</v>
      </c>
      <c r="N86" s="3534"/>
    </row>
    <row r="87" spans="1:14" s="1670" customFormat="1" ht="12.75" customHeight="1" x14ac:dyDescent="0.2">
      <c r="A87" s="3472"/>
      <c r="B87" s="1390" t="s">
        <v>14</v>
      </c>
      <c r="C87" s="3171"/>
      <c r="D87" s="1474">
        <f>+E87+F87+G87+H87</f>
        <v>1797990</v>
      </c>
      <c r="E87" s="1475">
        <f>374874+310055+318761</f>
        <v>1003690</v>
      </c>
      <c r="F87" s="1475">
        <v>296473</v>
      </c>
      <c r="G87" s="1475">
        <v>268327</v>
      </c>
      <c r="H87" s="1940">
        <v>229500</v>
      </c>
      <c r="I87" s="1474">
        <f t="shared" si="57"/>
        <v>1540546</v>
      </c>
      <c r="J87" s="1893">
        <f t="shared" si="58"/>
        <v>85.681566638301661</v>
      </c>
      <c r="K87" s="1475">
        <v>240383</v>
      </c>
      <c r="L87" s="1941">
        <f t="shared" si="59"/>
        <v>89.585841156499342</v>
      </c>
      <c r="M87" s="1475">
        <f t="shared" si="60"/>
        <v>-27944</v>
      </c>
      <c r="N87" s="3534"/>
    </row>
    <row r="88" spans="1:14" s="1670" customFormat="1" ht="12.75" customHeight="1" x14ac:dyDescent="0.2">
      <c r="A88" s="3118"/>
      <c r="B88" s="334" t="s">
        <v>16</v>
      </c>
      <c r="C88" s="22"/>
      <c r="D88" s="1822">
        <f>D89+D91</f>
        <v>2115283</v>
      </c>
      <c r="E88" s="1824">
        <f>+E91+E89</f>
        <v>981094</v>
      </c>
      <c r="F88" s="1824">
        <f>+F91+F89</f>
        <v>344217</v>
      </c>
      <c r="G88" s="1824">
        <f>+G91+G89</f>
        <v>315679</v>
      </c>
      <c r="H88" s="1942">
        <f>+H91+H89</f>
        <v>474293</v>
      </c>
      <c r="I88" s="1822">
        <f t="shared" si="57"/>
        <v>1614728</v>
      </c>
      <c r="J88" s="1888">
        <f t="shared" si="58"/>
        <v>76.336263280137928</v>
      </c>
      <c r="K88" s="1824">
        <f>+K91+K89</f>
        <v>289417</v>
      </c>
      <c r="L88" s="1823">
        <f t="shared" si="59"/>
        <v>91.680789662917078</v>
      </c>
      <c r="M88" s="1824">
        <f t="shared" si="60"/>
        <v>-26262</v>
      </c>
      <c r="N88" s="3534"/>
    </row>
    <row r="89" spans="1:14" s="1670" customFormat="1" ht="12.75" customHeight="1" x14ac:dyDescent="0.2">
      <c r="A89" s="3118"/>
      <c r="B89" s="775" t="s">
        <v>17</v>
      </c>
      <c r="C89" s="3171" t="s">
        <v>136</v>
      </c>
      <c r="D89" s="1932">
        <f>D90</f>
        <v>317293</v>
      </c>
      <c r="E89" s="1934">
        <f>+E90</f>
        <v>149478</v>
      </c>
      <c r="F89" s="1934">
        <f>+F90</f>
        <v>52704</v>
      </c>
      <c r="G89" s="1934">
        <f>+G90</f>
        <v>47352</v>
      </c>
      <c r="H89" s="1943">
        <f>+H90</f>
        <v>67759</v>
      </c>
      <c r="I89" s="1932">
        <f t="shared" si="57"/>
        <v>246511</v>
      </c>
      <c r="J89" s="1933">
        <f t="shared" si="58"/>
        <v>77.691912522494974</v>
      </c>
      <c r="K89" s="1934">
        <f>+K90</f>
        <v>44329</v>
      </c>
      <c r="L89" s="1935">
        <f t="shared" si="59"/>
        <v>93.615897955735761</v>
      </c>
      <c r="M89" s="1934">
        <f t="shared" si="60"/>
        <v>-3023</v>
      </c>
      <c r="N89" s="3534"/>
    </row>
    <row r="90" spans="1:14" s="1670" customFormat="1" ht="12.75" customHeight="1" x14ac:dyDescent="0.2">
      <c r="A90" s="3118"/>
      <c r="B90" s="608" t="s">
        <v>7</v>
      </c>
      <c r="C90" s="3171"/>
      <c r="D90" s="1474">
        <f>+E90+F90+G90+H90</f>
        <v>317293</v>
      </c>
      <c r="E90" s="846">
        <f>3874+72234+73370</f>
        <v>149478</v>
      </c>
      <c r="F90" s="846">
        <v>52704</v>
      </c>
      <c r="G90" s="846">
        <v>47352</v>
      </c>
      <c r="H90" s="1024">
        <f>47509+20250</f>
        <v>67759</v>
      </c>
      <c r="I90" s="1019">
        <f t="shared" si="57"/>
        <v>246511</v>
      </c>
      <c r="J90" s="1852">
        <f t="shared" si="58"/>
        <v>77.691912522494974</v>
      </c>
      <c r="K90" s="846">
        <v>44329</v>
      </c>
      <c r="L90" s="1936">
        <f t="shared" si="59"/>
        <v>93.615897955735761</v>
      </c>
      <c r="M90" s="846">
        <f t="shared" si="60"/>
        <v>-3023</v>
      </c>
      <c r="N90" s="3534"/>
    </row>
    <row r="91" spans="1:14" s="1670" customFormat="1" ht="12.75" customHeight="1" x14ac:dyDescent="0.2">
      <c r="A91" s="3118"/>
      <c r="B91" s="1665" t="s">
        <v>12</v>
      </c>
      <c r="C91" s="3171"/>
      <c r="D91" s="1844">
        <f t="shared" ref="D91:H91" si="62">+D92</f>
        <v>1797990</v>
      </c>
      <c r="E91" s="1845">
        <f t="shared" si="62"/>
        <v>831616</v>
      </c>
      <c r="F91" s="1845">
        <f t="shared" si="62"/>
        <v>291513</v>
      </c>
      <c r="G91" s="1845">
        <f t="shared" si="62"/>
        <v>268327</v>
      </c>
      <c r="H91" s="1944">
        <f t="shared" si="62"/>
        <v>406534</v>
      </c>
      <c r="I91" s="1844">
        <f t="shared" si="57"/>
        <v>1368217</v>
      </c>
      <c r="J91" s="1853">
        <f t="shared" si="58"/>
        <v>76.097030573028775</v>
      </c>
      <c r="K91" s="1845">
        <f>+K92</f>
        <v>245088</v>
      </c>
      <c r="L91" s="1939">
        <f t="shared" si="59"/>
        <v>91.339298691521904</v>
      </c>
      <c r="M91" s="1845">
        <f t="shared" si="60"/>
        <v>-23239</v>
      </c>
      <c r="N91" s="3534"/>
    </row>
    <row r="92" spans="1:14" s="1670" customFormat="1" ht="12.75" customHeight="1" thickBot="1" x14ac:dyDescent="0.25">
      <c r="A92" s="3119"/>
      <c r="B92" s="537" t="s">
        <v>14</v>
      </c>
      <c r="C92" s="3172"/>
      <c r="D92" s="1855">
        <f>+E92+F92+G92+H92</f>
        <v>1797990</v>
      </c>
      <c r="E92" s="1945">
        <f>408227+423389</f>
        <v>831616</v>
      </c>
      <c r="F92" s="1945">
        <v>291513</v>
      </c>
      <c r="G92" s="1945">
        <v>268327</v>
      </c>
      <c r="H92" s="1946">
        <f>291784+114750</f>
        <v>406534</v>
      </c>
      <c r="I92" s="1855">
        <f t="shared" si="57"/>
        <v>1368217</v>
      </c>
      <c r="J92" s="1895">
        <f t="shared" si="58"/>
        <v>76.097030573028775</v>
      </c>
      <c r="K92" s="1945">
        <v>245088</v>
      </c>
      <c r="L92" s="1947">
        <f t="shared" si="59"/>
        <v>91.339298691521904</v>
      </c>
      <c r="M92" s="1945">
        <f t="shared" si="60"/>
        <v>-23239</v>
      </c>
      <c r="N92" s="3532"/>
    </row>
    <row r="93" spans="1:14" s="1670" customFormat="1" ht="50.25" customHeight="1" thickBot="1" x14ac:dyDescent="0.25">
      <c r="A93" s="3519" t="s">
        <v>44</v>
      </c>
      <c r="B93" s="1826" t="s">
        <v>142</v>
      </c>
      <c r="C93" s="1827" t="s">
        <v>168</v>
      </c>
      <c r="D93" s="1828"/>
      <c r="E93" s="1829"/>
      <c r="F93" s="1829"/>
      <c r="G93" s="1829"/>
      <c r="H93" s="1830"/>
      <c r="I93" s="1828"/>
      <c r="J93" s="1884"/>
      <c r="K93" s="1829"/>
      <c r="L93" s="1897"/>
      <c r="M93" s="1829"/>
      <c r="N93" s="3377" t="s">
        <v>143</v>
      </c>
    </row>
    <row r="94" spans="1:14" s="1670" customFormat="1" ht="12.75" customHeight="1" thickBot="1" x14ac:dyDescent="0.25">
      <c r="A94" s="3520"/>
      <c r="B94" s="334" t="s">
        <v>2</v>
      </c>
      <c r="C94" s="1832"/>
      <c r="D94" s="1833">
        <f t="shared" ref="D94:H94" si="63">+D95+D97</f>
        <v>23000000</v>
      </c>
      <c r="E94" s="1835">
        <f t="shared" si="63"/>
        <v>36900</v>
      </c>
      <c r="F94" s="1835">
        <f t="shared" si="63"/>
        <v>5439983</v>
      </c>
      <c r="G94" s="1835">
        <f t="shared" si="63"/>
        <v>7300000</v>
      </c>
      <c r="H94" s="1926">
        <f t="shared" si="63"/>
        <v>10223117</v>
      </c>
      <c r="I94" s="1822">
        <f t="shared" ref="I94:I101" si="64">+K94+E94+F94</f>
        <v>12478023.530000001</v>
      </c>
      <c r="J94" s="1888">
        <f t="shared" ref="J94:J101" si="65">I94/D94*100</f>
        <v>54.252276217391305</v>
      </c>
      <c r="K94" s="1824">
        <f>+K95+K97</f>
        <v>7001140.5300000003</v>
      </c>
      <c r="L94" s="1823">
        <f t="shared" ref="L94:L101" si="66">K94/G94*100</f>
        <v>95.906034657534249</v>
      </c>
      <c r="M94" s="1824">
        <f t="shared" si="55"/>
        <v>3351140.5300000003</v>
      </c>
      <c r="N94" s="3145"/>
    </row>
    <row r="95" spans="1:14" s="1670" customFormat="1" ht="12.75" customHeight="1" x14ac:dyDescent="0.2">
      <c r="A95" s="3474"/>
      <c r="B95" s="775" t="s">
        <v>17</v>
      </c>
      <c r="C95" s="3478" t="s">
        <v>144</v>
      </c>
      <c r="D95" s="1520">
        <f t="shared" ref="D95:H95" si="67">+D96</f>
        <v>5750000</v>
      </c>
      <c r="E95" s="1518">
        <f t="shared" si="67"/>
        <v>9225</v>
      </c>
      <c r="F95" s="1518">
        <f t="shared" si="67"/>
        <v>1343620</v>
      </c>
      <c r="G95" s="1518">
        <f t="shared" si="67"/>
        <v>1825000</v>
      </c>
      <c r="H95" s="1948">
        <f t="shared" si="67"/>
        <v>2572155</v>
      </c>
      <c r="I95" s="1836">
        <f t="shared" si="64"/>
        <v>3103130.13</v>
      </c>
      <c r="J95" s="1851">
        <f t="shared" si="65"/>
        <v>53.967480521739134</v>
      </c>
      <c r="K95" s="1837">
        <f>+K96</f>
        <v>1750285.13</v>
      </c>
      <c r="L95" s="1949">
        <f t="shared" si="66"/>
        <v>95.906034520547934</v>
      </c>
      <c r="M95" s="1837">
        <f t="shared" si="55"/>
        <v>837785.12999999989</v>
      </c>
      <c r="N95" s="3305"/>
    </row>
    <row r="96" spans="1:14" s="1670" customFormat="1" ht="12.75" customHeight="1" x14ac:dyDescent="0.2">
      <c r="A96" s="3472"/>
      <c r="B96" s="1840" t="s">
        <v>4</v>
      </c>
      <c r="C96" s="3171"/>
      <c r="D96" s="1869">
        <f>+E96+F96+G96+H96</f>
        <v>5750000</v>
      </c>
      <c r="E96" s="1843">
        <v>9225</v>
      </c>
      <c r="F96" s="1843">
        <v>1343620</v>
      </c>
      <c r="G96" s="1950">
        <v>1825000</v>
      </c>
      <c r="H96" s="1950">
        <f>75325+2496830</f>
        <v>2572155</v>
      </c>
      <c r="I96" s="1019">
        <f t="shared" si="64"/>
        <v>3103130.13</v>
      </c>
      <c r="J96" s="1893">
        <f t="shared" si="65"/>
        <v>53.967480521739134</v>
      </c>
      <c r="K96" s="1475">
        <v>1750285.13</v>
      </c>
      <c r="L96" s="1941">
        <f t="shared" si="66"/>
        <v>95.906034520547934</v>
      </c>
      <c r="M96" s="1475">
        <f t="shared" si="55"/>
        <v>837785.12999999989</v>
      </c>
      <c r="N96" s="3171"/>
    </row>
    <row r="97" spans="1:55" s="1670" customFormat="1" ht="12.75" customHeight="1" x14ac:dyDescent="0.2">
      <c r="A97" s="3472"/>
      <c r="B97" s="1665" t="s">
        <v>12</v>
      </c>
      <c r="C97" s="3171"/>
      <c r="D97" s="1847">
        <f t="shared" ref="D97:H97" si="68">+D98</f>
        <v>17250000</v>
      </c>
      <c r="E97" s="1849">
        <f t="shared" si="68"/>
        <v>27675</v>
      </c>
      <c r="F97" s="1849">
        <f t="shared" si="68"/>
        <v>4096363</v>
      </c>
      <c r="G97" s="1849">
        <f t="shared" si="68"/>
        <v>5475000</v>
      </c>
      <c r="H97" s="1927">
        <f t="shared" si="68"/>
        <v>7650962</v>
      </c>
      <c r="I97" s="1844">
        <f t="shared" si="64"/>
        <v>9374893.4000000004</v>
      </c>
      <c r="J97" s="1853">
        <f t="shared" si="65"/>
        <v>54.347208115942038</v>
      </c>
      <c r="K97" s="1845">
        <f>+K98</f>
        <v>5250855.4000000004</v>
      </c>
      <c r="L97" s="1939">
        <f t="shared" si="66"/>
        <v>95.906034703196354</v>
      </c>
      <c r="M97" s="1845">
        <f t="shared" si="55"/>
        <v>2513355.4000000004</v>
      </c>
      <c r="N97" s="3171"/>
    </row>
    <row r="98" spans="1:55" s="1670" customFormat="1" ht="12.75" customHeight="1" x14ac:dyDescent="0.2">
      <c r="A98" s="3472"/>
      <c r="B98" s="1850" t="s">
        <v>14</v>
      </c>
      <c r="C98" s="3171"/>
      <c r="D98" s="1869">
        <f>+E98+F98+G98+H98</f>
        <v>17250000</v>
      </c>
      <c r="E98" s="847">
        <v>27675</v>
      </c>
      <c r="F98" s="847">
        <v>4096363</v>
      </c>
      <c r="G98" s="1022">
        <v>5475000</v>
      </c>
      <c r="H98" s="1022">
        <f>225975+7424987</f>
        <v>7650962</v>
      </c>
      <c r="I98" s="1019">
        <f t="shared" si="64"/>
        <v>9374893.4000000004</v>
      </c>
      <c r="J98" s="1852">
        <f t="shared" si="65"/>
        <v>54.347208115942038</v>
      </c>
      <c r="K98" s="846">
        <v>5250855.4000000004</v>
      </c>
      <c r="L98" s="1936">
        <f t="shared" si="66"/>
        <v>95.906034703196354</v>
      </c>
      <c r="M98" s="846">
        <f t="shared" si="55"/>
        <v>2513355.4000000004</v>
      </c>
      <c r="N98" s="3171"/>
    </row>
    <row r="99" spans="1:55" s="1670" customFormat="1" ht="12.75" customHeight="1" x14ac:dyDescent="0.2">
      <c r="A99" s="3118"/>
      <c r="B99" s="334" t="s">
        <v>16</v>
      </c>
      <c r="C99" s="22"/>
      <c r="D99" s="1951">
        <f t="shared" ref="D99:H99" si="69">+D100</f>
        <v>17250000</v>
      </c>
      <c r="E99" s="1926">
        <f t="shared" si="69"/>
        <v>0</v>
      </c>
      <c r="F99" s="1926">
        <f t="shared" si="69"/>
        <v>4114813</v>
      </c>
      <c r="G99" s="1926">
        <f t="shared" si="69"/>
        <v>5539550</v>
      </c>
      <c r="H99" s="1926">
        <f t="shared" si="69"/>
        <v>7595637</v>
      </c>
      <c r="I99" s="1822">
        <f t="shared" si="64"/>
        <v>9412623</v>
      </c>
      <c r="J99" s="1823">
        <f t="shared" si="65"/>
        <v>54.565930434782608</v>
      </c>
      <c r="K99" s="1824">
        <f>+K100</f>
        <v>5297810</v>
      </c>
      <c r="L99" s="1823">
        <f t="shared" si="66"/>
        <v>95.636107626070711</v>
      </c>
      <c r="M99" s="1824">
        <f t="shared" si="55"/>
        <v>2528035</v>
      </c>
      <c r="N99" s="3171"/>
    </row>
    <row r="100" spans="1:55" s="1670" customFormat="1" ht="12.75" customHeight="1" x14ac:dyDescent="0.2">
      <c r="A100" s="3118"/>
      <c r="B100" s="1665" t="s">
        <v>12</v>
      </c>
      <c r="C100" s="3171"/>
      <c r="D100" s="1847">
        <f>+D101</f>
        <v>17250000</v>
      </c>
      <c r="E100" s="1849">
        <f>+E101</f>
        <v>0</v>
      </c>
      <c r="F100" s="1849">
        <f>+F101</f>
        <v>4114813</v>
      </c>
      <c r="G100" s="1927">
        <f>G101</f>
        <v>5539550</v>
      </c>
      <c r="H100" s="1927">
        <f>H101</f>
        <v>7595637</v>
      </c>
      <c r="I100" s="1844">
        <f t="shared" si="64"/>
        <v>9412623</v>
      </c>
      <c r="J100" s="1853">
        <f t="shared" si="65"/>
        <v>54.565930434782608</v>
      </c>
      <c r="K100" s="1845">
        <f>+K101</f>
        <v>5297810</v>
      </c>
      <c r="L100" s="1939">
        <f t="shared" si="66"/>
        <v>95.636107626070711</v>
      </c>
      <c r="M100" s="1845">
        <f t="shared" si="55"/>
        <v>2528035</v>
      </c>
      <c r="N100" s="3171"/>
    </row>
    <row r="101" spans="1:55" s="1670" customFormat="1" ht="12.75" customHeight="1" thickBot="1" x14ac:dyDescent="0.25">
      <c r="A101" s="3119"/>
      <c r="B101" s="1854" t="s">
        <v>14</v>
      </c>
      <c r="C101" s="3172"/>
      <c r="D101" s="1881">
        <f>+E101+F101+G101+H101</f>
        <v>17250000</v>
      </c>
      <c r="E101" s="1052">
        <v>0</v>
      </c>
      <c r="F101" s="1052">
        <v>4114813</v>
      </c>
      <c r="G101" s="1928">
        <v>5539550</v>
      </c>
      <c r="H101" s="1928">
        <f>169763+7425874</f>
        <v>7595637</v>
      </c>
      <c r="I101" s="1857">
        <f t="shared" si="64"/>
        <v>9412623</v>
      </c>
      <c r="J101" s="1858">
        <f t="shared" si="65"/>
        <v>54.565930434782608</v>
      </c>
      <c r="K101" s="1053">
        <v>5297810</v>
      </c>
      <c r="L101" s="1937">
        <f t="shared" si="66"/>
        <v>95.636107626070711</v>
      </c>
      <c r="M101" s="1053">
        <f t="shared" si="55"/>
        <v>2528035</v>
      </c>
      <c r="N101" s="3172"/>
    </row>
    <row r="102" spans="1:55" s="1670" customFormat="1" ht="12.75" customHeight="1" x14ac:dyDescent="0.2">
      <c r="A102" s="3522"/>
      <c r="B102" s="3523"/>
      <c r="C102" s="3523"/>
      <c r="D102" s="3523"/>
      <c r="E102" s="3523"/>
      <c r="F102" s="3523"/>
      <c r="G102" s="3523"/>
      <c r="H102" s="3523"/>
      <c r="I102" s="3523"/>
      <c r="J102" s="3523"/>
      <c r="K102" s="3523"/>
      <c r="L102" s="3523"/>
      <c r="M102" s="3523"/>
      <c r="N102" s="3524"/>
    </row>
    <row r="103" spans="1:55" s="1670" customFormat="1" ht="12.75" hidden="1" customHeight="1" x14ac:dyDescent="0.2">
      <c r="A103" s="3525"/>
      <c r="B103" s="3526"/>
      <c r="C103" s="3526"/>
      <c r="D103" s="3526"/>
      <c r="E103" s="3526"/>
      <c r="F103" s="3526"/>
      <c r="G103" s="3526"/>
      <c r="H103" s="3526"/>
      <c r="I103" s="3526"/>
      <c r="J103" s="3526"/>
      <c r="K103" s="3526"/>
      <c r="L103" s="3526"/>
      <c r="M103" s="3526"/>
      <c r="N103" s="3527"/>
    </row>
    <row r="104" spans="1:55" s="1670" customFormat="1" ht="12.75" hidden="1" customHeight="1" x14ac:dyDescent="0.2">
      <c r="A104" s="3525"/>
      <c r="B104" s="3526"/>
      <c r="C104" s="3526"/>
      <c r="D104" s="3526"/>
      <c r="E104" s="3526"/>
      <c r="F104" s="3526"/>
      <c r="G104" s="3526"/>
      <c r="H104" s="3526"/>
      <c r="I104" s="3526"/>
      <c r="J104" s="3526"/>
      <c r="K104" s="3526"/>
      <c r="L104" s="3526"/>
      <c r="M104" s="3526"/>
      <c r="N104" s="3527"/>
    </row>
    <row r="105" spans="1:55" s="1670" customFormat="1" ht="12.75" customHeight="1" thickBot="1" x14ac:dyDescent="0.25">
      <c r="A105" s="3528"/>
      <c r="B105" s="3529"/>
      <c r="C105" s="3529"/>
      <c r="D105" s="3529"/>
      <c r="E105" s="3529"/>
      <c r="F105" s="3529"/>
      <c r="G105" s="3529"/>
      <c r="H105" s="3529"/>
      <c r="I105" s="3529"/>
      <c r="J105" s="3529"/>
      <c r="K105" s="3529"/>
      <c r="L105" s="3529"/>
      <c r="M105" s="3529"/>
      <c r="N105" s="3530"/>
    </row>
    <row r="106" spans="1:55" s="1961" customFormat="1" ht="31.5" customHeight="1" thickBot="1" x14ac:dyDescent="0.25">
      <c r="A106" s="1952" t="s">
        <v>265</v>
      </c>
      <c r="B106" s="1953"/>
      <c r="C106" s="1954"/>
      <c r="D106" s="1953"/>
      <c r="E106" s="1955"/>
      <c r="F106" s="1953"/>
      <c r="G106" s="1953"/>
      <c r="H106" s="1956"/>
      <c r="I106" s="1957"/>
      <c r="J106" s="1958"/>
      <c r="K106" s="1953"/>
      <c r="L106" s="1959"/>
      <c r="M106" s="1956"/>
      <c r="N106" s="1960"/>
    </row>
    <row r="107" spans="1:55" s="285" customFormat="1" ht="18" customHeight="1" thickBot="1" x14ac:dyDescent="0.25">
      <c r="A107" s="1804"/>
      <c r="B107" s="267" t="s">
        <v>164</v>
      </c>
      <c r="C107" s="268"/>
      <c r="D107" s="50">
        <f>D108+D109</f>
        <v>24020323</v>
      </c>
      <c r="E107" s="54">
        <f t="shared" ref="E107:H107" si="70">E108+E109</f>
        <v>190882</v>
      </c>
      <c r="F107" s="54">
        <f t="shared" si="70"/>
        <v>6883394</v>
      </c>
      <c r="G107" s="54">
        <f t="shared" si="70"/>
        <v>5411144</v>
      </c>
      <c r="H107" s="54">
        <f t="shared" si="70"/>
        <v>11534903</v>
      </c>
      <c r="I107" s="50">
        <f t="shared" ref="I107:I112" si="71">+K107+E107+F107</f>
        <v>11974067</v>
      </c>
      <c r="J107" s="53">
        <f t="shared" ref="J107:J112" si="72">I107/D107*100</f>
        <v>49.849733494424704</v>
      </c>
      <c r="K107" s="54">
        <f>K108+K109</f>
        <v>4899791</v>
      </c>
      <c r="L107" s="53">
        <f t="shared" ref="L107:L112" si="73">K107/G107*100</f>
        <v>90.55000199588109</v>
      </c>
      <c r="M107" s="54">
        <f t="shared" ref="M107:M112" si="74">+K107-G107</f>
        <v>-511353</v>
      </c>
      <c r="N107" s="1082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284"/>
      <c r="AX107" s="284"/>
      <c r="AY107" s="284"/>
      <c r="AZ107" s="284"/>
      <c r="BA107" s="284"/>
      <c r="BB107" s="284"/>
      <c r="BC107" s="284"/>
    </row>
    <row r="108" spans="1:55" s="285" customFormat="1" ht="17.25" customHeight="1" thickTop="1" x14ac:dyDescent="0.2">
      <c r="A108" s="1806"/>
      <c r="B108" s="276" t="s">
        <v>165</v>
      </c>
      <c r="C108" s="277"/>
      <c r="D108" s="59">
        <f>D134</f>
        <v>21903243</v>
      </c>
      <c r="E108" s="279">
        <f>E134</f>
        <v>0</v>
      </c>
      <c r="F108" s="279">
        <f>F134</f>
        <v>4992196</v>
      </c>
      <c r="G108" s="279">
        <f>G134</f>
        <v>5411141</v>
      </c>
      <c r="H108" s="279">
        <f>H134</f>
        <v>11499906</v>
      </c>
      <c r="I108" s="59">
        <f t="shared" si="71"/>
        <v>9891985</v>
      </c>
      <c r="J108" s="63">
        <f t="shared" si="72"/>
        <v>45.162193561930529</v>
      </c>
      <c r="K108" s="279">
        <f>K134</f>
        <v>4899789</v>
      </c>
      <c r="L108" s="63">
        <f t="shared" si="73"/>
        <v>90.550015237082164</v>
      </c>
      <c r="M108" s="279">
        <f t="shared" si="74"/>
        <v>-511352</v>
      </c>
      <c r="N108" s="1082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4"/>
      <c r="AV108" s="284"/>
      <c r="AW108" s="284"/>
      <c r="AX108" s="284"/>
      <c r="AY108" s="284"/>
      <c r="AZ108" s="284"/>
      <c r="BA108" s="284"/>
      <c r="BB108" s="284"/>
      <c r="BC108" s="284"/>
    </row>
    <row r="109" spans="1:55" s="285" customFormat="1" ht="17.25" customHeight="1" thickBot="1" x14ac:dyDescent="0.25">
      <c r="A109" s="1806"/>
      <c r="B109" s="1962" t="s">
        <v>166</v>
      </c>
      <c r="C109" s="1963"/>
      <c r="D109" s="66">
        <f t="shared" ref="D109:H109" si="75">D114+D118+D122+D126+D130</f>
        <v>2117080</v>
      </c>
      <c r="E109" s="1964">
        <f t="shared" si="75"/>
        <v>190882</v>
      </c>
      <c r="F109" s="1964">
        <f t="shared" si="75"/>
        <v>1891198</v>
      </c>
      <c r="G109" s="1964">
        <f t="shared" si="75"/>
        <v>3</v>
      </c>
      <c r="H109" s="1964">
        <f t="shared" si="75"/>
        <v>34997</v>
      </c>
      <c r="I109" s="66">
        <f t="shared" si="71"/>
        <v>2082082</v>
      </c>
      <c r="J109" s="67">
        <f t="shared" si="72"/>
        <v>98.346873996258992</v>
      </c>
      <c r="K109" s="1964">
        <f>K114+K118+K122+K126+K130</f>
        <v>2</v>
      </c>
      <c r="L109" s="67">
        <f t="shared" si="73"/>
        <v>66.666666666666657</v>
      </c>
      <c r="M109" s="1965">
        <f t="shared" si="74"/>
        <v>-1</v>
      </c>
      <c r="N109" s="1082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84"/>
      <c r="AX109" s="284"/>
      <c r="AY109" s="284"/>
      <c r="AZ109" s="284"/>
      <c r="BA109" s="284"/>
      <c r="BB109" s="284"/>
      <c r="BC109" s="284"/>
    </row>
    <row r="110" spans="1:55" s="1813" customFormat="1" ht="15" customHeight="1" thickBot="1" x14ac:dyDescent="0.25">
      <c r="A110" s="3482"/>
      <c r="B110" s="1966" t="s">
        <v>2</v>
      </c>
      <c r="C110" s="1967"/>
      <c r="D110" s="1607">
        <f>+D111</f>
        <v>24020323</v>
      </c>
      <c r="E110" s="1609">
        <f t="shared" ref="E110:H111" si="76">+E111</f>
        <v>190882</v>
      </c>
      <c r="F110" s="1609">
        <f t="shared" si="76"/>
        <v>6883394</v>
      </c>
      <c r="G110" s="1610">
        <f t="shared" si="76"/>
        <v>5411144</v>
      </c>
      <c r="H110" s="1609">
        <f t="shared" si="76"/>
        <v>11534903</v>
      </c>
      <c r="I110" s="1811">
        <f t="shared" si="71"/>
        <v>11974067</v>
      </c>
      <c r="J110" s="1968">
        <f t="shared" si="72"/>
        <v>49.849733494424704</v>
      </c>
      <c r="K110" s="1969">
        <f t="shared" ref="K110:K111" si="77">+K111</f>
        <v>4899791</v>
      </c>
      <c r="L110" s="1970">
        <f t="shared" si="73"/>
        <v>90.55000199588109</v>
      </c>
      <c r="M110" s="1609">
        <f t="shared" si="74"/>
        <v>-511353</v>
      </c>
      <c r="N110" s="3485"/>
    </row>
    <row r="111" spans="1:55" s="1980" customFormat="1" ht="15" customHeight="1" x14ac:dyDescent="0.2">
      <c r="A111" s="3483"/>
      <c r="B111" s="1971" t="s">
        <v>3</v>
      </c>
      <c r="C111" s="3486"/>
      <c r="D111" s="1972">
        <f>+D112</f>
        <v>24020323</v>
      </c>
      <c r="E111" s="1973">
        <f t="shared" si="76"/>
        <v>190882</v>
      </c>
      <c r="F111" s="1973">
        <f t="shared" si="76"/>
        <v>6883394</v>
      </c>
      <c r="G111" s="1974">
        <f t="shared" si="76"/>
        <v>5411144</v>
      </c>
      <c r="H111" s="1973">
        <f t="shared" si="76"/>
        <v>11534903</v>
      </c>
      <c r="I111" s="1975">
        <f t="shared" si="71"/>
        <v>11974067</v>
      </c>
      <c r="J111" s="1976">
        <f t="shared" si="72"/>
        <v>49.849733494424704</v>
      </c>
      <c r="K111" s="1977">
        <f t="shared" si="77"/>
        <v>4899791</v>
      </c>
      <c r="L111" s="1978">
        <f t="shared" si="73"/>
        <v>90.55000199588109</v>
      </c>
      <c r="M111" s="1973">
        <f t="shared" si="74"/>
        <v>-511353</v>
      </c>
      <c r="N111" s="3083"/>
      <c r="O111" s="1979"/>
    </row>
    <row r="112" spans="1:55" s="1818" customFormat="1" ht="15" customHeight="1" x14ac:dyDescent="0.2">
      <c r="A112" s="3484"/>
      <c r="B112" s="1617" t="s">
        <v>4</v>
      </c>
      <c r="C112" s="3487"/>
      <c r="D112" s="1981">
        <f>D116+D120+D124+D128+D132+D136</f>
        <v>24020323</v>
      </c>
      <c r="E112" s="1982">
        <f>E116+E120+E124+E128+E132+E136</f>
        <v>190882</v>
      </c>
      <c r="F112" s="1982">
        <f>F116+F120+F124+F128+F132+F136</f>
        <v>6883394</v>
      </c>
      <c r="G112" s="1983">
        <f>G116+G120+G124+G128+G132+G136</f>
        <v>5411144</v>
      </c>
      <c r="H112" s="1982">
        <f>H116+H120+H124+H128+H132+H136</f>
        <v>11534903</v>
      </c>
      <c r="I112" s="1981">
        <f t="shared" si="71"/>
        <v>11974067</v>
      </c>
      <c r="J112" s="1626">
        <f t="shared" si="72"/>
        <v>49.849733494424704</v>
      </c>
      <c r="K112" s="1620">
        <f>K116+K120+K124+K128+K132+K136</f>
        <v>4899791</v>
      </c>
      <c r="L112" s="1625">
        <f t="shared" si="73"/>
        <v>90.55000199588109</v>
      </c>
      <c r="M112" s="1982">
        <f t="shared" si="74"/>
        <v>-511353</v>
      </c>
      <c r="N112" s="3300"/>
    </row>
    <row r="113" spans="1:14" s="1991" customFormat="1" ht="38.25" hidden="1" x14ac:dyDescent="0.2">
      <c r="A113" s="3474" t="s">
        <v>32</v>
      </c>
      <c r="B113" s="1984" t="s">
        <v>137</v>
      </c>
      <c r="C113" s="1536" t="s">
        <v>168</v>
      </c>
      <c r="D113" s="1985"/>
      <c r="E113" s="1986"/>
      <c r="F113" s="1987"/>
      <c r="G113" s="1987"/>
      <c r="H113" s="1986"/>
      <c r="I113" s="1985"/>
      <c r="J113" s="1988"/>
      <c r="K113" s="1989"/>
      <c r="L113" s="1990"/>
      <c r="M113" s="1986"/>
      <c r="N113" s="3480" t="s">
        <v>138</v>
      </c>
    </row>
    <row r="114" spans="1:14" s="1991" customFormat="1" ht="13.5" hidden="1" customHeight="1" x14ac:dyDescent="0.2">
      <c r="A114" s="3472"/>
      <c r="B114" s="334" t="s">
        <v>2</v>
      </c>
      <c r="C114" s="1832"/>
      <c r="D114" s="1833">
        <f>+D115</f>
        <v>0</v>
      </c>
      <c r="E114" s="1835">
        <v>0</v>
      </c>
      <c r="F114" s="1835">
        <f t="shared" ref="F114:H115" si="78">F115</f>
        <v>0</v>
      </c>
      <c r="G114" s="1863">
        <f t="shared" si="78"/>
        <v>0</v>
      </c>
      <c r="H114" s="1992">
        <f t="shared" si="78"/>
        <v>0</v>
      </c>
      <c r="I114" s="1833">
        <f>+K114+E114+F114</f>
        <v>0</v>
      </c>
      <c r="J114" s="1888" t="e">
        <f>I114/D114*100</f>
        <v>#DIV/0!</v>
      </c>
      <c r="K114" s="1861">
        <f>K115</f>
        <v>0</v>
      </c>
      <c r="L114" s="1887">
        <v>0</v>
      </c>
      <c r="M114" s="1993">
        <f t="shared" si="55"/>
        <v>0</v>
      </c>
      <c r="N114" s="3087"/>
    </row>
    <row r="115" spans="1:14" s="1991" customFormat="1" ht="14.25" hidden="1" customHeight="1" x14ac:dyDescent="0.2">
      <c r="A115" s="3472"/>
      <c r="B115" s="775" t="s">
        <v>17</v>
      </c>
      <c r="C115" s="3488" t="s">
        <v>136</v>
      </c>
      <c r="D115" s="1847">
        <f>+D116</f>
        <v>0</v>
      </c>
      <c r="E115" s="1849">
        <v>0</v>
      </c>
      <c r="F115" s="1849">
        <f t="shared" si="78"/>
        <v>0</v>
      </c>
      <c r="G115" s="1874">
        <f t="shared" si="78"/>
        <v>0</v>
      </c>
      <c r="H115" s="1994">
        <f t="shared" si="78"/>
        <v>0</v>
      </c>
      <c r="I115" s="1847">
        <f>+K115+E115+F115</f>
        <v>0</v>
      </c>
      <c r="J115" s="1853" t="e">
        <f>I115/D115*100</f>
        <v>#DIV/0!</v>
      </c>
      <c r="K115" s="1872">
        <f>K116</f>
        <v>0</v>
      </c>
      <c r="L115" s="1894">
        <v>0</v>
      </c>
      <c r="M115" s="1994">
        <f t="shared" si="55"/>
        <v>0</v>
      </c>
      <c r="N115" s="3087"/>
    </row>
    <row r="116" spans="1:14" s="1991" customFormat="1" ht="13.5" hidden="1" customHeight="1" thickBot="1" x14ac:dyDescent="0.25">
      <c r="A116" s="3473"/>
      <c r="B116" s="1995" t="s">
        <v>4</v>
      </c>
      <c r="C116" s="3172"/>
      <c r="D116" s="1881">
        <f>+E116+F116+G116+H116</f>
        <v>0</v>
      </c>
      <c r="E116" s="1996">
        <v>0</v>
      </c>
      <c r="F116" s="1996"/>
      <c r="G116" s="1997">
        <v>0</v>
      </c>
      <c r="H116" s="1998">
        <v>0</v>
      </c>
      <c r="I116" s="1841">
        <f>+K116+E116+F116</f>
        <v>0</v>
      </c>
      <c r="J116" s="1895" t="e">
        <f>I116/D116*100</f>
        <v>#DIV/0!</v>
      </c>
      <c r="K116" s="1999">
        <v>0</v>
      </c>
      <c r="L116" s="1896">
        <v>0</v>
      </c>
      <c r="M116" s="1998">
        <f t="shared" si="55"/>
        <v>0</v>
      </c>
      <c r="N116" s="3090"/>
    </row>
    <row r="117" spans="1:14" s="1991" customFormat="1" ht="42.75" hidden="1" customHeight="1" x14ac:dyDescent="0.2">
      <c r="A117" s="3521" t="s">
        <v>32</v>
      </c>
      <c r="B117" s="1826" t="s">
        <v>139</v>
      </c>
      <c r="C117" s="1827" t="s">
        <v>168</v>
      </c>
      <c r="D117" s="1828"/>
      <c r="E117" s="1829"/>
      <c r="F117" s="1829"/>
      <c r="G117" s="2000"/>
      <c r="H117" s="1830"/>
      <c r="I117" s="1828"/>
      <c r="J117" s="1884"/>
      <c r="K117" s="1885"/>
      <c r="L117" s="2001"/>
      <c r="M117" s="1830"/>
      <c r="N117" s="3350" t="s">
        <v>140</v>
      </c>
    </row>
    <row r="118" spans="1:14" s="1991" customFormat="1" ht="13.5" hidden="1" customHeight="1" x14ac:dyDescent="0.2">
      <c r="A118" s="3472"/>
      <c r="B118" s="334" t="s">
        <v>2</v>
      </c>
      <c r="C118" s="1832"/>
      <c r="D118" s="1822">
        <f>+D119</f>
        <v>0</v>
      </c>
      <c r="E118" s="1824">
        <f t="shared" ref="E118:H119" si="79">+E119</f>
        <v>0</v>
      </c>
      <c r="F118" s="1824">
        <f t="shared" si="79"/>
        <v>0</v>
      </c>
      <c r="G118" s="1861">
        <f t="shared" si="79"/>
        <v>0</v>
      </c>
      <c r="H118" s="1887">
        <f t="shared" si="79"/>
        <v>0</v>
      </c>
      <c r="I118" s="1822">
        <f>+K118+E118+F118</f>
        <v>0</v>
      </c>
      <c r="J118" s="1888" t="e">
        <f>I118/D118*100</f>
        <v>#DIV/0!</v>
      </c>
      <c r="K118" s="1824">
        <f>+K119</f>
        <v>0</v>
      </c>
      <c r="L118" s="1887">
        <v>0</v>
      </c>
      <c r="M118" s="1821">
        <f t="shared" si="55"/>
        <v>0</v>
      </c>
      <c r="N118" s="3084"/>
    </row>
    <row r="119" spans="1:14" s="1991" customFormat="1" ht="13.5" hidden="1" customHeight="1" x14ac:dyDescent="0.2">
      <c r="A119" s="3472"/>
      <c r="B119" s="775" t="s">
        <v>17</v>
      </c>
      <c r="C119" s="3488" t="s">
        <v>141</v>
      </c>
      <c r="D119" s="1844">
        <f>+D120</f>
        <v>0</v>
      </c>
      <c r="E119" s="1845">
        <f t="shared" si="79"/>
        <v>0</v>
      </c>
      <c r="F119" s="1845">
        <f t="shared" si="79"/>
        <v>0</v>
      </c>
      <c r="G119" s="1872">
        <f t="shared" si="79"/>
        <v>0</v>
      </c>
      <c r="H119" s="1894">
        <f t="shared" si="79"/>
        <v>0</v>
      </c>
      <c r="I119" s="1844">
        <f>+K119+E119+F119</f>
        <v>0</v>
      </c>
      <c r="J119" s="1853" t="e">
        <f>I119/D119*100</f>
        <v>#DIV/0!</v>
      </c>
      <c r="K119" s="1845">
        <f>+K120</f>
        <v>0</v>
      </c>
      <c r="L119" s="1894">
        <v>0</v>
      </c>
      <c r="M119" s="1846">
        <f t="shared" si="55"/>
        <v>0</v>
      </c>
      <c r="N119" s="3084"/>
    </row>
    <row r="120" spans="1:14" s="1991" customFormat="1" ht="13.5" hidden="1" thickBot="1" x14ac:dyDescent="0.25">
      <c r="A120" s="3473"/>
      <c r="B120" s="1995" t="s">
        <v>4</v>
      </c>
      <c r="C120" s="3172"/>
      <c r="D120" s="1855">
        <f>+E120+F120+G120+H120</f>
        <v>0</v>
      </c>
      <c r="E120" s="1945"/>
      <c r="F120" s="1945"/>
      <c r="G120" s="1999">
        <v>0</v>
      </c>
      <c r="H120" s="1998">
        <v>0</v>
      </c>
      <c r="I120" s="1855">
        <f>+K120+E120+F120</f>
        <v>0</v>
      </c>
      <c r="J120" s="1895" t="e">
        <f>I120/D120*100</f>
        <v>#DIV/0!</v>
      </c>
      <c r="K120" s="1945">
        <v>0</v>
      </c>
      <c r="L120" s="1896">
        <v>0</v>
      </c>
      <c r="M120" s="2002">
        <f t="shared" si="55"/>
        <v>0</v>
      </c>
      <c r="N120" s="3089"/>
    </row>
    <row r="121" spans="1:14" s="1991" customFormat="1" ht="37.5" hidden="1" customHeight="1" x14ac:dyDescent="0.2">
      <c r="A121" s="3474" t="s">
        <v>35</v>
      </c>
      <c r="B121" s="1826" t="s">
        <v>366</v>
      </c>
      <c r="C121" s="1827" t="s">
        <v>168</v>
      </c>
      <c r="D121" s="1828"/>
      <c r="E121" s="1829"/>
      <c r="F121" s="1829"/>
      <c r="G121" s="1829"/>
      <c r="H121" s="2003"/>
      <c r="I121" s="1828"/>
      <c r="J121" s="1884"/>
      <c r="K121" s="1885"/>
      <c r="L121" s="2001"/>
      <c r="M121" s="1830"/>
      <c r="N121" s="3350" t="s">
        <v>140</v>
      </c>
    </row>
    <row r="122" spans="1:14" s="1991" customFormat="1" ht="13.5" hidden="1" customHeight="1" thickBot="1" x14ac:dyDescent="0.25">
      <c r="A122" s="3473"/>
      <c r="B122" s="334" t="s">
        <v>2</v>
      </c>
      <c r="C122" s="1832"/>
      <c r="D122" s="1833">
        <f>+D123</f>
        <v>0</v>
      </c>
      <c r="E122" s="1835">
        <f t="shared" ref="E122:H123" si="80">+E123</f>
        <v>0</v>
      </c>
      <c r="F122" s="1835">
        <f t="shared" si="80"/>
        <v>0</v>
      </c>
      <c r="G122" s="1993">
        <f t="shared" si="80"/>
        <v>0</v>
      </c>
      <c r="H122" s="1993">
        <f t="shared" si="80"/>
        <v>0</v>
      </c>
      <c r="I122" s="1833">
        <f>+K122+E122+F122</f>
        <v>0</v>
      </c>
      <c r="J122" s="1888" t="e">
        <f>I122/D122*100</f>
        <v>#DIV/0!</v>
      </c>
      <c r="K122" s="1887">
        <f>+K123</f>
        <v>0</v>
      </c>
      <c r="L122" s="1887">
        <v>0</v>
      </c>
      <c r="M122" s="1993">
        <f t="shared" si="55"/>
        <v>0</v>
      </c>
      <c r="N122" s="3089"/>
    </row>
    <row r="123" spans="1:14" s="1991" customFormat="1" ht="14.25" hidden="1" customHeight="1" x14ac:dyDescent="0.2">
      <c r="A123" s="3474"/>
      <c r="B123" s="775" t="s">
        <v>17</v>
      </c>
      <c r="C123" s="3488" t="s">
        <v>141</v>
      </c>
      <c r="D123" s="1847">
        <f>+D124</f>
        <v>0</v>
      </c>
      <c r="E123" s="1849">
        <f t="shared" si="80"/>
        <v>0</v>
      </c>
      <c r="F123" s="1849">
        <f t="shared" si="80"/>
        <v>0</v>
      </c>
      <c r="G123" s="1994">
        <f t="shared" si="80"/>
        <v>0</v>
      </c>
      <c r="H123" s="1994">
        <f t="shared" si="80"/>
        <v>0</v>
      </c>
      <c r="I123" s="1847">
        <f>+K123+E123+F123</f>
        <v>0</v>
      </c>
      <c r="J123" s="1853" t="e">
        <f>I123/D123*100</f>
        <v>#DIV/0!</v>
      </c>
      <c r="K123" s="1894">
        <f>+K124</f>
        <v>0</v>
      </c>
      <c r="L123" s="1894">
        <v>0</v>
      </c>
      <c r="M123" s="1994">
        <f t="shared" si="55"/>
        <v>0</v>
      </c>
      <c r="N123" s="3302"/>
    </row>
    <row r="124" spans="1:14" s="1991" customFormat="1" ht="13.5" hidden="1" customHeight="1" thickBot="1" x14ac:dyDescent="0.25">
      <c r="A124" s="3472"/>
      <c r="B124" s="1995" t="s">
        <v>4</v>
      </c>
      <c r="C124" s="3172"/>
      <c r="D124" s="1881">
        <f>+E124+F124+G124+H124</f>
        <v>0</v>
      </c>
      <c r="E124" s="1996"/>
      <c r="F124" s="2004"/>
      <c r="G124" s="1998">
        <v>0</v>
      </c>
      <c r="H124" s="1998">
        <v>0</v>
      </c>
      <c r="I124" s="1881">
        <f>+K124+E124+F124</f>
        <v>0</v>
      </c>
      <c r="J124" s="1895" t="e">
        <f>I124/D124*100</f>
        <v>#DIV/0!</v>
      </c>
      <c r="K124" s="1896">
        <v>0</v>
      </c>
      <c r="L124" s="1896">
        <v>0</v>
      </c>
      <c r="M124" s="1998">
        <f t="shared" si="55"/>
        <v>0</v>
      </c>
      <c r="N124" s="3087"/>
    </row>
    <row r="125" spans="1:14" s="1991" customFormat="1" ht="42.75" customHeight="1" x14ac:dyDescent="0.2">
      <c r="A125" s="3472" t="s">
        <v>32</v>
      </c>
      <c r="B125" s="1984" t="s">
        <v>275</v>
      </c>
      <c r="C125" s="1536" t="s">
        <v>168</v>
      </c>
      <c r="D125" s="1985"/>
      <c r="E125" s="1987"/>
      <c r="F125" s="1987"/>
      <c r="G125" s="1987"/>
      <c r="H125" s="2005"/>
      <c r="I125" s="2006"/>
      <c r="J125" s="2007"/>
      <c r="K125" s="2007"/>
      <c r="L125" s="2007"/>
      <c r="M125" s="1986"/>
      <c r="N125" s="3395" t="s">
        <v>140</v>
      </c>
    </row>
    <row r="126" spans="1:14" s="1991" customFormat="1" ht="13.5" customHeight="1" x14ac:dyDescent="0.2">
      <c r="A126" s="3472"/>
      <c r="B126" s="334" t="s">
        <v>2</v>
      </c>
      <c r="C126" s="1832"/>
      <c r="D126" s="1833">
        <f>+D127</f>
        <v>2117080</v>
      </c>
      <c r="E126" s="1835">
        <f t="shared" ref="E126:H127" si="81">+E127</f>
        <v>190882</v>
      </c>
      <c r="F126" s="1835">
        <f t="shared" si="81"/>
        <v>1891198</v>
      </c>
      <c r="G126" s="1835">
        <f t="shared" si="81"/>
        <v>3</v>
      </c>
      <c r="H126" s="1926">
        <f t="shared" si="81"/>
        <v>34997</v>
      </c>
      <c r="I126" s="1833">
        <f>+K126+E126+F126</f>
        <v>2082082</v>
      </c>
      <c r="J126" s="1834">
        <f>I126/D126*100</f>
        <v>98.346873996258992</v>
      </c>
      <c r="K126" s="1926">
        <f>+K127</f>
        <v>2</v>
      </c>
      <c r="L126" s="1915">
        <f>K126/G126*100</f>
        <v>66.666666666666657</v>
      </c>
      <c r="M126" s="1926">
        <f>+K126-G126</f>
        <v>-1</v>
      </c>
      <c r="N126" s="3087"/>
    </row>
    <row r="127" spans="1:14" s="1991" customFormat="1" ht="15" customHeight="1" x14ac:dyDescent="0.2">
      <c r="A127" s="3472"/>
      <c r="B127" s="775" t="s">
        <v>17</v>
      </c>
      <c r="C127" s="3488" t="s">
        <v>141</v>
      </c>
      <c r="D127" s="1847">
        <f>+D128</f>
        <v>2117080</v>
      </c>
      <c r="E127" s="1849">
        <f t="shared" si="81"/>
        <v>190882</v>
      </c>
      <c r="F127" s="1849">
        <f t="shared" si="81"/>
        <v>1891198</v>
      </c>
      <c r="G127" s="1849">
        <f t="shared" si="81"/>
        <v>3</v>
      </c>
      <c r="H127" s="1927">
        <f t="shared" si="81"/>
        <v>34997</v>
      </c>
      <c r="I127" s="1847">
        <f>+K127+E127+F127</f>
        <v>2082082</v>
      </c>
      <c r="J127" s="1848">
        <f>I127/D127*100</f>
        <v>98.346873996258992</v>
      </c>
      <c r="K127" s="1927">
        <f>+K128</f>
        <v>2</v>
      </c>
      <c r="L127" s="2008">
        <f>K127/G127*100</f>
        <v>66.666666666666657</v>
      </c>
      <c r="M127" s="1927">
        <f>+K127-G127</f>
        <v>-1</v>
      </c>
      <c r="N127" s="3087"/>
    </row>
    <row r="128" spans="1:14" s="1991" customFormat="1" ht="13.5" customHeight="1" thickBot="1" x14ac:dyDescent="0.25">
      <c r="A128" s="3473"/>
      <c r="B128" s="1995" t="s">
        <v>4</v>
      </c>
      <c r="C128" s="3172"/>
      <c r="D128" s="1881">
        <f>+E128+F128+G128+H128</f>
        <v>2117080</v>
      </c>
      <c r="E128" s="1996">
        <f>153720+2607+34555</f>
        <v>190882</v>
      </c>
      <c r="F128" s="1996">
        <v>1891198</v>
      </c>
      <c r="G128" s="2004">
        <v>3</v>
      </c>
      <c r="H128" s="2004">
        <f>24347+2500+8150</f>
        <v>34997</v>
      </c>
      <c r="I128" s="1881">
        <f>+K128+E128+F128</f>
        <v>2082082</v>
      </c>
      <c r="J128" s="1882">
        <f>I128/D128*100</f>
        <v>98.346873996258992</v>
      </c>
      <c r="K128" s="2004">
        <v>2</v>
      </c>
      <c r="L128" s="2009">
        <f>K128/G128*100</f>
        <v>66.666666666666657</v>
      </c>
      <c r="M128" s="2004">
        <f>+K128-G128</f>
        <v>-1</v>
      </c>
      <c r="N128" s="3090"/>
    </row>
    <row r="129" spans="1:14" s="1991" customFormat="1" ht="40.5" hidden="1" customHeight="1" x14ac:dyDescent="0.25">
      <c r="A129" s="3479" t="s">
        <v>41</v>
      </c>
      <c r="B129" s="1984" t="s">
        <v>145</v>
      </c>
      <c r="C129" s="1536" t="s">
        <v>168</v>
      </c>
      <c r="D129" s="1985"/>
      <c r="E129" s="1987"/>
      <c r="F129" s="1987"/>
      <c r="G129" s="1987"/>
      <c r="H129" s="1986"/>
      <c r="I129" s="1985"/>
      <c r="J129" s="1988"/>
      <c r="K129" s="1989"/>
      <c r="L129" s="1990"/>
      <c r="M129" s="1986"/>
      <c r="N129" s="3480" t="s">
        <v>140</v>
      </c>
    </row>
    <row r="130" spans="1:14" s="1991" customFormat="1" ht="13.5" hidden="1" customHeight="1" x14ac:dyDescent="0.25">
      <c r="A130" s="3472"/>
      <c r="B130" s="334" t="s">
        <v>2</v>
      </c>
      <c r="C130" s="1832"/>
      <c r="D130" s="1822">
        <f t="shared" ref="D130:K130" si="82">D131</f>
        <v>0</v>
      </c>
      <c r="E130" s="2010">
        <f t="shared" si="82"/>
        <v>0</v>
      </c>
      <c r="F130" s="2010">
        <f t="shared" si="82"/>
        <v>0</v>
      </c>
      <c r="G130" s="1889">
        <f t="shared" si="82"/>
        <v>0</v>
      </c>
      <c r="H130" s="1898">
        <f t="shared" si="82"/>
        <v>0</v>
      </c>
      <c r="I130" s="1822">
        <f>+K130+E130+F130</f>
        <v>0</v>
      </c>
      <c r="J130" s="1888" t="e">
        <f>I130/D130*100</f>
        <v>#DIV/0!</v>
      </c>
      <c r="K130" s="1889">
        <f t="shared" si="82"/>
        <v>0</v>
      </c>
      <c r="L130" s="1887">
        <v>0</v>
      </c>
      <c r="M130" s="1887">
        <f t="shared" si="55"/>
        <v>0</v>
      </c>
      <c r="N130" s="3171"/>
    </row>
    <row r="131" spans="1:14" s="2011" customFormat="1" ht="13.5" hidden="1" customHeight="1" x14ac:dyDescent="0.25">
      <c r="A131" s="3472"/>
      <c r="B131" s="775" t="s">
        <v>17</v>
      </c>
      <c r="C131" s="3478" t="s">
        <v>141</v>
      </c>
      <c r="D131" s="1836">
        <f>+D132</f>
        <v>0</v>
      </c>
      <c r="E131" s="1837">
        <f>+E132</f>
        <v>0</v>
      </c>
      <c r="F131" s="1837">
        <f>+F132</f>
        <v>0</v>
      </c>
      <c r="G131" s="1864">
        <f>+G132</f>
        <v>0</v>
      </c>
      <c r="H131" s="1890">
        <v>0</v>
      </c>
      <c r="I131" s="1836">
        <f>+K131+E131+F131</f>
        <v>0</v>
      </c>
      <c r="J131" s="1851" t="e">
        <f>I131/D131*100</f>
        <v>#DIV/0!</v>
      </c>
      <c r="K131" s="1864">
        <f>+K132</f>
        <v>0</v>
      </c>
      <c r="L131" s="1890">
        <v>0</v>
      </c>
      <c r="M131" s="1890">
        <f t="shared" si="55"/>
        <v>0</v>
      </c>
      <c r="N131" s="3171"/>
    </row>
    <row r="132" spans="1:14" s="1991" customFormat="1" ht="13.5" hidden="1" customHeight="1" thickBot="1" x14ac:dyDescent="0.25">
      <c r="A132" s="3472"/>
      <c r="B132" s="2012" t="s">
        <v>4</v>
      </c>
      <c r="C132" s="3481"/>
      <c r="D132" s="2013">
        <f>+E132+F132+G132+H132</f>
        <v>0</v>
      </c>
      <c r="E132" s="2014"/>
      <c r="F132" s="2014"/>
      <c r="G132" s="2015">
        <v>0</v>
      </c>
      <c r="H132" s="2016">
        <v>0</v>
      </c>
      <c r="I132" s="2013">
        <f>+K132+E132+F132</f>
        <v>0</v>
      </c>
      <c r="J132" s="2017" t="e">
        <f>I132/D132*100</f>
        <v>#DIV/0!</v>
      </c>
      <c r="K132" s="2015">
        <v>0</v>
      </c>
      <c r="L132" s="2018">
        <v>0</v>
      </c>
      <c r="M132" s="2016">
        <f t="shared" si="55"/>
        <v>0</v>
      </c>
      <c r="N132" s="3171"/>
    </row>
    <row r="133" spans="1:14" s="1991" customFormat="1" ht="41.25" customHeight="1" x14ac:dyDescent="0.2">
      <c r="A133" s="3472" t="s">
        <v>35</v>
      </c>
      <c r="B133" s="1826" t="s">
        <v>272</v>
      </c>
      <c r="C133" s="1827" t="s">
        <v>173</v>
      </c>
      <c r="D133" s="1828"/>
      <c r="E133" s="1829"/>
      <c r="F133" s="1829"/>
      <c r="G133" s="1829"/>
      <c r="H133" s="1830"/>
      <c r="I133" s="1828"/>
      <c r="J133" s="1831"/>
      <c r="K133" s="1829"/>
      <c r="L133" s="1913"/>
      <c r="M133" s="1830"/>
      <c r="N133" s="3475" t="s">
        <v>349</v>
      </c>
    </row>
    <row r="134" spans="1:14" s="1991" customFormat="1" ht="15" customHeight="1" thickBot="1" x14ac:dyDescent="0.25">
      <c r="A134" s="3473"/>
      <c r="B134" s="334" t="s">
        <v>2</v>
      </c>
      <c r="C134" s="1832"/>
      <c r="D134" s="1833">
        <f>D135</f>
        <v>21903243</v>
      </c>
      <c r="E134" s="2019">
        <f t="shared" ref="E134:K134" si="83">E135</f>
        <v>0</v>
      </c>
      <c r="F134" s="2019">
        <f t="shared" si="83"/>
        <v>4992196</v>
      </c>
      <c r="G134" s="2019">
        <f t="shared" si="83"/>
        <v>5411141</v>
      </c>
      <c r="H134" s="1914">
        <f t="shared" si="83"/>
        <v>11499906</v>
      </c>
      <c r="I134" s="1833">
        <f>+K134+E134+F134</f>
        <v>9891985</v>
      </c>
      <c r="J134" s="1834">
        <f>I134/D134*100</f>
        <v>45.162193561930529</v>
      </c>
      <c r="K134" s="2019">
        <f t="shared" si="83"/>
        <v>4899789</v>
      </c>
      <c r="L134" s="1915">
        <f>K134/G134*100</f>
        <v>90.550015237082164</v>
      </c>
      <c r="M134" s="1926">
        <f>+K134-G134</f>
        <v>-511352</v>
      </c>
      <c r="N134" s="3476"/>
    </row>
    <row r="135" spans="1:14" s="2011" customFormat="1" ht="15" customHeight="1" x14ac:dyDescent="0.2">
      <c r="A135" s="3474"/>
      <c r="B135" s="775" t="s">
        <v>17</v>
      </c>
      <c r="C135" s="3478" t="s">
        <v>136</v>
      </c>
      <c r="D135" s="1520">
        <f t="shared" ref="D135:H135" si="84">+D136</f>
        <v>21903243</v>
      </c>
      <c r="E135" s="1518">
        <f t="shared" si="84"/>
        <v>0</v>
      </c>
      <c r="F135" s="1518">
        <f t="shared" si="84"/>
        <v>4992196</v>
      </c>
      <c r="G135" s="1518">
        <f t="shared" si="84"/>
        <v>5411141</v>
      </c>
      <c r="H135" s="1948">
        <f t="shared" si="84"/>
        <v>11499906</v>
      </c>
      <c r="I135" s="1520">
        <f>+K135+E135+F135</f>
        <v>9891985</v>
      </c>
      <c r="J135" s="1839">
        <f>I135/D135*100</f>
        <v>45.162193561930529</v>
      </c>
      <c r="K135" s="1518">
        <f>+K136</f>
        <v>4899789</v>
      </c>
      <c r="L135" s="2020">
        <f>K135/G135*100</f>
        <v>90.550015237082164</v>
      </c>
      <c r="M135" s="1927">
        <f>+K135-G135</f>
        <v>-511352</v>
      </c>
      <c r="N135" s="3477"/>
    </row>
    <row r="136" spans="1:14" s="1991" customFormat="1" ht="18.75" customHeight="1" thickBot="1" x14ac:dyDescent="0.25">
      <c r="A136" s="3473"/>
      <c r="B136" s="2021" t="s">
        <v>4</v>
      </c>
      <c r="C136" s="3341"/>
      <c r="D136" s="2022">
        <f>+E136+F136+G136+H136</f>
        <v>21903243</v>
      </c>
      <c r="E136" s="2023">
        <v>0</v>
      </c>
      <c r="F136" s="2023">
        <v>4992196</v>
      </c>
      <c r="G136" s="2023">
        <v>5411141</v>
      </c>
      <c r="H136" s="2024">
        <f>6403906+4666000+430000</f>
        <v>11499906</v>
      </c>
      <c r="I136" s="2022">
        <f>+K136+E136+F136</f>
        <v>9891985</v>
      </c>
      <c r="J136" s="1882">
        <f>I136/D136*100</f>
        <v>45.162193561930529</v>
      </c>
      <c r="K136" s="2023">
        <v>4899789</v>
      </c>
      <c r="L136" s="2009">
        <f>K136/G136*100</f>
        <v>90.550015237082164</v>
      </c>
      <c r="M136" s="2004">
        <f>+K136-G136</f>
        <v>-511352</v>
      </c>
      <c r="N136" s="3476"/>
    </row>
    <row r="137" spans="1:14" s="1670" customFormat="1" x14ac:dyDescent="0.2">
      <c r="A137" s="2025"/>
      <c r="B137" s="2026"/>
      <c r="C137" s="2027"/>
      <c r="D137" s="2026"/>
      <c r="E137" s="2028"/>
      <c r="F137" s="2026"/>
      <c r="G137" s="2026"/>
      <c r="H137" s="2026"/>
      <c r="I137" s="2026"/>
      <c r="J137" s="2026"/>
      <c r="K137" s="2026"/>
      <c r="L137" s="2026"/>
      <c r="M137" s="2026"/>
      <c r="N137" s="2029"/>
    </row>
    <row r="138" spans="1:14" s="1670" customFormat="1" x14ac:dyDescent="0.2">
      <c r="A138" s="2030"/>
      <c r="B138" s="2026"/>
      <c r="C138" s="2027"/>
      <c r="D138" s="2026"/>
      <c r="E138" s="2031"/>
      <c r="F138" s="2026"/>
      <c r="G138" s="2026"/>
      <c r="H138" s="2026"/>
      <c r="I138" s="2026"/>
      <c r="J138" s="2026"/>
      <c r="K138" s="2026"/>
      <c r="L138" s="2026"/>
      <c r="M138" s="2026"/>
      <c r="N138" s="1805"/>
    </row>
    <row r="139" spans="1:14" s="1670" customFormat="1" x14ac:dyDescent="0.2">
      <c r="A139" s="2030"/>
      <c r="B139" s="2026"/>
      <c r="C139" s="2027"/>
      <c r="D139" s="2026"/>
      <c r="E139" s="2031"/>
      <c r="F139" s="2026"/>
      <c r="G139" s="2032"/>
      <c r="H139" s="2032"/>
      <c r="I139" s="2026"/>
      <c r="J139" s="2026"/>
      <c r="K139" s="2026"/>
      <c r="L139" s="2026"/>
      <c r="M139" s="2026"/>
      <c r="N139" s="1805"/>
    </row>
    <row r="140" spans="1:14" s="1670" customFormat="1" x14ac:dyDescent="0.2">
      <c r="A140" s="2030"/>
      <c r="B140" s="2026"/>
      <c r="C140" s="2027"/>
      <c r="D140" s="2032"/>
      <c r="E140" s="2033"/>
      <c r="F140" s="2026"/>
      <c r="G140" s="2026"/>
      <c r="H140" s="2026"/>
      <c r="I140" s="2026"/>
      <c r="J140" s="2026"/>
      <c r="K140" s="2026"/>
      <c r="L140" s="2026"/>
      <c r="M140" s="2026"/>
      <c r="N140" s="1805"/>
    </row>
    <row r="141" spans="1:14" s="1670" customFormat="1" x14ac:dyDescent="0.2">
      <c r="A141" s="2030"/>
      <c r="B141" s="2026"/>
      <c r="C141" s="2027"/>
      <c r="D141" s="2026"/>
      <c r="E141" s="2028"/>
      <c r="F141" s="2026"/>
      <c r="G141" s="2026"/>
      <c r="H141" s="2026"/>
      <c r="I141" s="2032"/>
      <c r="J141" s="2032"/>
      <c r="K141" s="2032"/>
      <c r="L141" s="2032"/>
      <c r="M141" s="2032"/>
      <c r="N141" s="1805"/>
    </row>
    <row r="142" spans="1:14" s="1670" customFormat="1" x14ac:dyDescent="0.2">
      <c r="A142" s="2030"/>
      <c r="B142" s="2026"/>
      <c r="C142" s="2027"/>
      <c r="D142" s="2026"/>
      <c r="E142" s="2031"/>
      <c r="F142" s="2032"/>
      <c r="G142" s="2026"/>
      <c r="H142" s="2026"/>
      <c r="I142" s="2032"/>
      <c r="J142" s="2032"/>
      <c r="K142" s="2032"/>
      <c r="L142" s="2032"/>
      <c r="M142" s="2032"/>
      <c r="N142" s="1805"/>
    </row>
    <row r="143" spans="1:14" s="1670" customFormat="1" ht="13.5" thickBot="1" x14ac:dyDescent="0.25">
      <c r="A143" s="2034"/>
      <c r="B143" s="2035"/>
      <c r="C143" s="2036"/>
      <c r="D143" s="2035"/>
      <c r="E143" s="2037"/>
      <c r="F143" s="2035"/>
      <c r="G143" s="2035"/>
      <c r="H143" s="2035"/>
      <c r="I143" s="2035"/>
      <c r="J143" s="2035"/>
      <c r="K143" s="2035"/>
      <c r="L143" s="2035"/>
      <c r="M143" s="2035"/>
      <c r="N143" s="2038"/>
    </row>
    <row r="144" spans="1:14" s="1670" customFormat="1" x14ac:dyDescent="0.2">
      <c r="A144" s="2039"/>
      <c r="B144" s="2040"/>
      <c r="C144" s="2041"/>
      <c r="D144" s="2040"/>
      <c r="E144" s="2042"/>
      <c r="F144" s="2040"/>
      <c r="G144" s="2040"/>
      <c r="H144" s="2040"/>
      <c r="I144" s="2040"/>
      <c r="J144" s="2040"/>
      <c r="K144" s="2040"/>
      <c r="L144" s="2040"/>
      <c r="M144" s="2040"/>
      <c r="N144" s="2043"/>
    </row>
    <row r="145" spans="1:14" s="1670" customFormat="1" x14ac:dyDescent="0.2">
      <c r="A145" s="2030"/>
      <c r="B145" s="2026"/>
      <c r="C145" s="2027"/>
      <c r="D145" s="2026"/>
      <c r="E145" s="2028"/>
      <c r="F145" s="2026"/>
      <c r="G145" s="2026"/>
      <c r="H145" s="2026"/>
      <c r="I145" s="2026"/>
      <c r="J145" s="2026"/>
      <c r="K145" s="2026"/>
      <c r="L145" s="2026"/>
      <c r="M145" s="2026"/>
      <c r="N145" s="1805"/>
    </row>
    <row r="146" spans="1:14" s="1670" customFormat="1" ht="13.5" thickBot="1" x14ac:dyDescent="0.25">
      <c r="A146" s="2034"/>
      <c r="B146" s="2035"/>
      <c r="C146" s="2036"/>
      <c r="D146" s="2035"/>
      <c r="E146" s="2037"/>
      <c r="F146" s="2035"/>
      <c r="G146" s="2035"/>
      <c r="H146" s="2035"/>
      <c r="I146" s="2035"/>
      <c r="J146" s="2035"/>
      <c r="K146" s="2035"/>
      <c r="L146" s="2035"/>
      <c r="M146" s="2035"/>
      <c r="N146" s="2038"/>
    </row>
    <row r="147" spans="1:14" s="1670" customFormat="1" x14ac:dyDescent="0.2">
      <c r="A147" s="2039"/>
      <c r="B147" s="2040"/>
      <c r="C147" s="2041"/>
      <c r="D147" s="2040"/>
      <c r="E147" s="2044"/>
      <c r="F147" s="2040"/>
      <c r="G147" s="2040"/>
      <c r="H147" s="2040"/>
      <c r="I147" s="2040"/>
      <c r="J147" s="2040"/>
      <c r="K147" s="2040"/>
      <c r="L147" s="2040"/>
      <c r="M147" s="2040"/>
      <c r="N147" s="2043"/>
    </row>
    <row r="148" spans="1:14" s="1670" customFormat="1" x14ac:dyDescent="0.2">
      <c r="A148" s="2030"/>
      <c r="B148" s="2026"/>
      <c r="C148" s="2027"/>
      <c r="D148" s="2026"/>
      <c r="E148" s="2033"/>
      <c r="F148" s="2026"/>
      <c r="G148" s="2026"/>
      <c r="H148" s="2026"/>
      <c r="I148" s="2026"/>
      <c r="J148" s="2026"/>
      <c r="K148" s="2026"/>
      <c r="L148" s="2026"/>
      <c r="M148" s="2026"/>
      <c r="N148" s="1805"/>
    </row>
    <row r="149" spans="1:14" s="1670" customFormat="1" x14ac:dyDescent="0.2">
      <c r="A149" s="2030"/>
      <c r="B149" s="2026"/>
      <c r="C149" s="2027"/>
      <c r="D149" s="2026"/>
      <c r="E149" s="2028"/>
      <c r="F149" s="2026"/>
      <c r="G149" s="2026"/>
      <c r="H149" s="2026"/>
      <c r="I149" s="2026"/>
      <c r="J149" s="2026"/>
      <c r="K149" s="2026"/>
      <c r="L149" s="2026"/>
      <c r="M149" s="2026"/>
      <c r="N149" s="1805"/>
    </row>
    <row r="150" spans="1:14" s="1670" customFormat="1" x14ac:dyDescent="0.2">
      <c r="A150" s="2030"/>
      <c r="B150" s="2026"/>
      <c r="C150" s="2027"/>
      <c r="D150" s="2026"/>
      <c r="E150" s="2031"/>
      <c r="F150" s="2026"/>
      <c r="G150" s="2026"/>
      <c r="H150" s="2026"/>
      <c r="I150" s="2026"/>
      <c r="J150" s="2026"/>
      <c r="K150" s="2026"/>
      <c r="L150" s="2026"/>
      <c r="M150" s="2026"/>
      <c r="N150" s="1805"/>
    </row>
    <row r="151" spans="1:14" s="1670" customFormat="1" x14ac:dyDescent="0.2">
      <c r="A151" s="2030"/>
      <c r="B151" s="2026"/>
      <c r="C151" s="2027"/>
      <c r="D151" s="2026"/>
      <c r="E151" s="2031"/>
      <c r="F151" s="2026"/>
      <c r="G151" s="2026"/>
      <c r="H151" s="2026"/>
      <c r="I151" s="2026"/>
      <c r="J151" s="2026"/>
      <c r="K151" s="2026"/>
      <c r="L151" s="2026"/>
      <c r="M151" s="2026"/>
      <c r="N151" s="1805"/>
    </row>
    <row r="152" spans="1:14" s="1670" customFormat="1" x14ac:dyDescent="0.2">
      <c r="A152" s="2030"/>
      <c r="B152" s="2026"/>
      <c r="C152" s="2027"/>
      <c r="D152" s="2026"/>
      <c r="E152" s="2031"/>
      <c r="F152" s="2026"/>
      <c r="G152" s="2026"/>
      <c r="H152" s="2026"/>
      <c r="I152" s="2026"/>
      <c r="J152" s="2026"/>
      <c r="K152" s="2026"/>
      <c r="L152" s="2026"/>
      <c r="M152" s="2026"/>
      <c r="N152" s="1805"/>
    </row>
    <row r="153" spans="1:14" s="1670" customFormat="1" x14ac:dyDescent="0.2">
      <c r="A153" s="2030"/>
      <c r="B153" s="2026"/>
      <c r="C153" s="2027"/>
      <c r="D153" s="2026"/>
      <c r="E153" s="2045"/>
      <c r="F153" s="2026"/>
      <c r="G153" s="2026"/>
      <c r="H153" s="2026"/>
      <c r="I153" s="2026"/>
      <c r="J153" s="2026"/>
      <c r="K153" s="2026"/>
      <c r="L153" s="2026"/>
      <c r="M153" s="2026"/>
      <c r="N153" s="1805"/>
    </row>
    <row r="154" spans="1:14" s="1670" customFormat="1" x14ac:dyDescent="0.2">
      <c r="A154" s="2030"/>
      <c r="B154" s="2026"/>
      <c r="C154" s="2027"/>
      <c r="D154" s="2026"/>
      <c r="E154" s="2031"/>
      <c r="F154" s="2026"/>
      <c r="G154" s="2026"/>
      <c r="H154" s="2026"/>
      <c r="I154" s="2026"/>
      <c r="J154" s="2026"/>
      <c r="K154" s="2026"/>
      <c r="L154" s="2026"/>
      <c r="M154" s="2026"/>
      <c r="N154" s="1805"/>
    </row>
    <row r="155" spans="1:14" s="1670" customFormat="1" ht="13.5" thickBot="1" x14ac:dyDescent="0.25">
      <c r="A155" s="2034"/>
      <c r="B155" s="2035"/>
      <c r="C155" s="2036"/>
      <c r="D155" s="2035"/>
      <c r="E155" s="2046"/>
      <c r="F155" s="2035"/>
      <c r="G155" s="2035"/>
      <c r="H155" s="2035"/>
      <c r="I155" s="2035"/>
      <c r="J155" s="2035"/>
      <c r="K155" s="2035"/>
      <c r="L155" s="2035"/>
      <c r="M155" s="2035"/>
      <c r="N155" s="2038"/>
    </row>
    <row r="156" spans="1:14" s="1670" customFormat="1" x14ac:dyDescent="0.2">
      <c r="A156" s="2030"/>
      <c r="B156" s="2026"/>
      <c r="C156" s="2027"/>
      <c r="D156" s="2026"/>
      <c r="E156" s="2031"/>
      <c r="F156" s="2026"/>
      <c r="G156" s="2026"/>
      <c r="H156" s="2026"/>
      <c r="I156" s="2026"/>
      <c r="J156" s="2026"/>
      <c r="K156" s="2026"/>
      <c r="L156" s="2026"/>
      <c r="M156" s="2026"/>
      <c r="N156" s="1805"/>
    </row>
    <row r="157" spans="1:14" s="1670" customFormat="1" x14ac:dyDescent="0.2">
      <c r="A157" s="2030"/>
      <c r="B157" s="2026"/>
      <c r="C157" s="2027"/>
      <c r="D157" s="2026"/>
      <c r="E157" s="2047"/>
      <c r="F157" s="2026"/>
      <c r="G157" s="2026"/>
      <c r="H157" s="2026"/>
      <c r="I157" s="2026"/>
      <c r="J157" s="2026"/>
      <c r="K157" s="2026"/>
      <c r="L157" s="2026"/>
      <c r="M157" s="2026"/>
      <c r="N157" s="1805"/>
    </row>
    <row r="158" spans="1:14" s="1670" customFormat="1" ht="13.5" thickBot="1" x14ac:dyDescent="0.25">
      <c r="A158" s="2034"/>
      <c r="B158" s="2035"/>
      <c r="C158" s="2036"/>
      <c r="D158" s="2035"/>
      <c r="E158" s="2037"/>
      <c r="F158" s="2035"/>
      <c r="G158" s="2035"/>
      <c r="H158" s="2035"/>
      <c r="I158" s="2035"/>
      <c r="J158" s="2035"/>
      <c r="K158" s="2035"/>
      <c r="L158" s="2035"/>
      <c r="M158" s="2035"/>
      <c r="N158" s="2038"/>
    </row>
    <row r="159" spans="1:14" s="1670" customFormat="1" x14ac:dyDescent="0.2">
      <c r="A159" s="2039"/>
      <c r="B159" s="2040"/>
      <c r="C159" s="2041"/>
      <c r="D159" s="2040"/>
      <c r="E159" s="2048"/>
      <c r="F159" s="2040"/>
      <c r="G159" s="2040"/>
      <c r="H159" s="2040"/>
      <c r="I159" s="2040"/>
      <c r="J159" s="2040"/>
      <c r="K159" s="2040"/>
      <c r="L159" s="2040"/>
      <c r="M159" s="2040"/>
      <c r="N159" s="2043"/>
    </row>
    <row r="160" spans="1:14" s="1670" customFormat="1" x14ac:dyDescent="0.2">
      <c r="A160" s="2030"/>
      <c r="B160" s="2026"/>
      <c r="C160" s="2027"/>
      <c r="D160" s="2026"/>
      <c r="E160" s="2031"/>
      <c r="F160" s="2026"/>
      <c r="G160" s="2026"/>
      <c r="H160" s="2026"/>
      <c r="I160" s="2026"/>
      <c r="J160" s="2026"/>
      <c r="K160" s="2026"/>
      <c r="L160" s="2026"/>
      <c r="M160" s="2026"/>
      <c r="N160" s="1805"/>
    </row>
    <row r="161" spans="1:14" s="1670" customFormat="1" x14ac:dyDescent="0.2">
      <c r="A161" s="2030"/>
      <c r="B161" s="2026"/>
      <c r="C161" s="2027"/>
      <c r="D161" s="2026"/>
      <c r="E161" s="2031"/>
      <c r="F161" s="2026"/>
      <c r="G161" s="2026"/>
      <c r="H161" s="2026"/>
      <c r="I161" s="2026"/>
      <c r="J161" s="2026"/>
      <c r="K161" s="2026"/>
      <c r="L161" s="2026"/>
      <c r="M161" s="2026"/>
      <c r="N161" s="1805"/>
    </row>
    <row r="162" spans="1:14" s="1670" customFormat="1" x14ac:dyDescent="0.2">
      <c r="A162" s="2030"/>
      <c r="B162" s="2026"/>
      <c r="C162" s="2027"/>
      <c r="D162" s="2026"/>
      <c r="E162" s="2031"/>
      <c r="F162" s="2026"/>
      <c r="G162" s="2026"/>
      <c r="H162" s="2026"/>
      <c r="I162" s="2026"/>
      <c r="J162" s="2026"/>
      <c r="K162" s="2026"/>
      <c r="L162" s="2026"/>
      <c r="M162" s="2026"/>
      <c r="N162" s="1805"/>
    </row>
    <row r="163" spans="1:14" s="1670" customFormat="1" x14ac:dyDescent="0.2">
      <c r="A163" s="2030"/>
      <c r="B163" s="2026"/>
      <c r="C163" s="2027"/>
      <c r="D163" s="2026"/>
      <c r="E163" s="2028"/>
      <c r="F163" s="2026"/>
      <c r="G163" s="2026"/>
      <c r="H163" s="2026"/>
      <c r="I163" s="2026"/>
      <c r="J163" s="2026"/>
      <c r="K163" s="2026"/>
      <c r="L163" s="2026"/>
      <c r="M163" s="2026"/>
      <c r="N163" s="1805"/>
    </row>
    <row r="164" spans="1:14" s="1670" customFormat="1" x14ac:dyDescent="0.2">
      <c r="A164" s="2030"/>
      <c r="B164" s="2026"/>
      <c r="C164" s="2027"/>
      <c r="D164" s="2026"/>
      <c r="E164" s="2031"/>
      <c r="F164" s="2026"/>
      <c r="G164" s="2026"/>
      <c r="H164" s="2026"/>
      <c r="I164" s="2026"/>
      <c r="J164" s="2026"/>
      <c r="K164" s="2026"/>
      <c r="L164" s="2026"/>
      <c r="M164" s="2026"/>
      <c r="N164" s="1805"/>
    </row>
    <row r="165" spans="1:14" s="1670" customFormat="1" x14ac:dyDescent="0.2">
      <c r="A165" s="2030"/>
      <c r="B165" s="2026"/>
      <c r="C165" s="2027"/>
      <c r="D165" s="2026"/>
      <c r="E165" s="2031"/>
      <c r="F165" s="2026"/>
      <c r="G165" s="2026"/>
      <c r="H165" s="2026"/>
      <c r="I165" s="2026"/>
      <c r="J165" s="2026"/>
      <c r="K165" s="2026"/>
      <c r="L165" s="2026"/>
      <c r="M165" s="2026"/>
      <c r="N165" s="1805"/>
    </row>
    <row r="166" spans="1:14" s="1670" customFormat="1" x14ac:dyDescent="0.2">
      <c r="A166" s="2030"/>
      <c r="B166" s="2026"/>
      <c r="C166" s="2027"/>
      <c r="D166" s="2026"/>
      <c r="E166" s="2031"/>
      <c r="F166" s="2026"/>
      <c r="G166" s="2026"/>
      <c r="H166" s="2026"/>
      <c r="I166" s="2026"/>
      <c r="J166" s="2026"/>
      <c r="K166" s="2026"/>
      <c r="L166" s="2026"/>
      <c r="M166" s="2026"/>
      <c r="N166" s="1805"/>
    </row>
    <row r="167" spans="1:14" s="1670" customFormat="1" x14ac:dyDescent="0.2">
      <c r="A167" s="2030"/>
      <c r="B167" s="2026"/>
      <c r="C167" s="2027"/>
      <c r="D167" s="2026"/>
      <c r="E167" s="2028"/>
      <c r="F167" s="2026"/>
      <c r="G167" s="2026"/>
      <c r="H167" s="2026"/>
      <c r="I167" s="2026"/>
      <c r="J167" s="2026"/>
      <c r="K167" s="2026"/>
      <c r="L167" s="2026"/>
      <c r="M167" s="2026"/>
      <c r="N167" s="1805"/>
    </row>
    <row r="168" spans="1:14" s="1670" customFormat="1" x14ac:dyDescent="0.2">
      <c r="A168" s="2030"/>
      <c r="B168" s="2026"/>
      <c r="C168" s="2027"/>
      <c r="D168" s="2026"/>
      <c r="E168" s="2031"/>
      <c r="F168" s="2026"/>
      <c r="G168" s="2026"/>
      <c r="H168" s="2026"/>
      <c r="I168" s="2026"/>
      <c r="J168" s="2026"/>
      <c r="K168" s="2026"/>
      <c r="L168" s="2026"/>
      <c r="M168" s="2026"/>
      <c r="N168" s="1805"/>
    </row>
    <row r="169" spans="1:14" s="1670" customFormat="1" x14ac:dyDescent="0.2">
      <c r="A169" s="2030"/>
      <c r="B169" s="2026"/>
      <c r="C169" s="2027"/>
      <c r="D169" s="2026"/>
      <c r="E169" s="2031"/>
      <c r="F169" s="2026"/>
      <c r="G169" s="2026"/>
      <c r="H169" s="2026"/>
      <c r="I169" s="2026"/>
      <c r="J169" s="2026"/>
      <c r="K169" s="2026"/>
      <c r="L169" s="2026"/>
      <c r="M169" s="2026"/>
      <c r="N169" s="1805"/>
    </row>
    <row r="170" spans="1:14" s="1670" customFormat="1" ht="13.5" thickBot="1" x14ac:dyDescent="0.25">
      <c r="A170" s="2034"/>
      <c r="B170" s="2035"/>
      <c r="C170" s="2036"/>
      <c r="D170" s="2035"/>
      <c r="E170" s="2037"/>
      <c r="F170" s="2035"/>
      <c r="G170" s="2035"/>
      <c r="H170" s="2035"/>
      <c r="I170" s="2035"/>
      <c r="J170" s="2035"/>
      <c r="K170" s="2035"/>
      <c r="L170" s="2035"/>
      <c r="M170" s="2035"/>
      <c r="N170" s="2049"/>
    </row>
    <row r="171" spans="1:14" s="1670" customFormat="1" x14ac:dyDescent="0.2">
      <c r="A171" s="2039"/>
      <c r="B171" s="2040"/>
      <c r="C171" s="2041"/>
      <c r="D171" s="2040"/>
      <c r="E171" s="2048"/>
      <c r="F171" s="2040"/>
      <c r="G171" s="2040"/>
      <c r="H171" s="2040"/>
      <c r="I171" s="2040"/>
      <c r="J171" s="2040"/>
      <c r="K171" s="2040"/>
      <c r="L171" s="2040"/>
      <c r="M171" s="2040"/>
      <c r="N171" s="2050"/>
    </row>
    <row r="172" spans="1:14" s="1670" customFormat="1" x14ac:dyDescent="0.2">
      <c r="A172" s="2030"/>
      <c r="B172" s="2026"/>
      <c r="C172" s="2027"/>
      <c r="D172" s="2026"/>
      <c r="E172" s="2031"/>
      <c r="F172" s="2026"/>
      <c r="G172" s="2026"/>
      <c r="H172" s="2026"/>
      <c r="I172" s="2026"/>
      <c r="J172" s="2026"/>
      <c r="K172" s="2026"/>
      <c r="L172" s="2026"/>
      <c r="M172" s="2026"/>
      <c r="N172" s="2029"/>
    </row>
    <row r="173" spans="1:14" s="1670" customFormat="1" x14ac:dyDescent="0.2">
      <c r="A173" s="2030"/>
      <c r="B173" s="2026"/>
      <c r="C173" s="2027"/>
      <c r="D173" s="2026"/>
      <c r="E173" s="2031"/>
      <c r="F173" s="2026"/>
      <c r="G173" s="2026"/>
      <c r="H173" s="2026"/>
      <c r="I173" s="2026"/>
      <c r="J173" s="2026"/>
      <c r="K173" s="2026"/>
      <c r="L173" s="2026"/>
      <c r="M173" s="2026"/>
      <c r="N173" s="2029"/>
    </row>
    <row r="174" spans="1:14" s="1670" customFormat="1" x14ac:dyDescent="0.2">
      <c r="A174" s="2030"/>
      <c r="B174" s="2026"/>
      <c r="C174" s="2027"/>
      <c r="D174" s="2026"/>
      <c r="E174" s="2031"/>
      <c r="F174" s="2026"/>
      <c r="G174" s="2026"/>
      <c r="H174" s="2026"/>
      <c r="I174" s="2026"/>
      <c r="J174" s="2026"/>
      <c r="K174" s="2026"/>
      <c r="L174" s="2026"/>
      <c r="M174" s="2026"/>
      <c r="N174" s="2029"/>
    </row>
    <row r="175" spans="1:14" s="1670" customFormat="1" x14ac:dyDescent="0.2">
      <c r="A175" s="2030"/>
      <c r="B175" s="2026"/>
      <c r="C175" s="2027"/>
      <c r="D175" s="2026"/>
      <c r="E175" s="2028"/>
      <c r="F175" s="2026"/>
      <c r="G175" s="2026"/>
      <c r="H175" s="2026"/>
      <c r="I175" s="2026"/>
      <c r="J175" s="2026"/>
      <c r="K175" s="2026"/>
      <c r="L175" s="2026"/>
      <c r="M175" s="2026"/>
      <c r="N175" s="2029"/>
    </row>
    <row r="176" spans="1:14" s="1670" customFormat="1" ht="13.5" thickBot="1" x14ac:dyDescent="0.25">
      <c r="A176" s="2030"/>
      <c r="B176" s="2026"/>
      <c r="C176" s="2027"/>
      <c r="D176" s="2026"/>
      <c r="E176" s="2031"/>
      <c r="F176" s="2026"/>
      <c r="G176" s="2026"/>
      <c r="H176" s="2026"/>
      <c r="I176" s="2026"/>
      <c r="J176" s="2026"/>
      <c r="K176" s="2026"/>
      <c r="L176" s="2026"/>
      <c r="M176" s="2026"/>
      <c r="N176" s="2029"/>
    </row>
    <row r="177" spans="1:14" s="1670" customFormat="1" x14ac:dyDescent="0.2">
      <c r="A177" s="2039"/>
      <c r="B177" s="2040"/>
      <c r="C177" s="2041"/>
      <c r="D177" s="2040"/>
      <c r="E177" s="2044"/>
      <c r="F177" s="2040"/>
      <c r="G177" s="2040"/>
      <c r="H177" s="2040"/>
      <c r="I177" s="2040"/>
      <c r="J177" s="2040"/>
      <c r="K177" s="2040"/>
      <c r="L177" s="2040"/>
      <c r="M177" s="2040"/>
      <c r="N177" s="2050"/>
    </row>
    <row r="178" spans="1:14" s="1670" customFormat="1" x14ac:dyDescent="0.2">
      <c r="A178" s="2030"/>
      <c r="B178" s="2026"/>
      <c r="C178" s="2027"/>
      <c r="D178" s="2026"/>
      <c r="E178" s="2031"/>
      <c r="F178" s="2026"/>
      <c r="G178" s="2026"/>
      <c r="H178" s="2026"/>
      <c r="I178" s="2026"/>
      <c r="J178" s="2026"/>
      <c r="K178" s="2026"/>
      <c r="L178" s="2026"/>
      <c r="M178" s="2026"/>
      <c r="N178" s="2029"/>
    </row>
    <row r="179" spans="1:14" s="1670" customFormat="1" x14ac:dyDescent="0.2">
      <c r="A179" s="2030"/>
      <c r="B179" s="2026"/>
      <c r="C179" s="2027"/>
      <c r="D179" s="2026"/>
      <c r="E179" s="2028"/>
      <c r="F179" s="2026"/>
      <c r="G179" s="2026"/>
      <c r="H179" s="2026"/>
      <c r="I179" s="2026"/>
      <c r="J179" s="2026"/>
      <c r="K179" s="2026"/>
      <c r="L179" s="2026"/>
      <c r="M179" s="2026"/>
      <c r="N179" s="2029"/>
    </row>
    <row r="180" spans="1:14" s="1670" customFormat="1" x14ac:dyDescent="0.2">
      <c r="A180" s="2030"/>
      <c r="B180" s="2026"/>
      <c r="C180" s="2027"/>
      <c r="D180" s="2026"/>
      <c r="E180" s="2031"/>
      <c r="F180" s="2026"/>
      <c r="G180" s="2026"/>
      <c r="H180" s="2026"/>
      <c r="I180" s="2026"/>
      <c r="J180" s="2026"/>
      <c r="K180" s="2026"/>
      <c r="L180" s="2026"/>
      <c r="M180" s="2026"/>
      <c r="N180" s="2029"/>
    </row>
    <row r="181" spans="1:14" s="1670" customFormat="1" x14ac:dyDescent="0.2">
      <c r="A181" s="2030"/>
      <c r="B181" s="2026"/>
      <c r="C181" s="2027"/>
      <c r="D181" s="2026"/>
      <c r="E181" s="2031"/>
      <c r="F181" s="2026"/>
      <c r="G181" s="2026"/>
      <c r="H181" s="2026"/>
      <c r="I181" s="2026"/>
      <c r="J181" s="2026"/>
      <c r="K181" s="2026"/>
      <c r="L181" s="2026"/>
      <c r="M181" s="2026"/>
      <c r="N181" s="2029"/>
    </row>
    <row r="182" spans="1:14" s="1670" customFormat="1" ht="13.5" thickBot="1" x14ac:dyDescent="0.25">
      <c r="A182" s="2034"/>
      <c r="B182" s="2035"/>
      <c r="C182" s="2036"/>
      <c r="D182" s="2035"/>
      <c r="E182" s="2037"/>
      <c r="F182" s="2035"/>
      <c r="G182" s="2035"/>
      <c r="H182" s="2035"/>
      <c r="I182" s="2035"/>
      <c r="J182" s="2035"/>
      <c r="K182" s="2035"/>
      <c r="L182" s="2035"/>
      <c r="M182" s="2035"/>
      <c r="N182" s="2049"/>
    </row>
    <row r="183" spans="1:14" s="1670" customFormat="1" x14ac:dyDescent="0.2">
      <c r="A183" s="2039"/>
      <c r="B183" s="2040"/>
      <c r="C183" s="2041"/>
      <c r="D183" s="2040"/>
      <c r="E183" s="2048"/>
      <c r="F183" s="2040"/>
      <c r="G183" s="2040"/>
      <c r="H183" s="2040"/>
      <c r="I183" s="2040"/>
      <c r="J183" s="2040"/>
      <c r="K183" s="2040"/>
      <c r="L183" s="2040"/>
      <c r="M183" s="2040"/>
      <c r="N183" s="2050"/>
    </row>
    <row r="184" spans="1:14" s="1670" customFormat="1" x14ac:dyDescent="0.2">
      <c r="A184" s="2030"/>
      <c r="B184" s="2026"/>
      <c r="C184" s="2027"/>
      <c r="D184" s="2026"/>
      <c r="E184" s="2031"/>
      <c r="F184" s="2026"/>
      <c r="G184" s="2026"/>
      <c r="H184" s="2026"/>
      <c r="I184" s="2026"/>
      <c r="J184" s="2026"/>
      <c r="K184" s="2026"/>
      <c r="L184" s="2026"/>
      <c r="M184" s="2026"/>
      <c r="N184" s="2029"/>
    </row>
    <row r="185" spans="1:14" s="1670" customFormat="1" ht="13.5" thickBot="1" x14ac:dyDescent="0.25">
      <c r="A185" s="2034"/>
      <c r="B185" s="2035"/>
      <c r="C185" s="2036"/>
      <c r="D185" s="2035"/>
      <c r="E185" s="2037"/>
      <c r="F185" s="2035"/>
      <c r="G185" s="2035"/>
      <c r="H185" s="2035"/>
      <c r="I185" s="2035"/>
      <c r="J185" s="2035"/>
      <c r="K185" s="2035"/>
      <c r="L185" s="2035"/>
      <c r="M185" s="2035"/>
      <c r="N185" s="2049"/>
    </row>
    <row r="186" spans="1:14" s="1670" customFormat="1" x14ac:dyDescent="0.2">
      <c r="A186" s="2039"/>
      <c r="B186" s="2040"/>
      <c r="C186" s="2041"/>
      <c r="D186" s="2040"/>
      <c r="E186" s="2042"/>
      <c r="F186" s="2040"/>
      <c r="G186" s="2040"/>
      <c r="H186" s="2040"/>
      <c r="I186" s="2040"/>
      <c r="J186" s="2040"/>
      <c r="K186" s="2040"/>
      <c r="L186" s="2040"/>
      <c r="M186" s="2040"/>
      <c r="N186" s="2050"/>
    </row>
    <row r="187" spans="1:14" s="1670" customFormat="1" x14ac:dyDescent="0.2">
      <c r="A187" s="2030"/>
      <c r="B187" s="2026"/>
      <c r="C187" s="2027"/>
      <c r="D187" s="2026"/>
      <c r="E187" s="2028"/>
      <c r="F187" s="2026"/>
      <c r="G187" s="2026"/>
      <c r="H187" s="2026"/>
      <c r="I187" s="2026"/>
      <c r="J187" s="2026"/>
      <c r="K187" s="2026"/>
      <c r="L187" s="2026"/>
      <c r="M187" s="2026"/>
      <c r="N187" s="2029"/>
    </row>
    <row r="188" spans="1:14" s="1670" customFormat="1" x14ac:dyDescent="0.2">
      <c r="A188" s="2030"/>
      <c r="B188" s="2026"/>
      <c r="C188" s="2027"/>
      <c r="D188" s="2026"/>
      <c r="E188" s="2045"/>
      <c r="F188" s="2026"/>
      <c r="G188" s="2026"/>
      <c r="H188" s="2026"/>
      <c r="I188" s="2026"/>
      <c r="J188" s="2026"/>
      <c r="K188" s="2026"/>
      <c r="L188" s="2026"/>
      <c r="M188" s="2026"/>
      <c r="N188" s="2029"/>
    </row>
    <row r="189" spans="1:14" s="1670" customFormat="1" x14ac:dyDescent="0.2">
      <c r="A189" s="2030"/>
      <c r="B189" s="2026"/>
      <c r="C189" s="2027"/>
      <c r="D189" s="2026"/>
      <c r="E189" s="2045"/>
      <c r="F189" s="2026"/>
      <c r="G189" s="2026"/>
      <c r="H189" s="2026"/>
      <c r="I189" s="2026"/>
      <c r="J189" s="2026"/>
      <c r="K189" s="2026"/>
      <c r="L189" s="2026"/>
      <c r="M189" s="2026"/>
      <c r="N189" s="2029"/>
    </row>
    <row r="190" spans="1:14" s="1670" customFormat="1" x14ac:dyDescent="0.2">
      <c r="A190" s="2030"/>
      <c r="B190" s="2026"/>
      <c r="C190" s="2027"/>
      <c r="D190" s="2026"/>
      <c r="E190" s="2028"/>
      <c r="F190" s="2026"/>
      <c r="G190" s="2026"/>
      <c r="H190" s="2026"/>
      <c r="I190" s="2026"/>
      <c r="J190" s="2026"/>
      <c r="K190" s="2026"/>
      <c r="L190" s="2026"/>
      <c r="M190" s="2026"/>
      <c r="N190" s="2029"/>
    </row>
    <row r="191" spans="1:14" s="1670" customFormat="1" x14ac:dyDescent="0.2">
      <c r="A191" s="2030"/>
      <c r="B191" s="2026"/>
      <c r="C191" s="2027"/>
      <c r="D191" s="2026"/>
      <c r="E191" s="2045"/>
      <c r="F191" s="2026"/>
      <c r="G191" s="2026"/>
      <c r="H191" s="2026"/>
      <c r="I191" s="2026"/>
      <c r="J191" s="2026"/>
      <c r="K191" s="2026"/>
      <c r="L191" s="2026"/>
      <c r="M191" s="2026"/>
      <c r="N191" s="2051"/>
    </row>
    <row r="192" spans="1:14" s="1670" customFormat="1" x14ac:dyDescent="0.2">
      <c r="A192" s="2030"/>
      <c r="B192" s="2026"/>
      <c r="C192" s="2027"/>
      <c r="D192" s="2026"/>
      <c r="E192" s="2028"/>
      <c r="F192" s="2026"/>
      <c r="G192" s="2026"/>
      <c r="H192" s="2026"/>
      <c r="I192" s="2026"/>
      <c r="J192" s="2026"/>
      <c r="K192" s="2026"/>
      <c r="L192" s="2026"/>
      <c r="M192" s="2026"/>
      <c r="N192" s="2052"/>
    </row>
    <row r="193" spans="1:14" s="1670" customFormat="1" x14ac:dyDescent="0.2">
      <c r="A193" s="2030"/>
      <c r="B193" s="2026"/>
      <c r="C193" s="2027"/>
      <c r="D193" s="2026"/>
      <c r="E193" s="2031"/>
      <c r="F193" s="2026"/>
      <c r="G193" s="2026"/>
      <c r="H193" s="2026"/>
      <c r="I193" s="2026"/>
      <c r="J193" s="2026"/>
      <c r="K193" s="2026"/>
      <c r="L193" s="2026"/>
      <c r="M193" s="2026"/>
      <c r="N193" s="2029"/>
    </row>
    <row r="194" spans="1:14" s="1670" customFormat="1" ht="13.5" thickBot="1" x14ac:dyDescent="0.25">
      <c r="A194" s="2034"/>
      <c r="B194" s="2035"/>
      <c r="C194" s="2036"/>
      <c r="D194" s="2035"/>
      <c r="E194" s="2053"/>
      <c r="F194" s="2035"/>
      <c r="G194" s="2035"/>
      <c r="H194" s="2035"/>
      <c r="I194" s="2035"/>
      <c r="J194" s="2035"/>
      <c r="K194" s="2035"/>
      <c r="L194" s="2035"/>
      <c r="M194" s="2035"/>
      <c r="N194" s="2049"/>
    </row>
    <row r="195" spans="1:14" s="1670" customFormat="1" x14ac:dyDescent="0.2">
      <c r="A195" s="2039"/>
      <c r="B195" s="2040"/>
      <c r="C195" s="2041"/>
      <c r="D195" s="2040"/>
      <c r="E195" s="2054"/>
      <c r="F195" s="2040"/>
      <c r="G195" s="2040"/>
      <c r="H195" s="2040"/>
      <c r="I195" s="2040"/>
      <c r="J195" s="2040"/>
      <c r="K195" s="2040"/>
      <c r="L195" s="2040"/>
      <c r="M195" s="2040"/>
      <c r="N195" s="2050"/>
    </row>
    <row r="196" spans="1:14" s="1670" customFormat="1" ht="13.5" thickBot="1" x14ac:dyDescent="0.25">
      <c r="A196" s="2030"/>
      <c r="B196" s="2026"/>
      <c r="C196" s="2027"/>
      <c r="D196" s="2026"/>
      <c r="E196" s="2028"/>
      <c r="F196" s="2026"/>
      <c r="G196" s="2026"/>
      <c r="H196" s="2026"/>
      <c r="I196" s="2026"/>
      <c r="J196" s="2026"/>
      <c r="K196" s="2026"/>
      <c r="L196" s="2026"/>
      <c r="M196" s="2026"/>
      <c r="N196" s="2049"/>
    </row>
    <row r="197" spans="1:14" s="1670" customFormat="1" x14ac:dyDescent="0.2">
      <c r="A197" s="2030"/>
      <c r="B197" s="2026"/>
      <c r="C197" s="2027"/>
      <c r="D197" s="2026"/>
      <c r="E197" s="2028"/>
      <c r="F197" s="2026"/>
      <c r="G197" s="2026"/>
      <c r="H197" s="2026"/>
      <c r="I197" s="2026"/>
      <c r="J197" s="2026"/>
      <c r="K197" s="2026"/>
      <c r="L197" s="2026"/>
      <c r="M197" s="2026"/>
      <c r="N197" s="2029"/>
    </row>
    <row r="198" spans="1:14" s="1670" customFormat="1" x14ac:dyDescent="0.2">
      <c r="A198" s="2030"/>
      <c r="B198" s="2026"/>
      <c r="C198" s="2027"/>
      <c r="D198" s="2026"/>
      <c r="E198" s="2045"/>
      <c r="F198" s="2026"/>
      <c r="G198" s="2026"/>
      <c r="H198" s="2026"/>
      <c r="I198" s="2026"/>
      <c r="J198" s="2026"/>
      <c r="K198" s="2026"/>
      <c r="L198" s="2026"/>
      <c r="M198" s="2026"/>
      <c r="N198" s="2029"/>
    </row>
    <row r="199" spans="1:14" s="1670" customFormat="1" x14ac:dyDescent="0.2">
      <c r="A199" s="2030"/>
      <c r="B199" s="2026"/>
      <c r="C199" s="2027"/>
      <c r="D199" s="2026"/>
      <c r="E199" s="2028"/>
      <c r="F199" s="2026"/>
      <c r="G199" s="2026"/>
      <c r="H199" s="2026"/>
      <c r="I199" s="2026"/>
      <c r="J199" s="2026"/>
      <c r="K199" s="2026"/>
      <c r="L199" s="2026"/>
      <c r="M199" s="2026"/>
      <c r="N199" s="2029"/>
    </row>
    <row r="200" spans="1:14" s="1670" customFormat="1" x14ac:dyDescent="0.2">
      <c r="A200" s="2030"/>
      <c r="B200" s="2026"/>
      <c r="C200" s="2027"/>
      <c r="D200" s="2026"/>
      <c r="E200" s="2028"/>
      <c r="F200" s="2026"/>
      <c r="G200" s="2026"/>
      <c r="H200" s="2026"/>
      <c r="I200" s="2026"/>
      <c r="J200" s="2026"/>
      <c r="K200" s="2026"/>
      <c r="L200" s="2026"/>
      <c r="M200" s="2026"/>
      <c r="N200" s="2029"/>
    </row>
    <row r="201" spans="1:14" s="1670" customFormat="1" x14ac:dyDescent="0.2">
      <c r="A201" s="2030"/>
      <c r="B201" s="2026"/>
      <c r="C201" s="2027"/>
      <c r="D201" s="2026"/>
      <c r="E201" s="2045"/>
      <c r="F201" s="2026"/>
      <c r="G201" s="2026"/>
      <c r="H201" s="2026"/>
      <c r="I201" s="2026"/>
      <c r="J201" s="2026"/>
      <c r="K201" s="2026"/>
      <c r="L201" s="2026"/>
      <c r="M201" s="2026"/>
      <c r="N201" s="2029"/>
    </row>
    <row r="202" spans="1:14" s="1670" customFormat="1" x14ac:dyDescent="0.2">
      <c r="A202" s="2030"/>
      <c r="B202" s="2026"/>
      <c r="C202" s="2027"/>
      <c r="D202" s="2026"/>
      <c r="E202" s="2028"/>
      <c r="F202" s="2026"/>
      <c r="G202" s="2026"/>
      <c r="H202" s="2026"/>
      <c r="I202" s="2026"/>
      <c r="J202" s="2026"/>
      <c r="K202" s="2026"/>
      <c r="L202" s="2026"/>
      <c r="M202" s="2026"/>
      <c r="N202" s="1805"/>
    </row>
    <row r="203" spans="1:14" s="1670" customFormat="1" x14ac:dyDescent="0.2">
      <c r="A203" s="2030"/>
      <c r="B203" s="2026"/>
      <c r="C203" s="2027"/>
      <c r="D203" s="2026"/>
      <c r="E203" s="2028"/>
      <c r="F203" s="2026"/>
      <c r="G203" s="2026"/>
      <c r="H203" s="2026"/>
      <c r="I203" s="2026"/>
      <c r="J203" s="2026"/>
      <c r="K203" s="2026"/>
      <c r="L203" s="2026"/>
      <c r="M203" s="2026"/>
      <c r="N203" s="1805"/>
    </row>
    <row r="204" spans="1:14" s="1670" customFormat="1" x14ac:dyDescent="0.2">
      <c r="A204" s="2030"/>
      <c r="B204" s="2026"/>
      <c r="C204" s="2027"/>
      <c r="D204" s="2026"/>
      <c r="E204" s="2045"/>
      <c r="F204" s="2026"/>
      <c r="G204" s="2026"/>
      <c r="H204" s="2026"/>
      <c r="I204" s="2026"/>
      <c r="J204" s="2026"/>
      <c r="K204" s="2026"/>
      <c r="L204" s="2026"/>
      <c r="M204" s="2026"/>
      <c r="N204" s="1805"/>
    </row>
    <row r="205" spans="1:14" s="1670" customFormat="1" x14ac:dyDescent="0.2">
      <c r="A205" s="2030"/>
      <c r="B205" s="2026"/>
      <c r="C205" s="2027"/>
      <c r="D205" s="2026"/>
      <c r="E205" s="2045"/>
      <c r="F205" s="2026"/>
      <c r="G205" s="2026"/>
      <c r="H205" s="2026"/>
      <c r="I205" s="2026"/>
      <c r="J205" s="2026"/>
      <c r="K205" s="2026"/>
      <c r="L205" s="2026"/>
      <c r="M205" s="2026"/>
      <c r="N205" s="1805"/>
    </row>
    <row r="206" spans="1:14" s="1670" customFormat="1" ht="13.5" thickBot="1" x14ac:dyDescent="0.25">
      <c r="A206" s="2034"/>
      <c r="B206" s="2035"/>
      <c r="C206" s="2036"/>
      <c r="D206" s="2035"/>
      <c r="E206" s="2055"/>
      <c r="F206" s="2035"/>
      <c r="G206" s="2035"/>
      <c r="H206" s="2035"/>
      <c r="I206" s="2035"/>
      <c r="J206" s="2035"/>
      <c r="K206" s="2035"/>
      <c r="L206" s="2035"/>
      <c r="M206" s="2035"/>
      <c r="N206" s="2038"/>
    </row>
    <row r="207" spans="1:14" s="1670" customFormat="1" x14ac:dyDescent="0.2">
      <c r="C207" s="2056"/>
      <c r="E207" s="2045"/>
      <c r="N207" s="2056"/>
    </row>
    <row r="208" spans="1:14" s="1670" customFormat="1" x14ac:dyDescent="0.2">
      <c r="C208" s="2056"/>
      <c r="E208" s="2028"/>
      <c r="N208" s="2056"/>
    </row>
    <row r="209" spans="1:14" s="1670" customFormat="1" x14ac:dyDescent="0.2">
      <c r="C209" s="2056"/>
      <c r="E209" s="2028"/>
      <c r="N209" s="2056"/>
    </row>
    <row r="210" spans="1:14" s="1670" customFormat="1" x14ac:dyDescent="0.2">
      <c r="C210" s="2056"/>
      <c r="E210" s="2045"/>
      <c r="N210" s="2056"/>
    </row>
    <row r="211" spans="1:14" s="1670" customFormat="1" x14ac:dyDescent="0.2">
      <c r="C211" s="2056"/>
      <c r="E211" s="2045"/>
      <c r="N211" s="2056"/>
    </row>
    <row r="212" spans="1:14" s="1670" customFormat="1" x14ac:dyDescent="0.2">
      <c r="C212" s="2056"/>
      <c r="E212" s="2031"/>
      <c r="N212" s="2056"/>
    </row>
    <row r="213" spans="1:14" s="1670" customFormat="1" x14ac:dyDescent="0.2">
      <c r="C213" s="2056"/>
      <c r="E213" s="2057"/>
      <c r="N213" s="2056"/>
    </row>
    <row r="214" spans="1:14" s="1670" customFormat="1" x14ac:dyDescent="0.2">
      <c r="C214" s="2056"/>
      <c r="E214" s="2028"/>
      <c r="N214" s="2056"/>
    </row>
    <row r="215" spans="1:14" s="1670" customFormat="1" x14ac:dyDescent="0.2">
      <c r="C215" s="2056"/>
      <c r="E215" s="2028"/>
      <c r="N215" s="2056"/>
    </row>
    <row r="216" spans="1:14" s="1670" customFormat="1" x14ac:dyDescent="0.2">
      <c r="C216" s="2056"/>
      <c r="E216" s="2045"/>
      <c r="N216" s="2056"/>
    </row>
    <row r="217" spans="1:14" s="1670" customFormat="1" x14ac:dyDescent="0.2">
      <c r="C217" s="2056"/>
      <c r="E217" s="2058"/>
      <c r="N217" s="2056"/>
    </row>
    <row r="218" spans="1:14" s="1670" customFormat="1" ht="13.5" thickBot="1" x14ac:dyDescent="0.25">
      <c r="C218" s="2056"/>
      <c r="E218" s="2058"/>
      <c r="N218" s="2056"/>
    </row>
    <row r="219" spans="1:14" s="1670" customFormat="1" x14ac:dyDescent="0.2">
      <c r="A219" s="2039"/>
      <c r="B219" s="2040"/>
      <c r="C219" s="2041"/>
      <c r="D219" s="2040"/>
      <c r="E219" s="2059"/>
      <c r="F219" s="2040"/>
      <c r="G219" s="2040"/>
      <c r="H219" s="2040"/>
      <c r="I219" s="2040"/>
      <c r="J219" s="2040"/>
      <c r="K219" s="2040"/>
      <c r="L219" s="2040"/>
      <c r="M219" s="2040"/>
      <c r="N219" s="2043"/>
    </row>
    <row r="220" spans="1:14" s="1670" customFormat="1" x14ac:dyDescent="0.2">
      <c r="A220" s="2030"/>
      <c r="B220" s="2026"/>
      <c r="C220" s="2027"/>
      <c r="D220" s="2026"/>
      <c r="E220" s="2058"/>
      <c r="F220" s="2026"/>
      <c r="G220" s="2026"/>
      <c r="H220" s="2026"/>
      <c r="I220" s="2026"/>
      <c r="J220" s="2026"/>
      <c r="K220" s="2026"/>
      <c r="L220" s="2026"/>
      <c r="M220" s="2026"/>
      <c r="N220" s="1805"/>
    </row>
    <row r="221" spans="1:14" s="1670" customFormat="1" x14ac:dyDescent="0.2">
      <c r="A221" s="2030"/>
      <c r="B221" s="2026"/>
      <c r="C221" s="2027"/>
      <c r="D221" s="2026"/>
      <c r="E221" s="2058"/>
      <c r="F221" s="2026"/>
      <c r="G221" s="2026"/>
      <c r="H221" s="2026"/>
      <c r="I221" s="2026"/>
      <c r="J221" s="2026"/>
      <c r="K221" s="2026"/>
      <c r="L221" s="2026"/>
      <c r="M221" s="2026"/>
      <c r="N221" s="1805"/>
    </row>
    <row r="222" spans="1:14" s="1670" customFormat="1" x14ac:dyDescent="0.2">
      <c r="A222" s="2030"/>
      <c r="B222" s="2026"/>
      <c r="C222" s="2027"/>
      <c r="D222" s="2026"/>
      <c r="E222" s="2058"/>
      <c r="F222" s="2026"/>
      <c r="G222" s="2026"/>
      <c r="H222" s="2026"/>
      <c r="I222" s="2026"/>
      <c r="J222" s="2026"/>
      <c r="K222" s="2026"/>
      <c r="L222" s="2026"/>
      <c r="M222" s="2026"/>
      <c r="N222" s="1805"/>
    </row>
    <row r="223" spans="1:14" s="1670" customFormat="1" x14ac:dyDescent="0.2">
      <c r="A223" s="2030"/>
      <c r="B223" s="2026"/>
      <c r="C223" s="2027"/>
      <c r="D223" s="2026"/>
      <c r="E223" s="2058"/>
      <c r="F223" s="2026"/>
      <c r="G223" s="2026"/>
      <c r="H223" s="2026"/>
      <c r="I223" s="2026"/>
      <c r="J223" s="2026"/>
      <c r="K223" s="2026"/>
      <c r="L223" s="2026"/>
      <c r="M223" s="2026"/>
      <c r="N223" s="1805"/>
    </row>
    <row r="224" spans="1:14" s="1670" customFormat="1" x14ac:dyDescent="0.2">
      <c r="A224" s="2030"/>
      <c r="B224" s="2026"/>
      <c r="C224" s="2027"/>
      <c r="D224" s="2026"/>
      <c r="E224" s="2058"/>
      <c r="F224" s="2026"/>
      <c r="G224" s="2026"/>
      <c r="H224" s="2026"/>
      <c r="I224" s="2026"/>
      <c r="J224" s="2026"/>
      <c r="K224" s="2026"/>
      <c r="L224" s="2026"/>
      <c r="M224" s="2026"/>
      <c r="N224" s="1805"/>
    </row>
    <row r="225" spans="1:14" s="1670" customFormat="1" x14ac:dyDescent="0.2">
      <c r="A225" s="2030"/>
      <c r="B225" s="2026"/>
      <c r="C225" s="2027"/>
      <c r="D225" s="2026"/>
      <c r="E225" s="2058"/>
      <c r="F225" s="2026"/>
      <c r="G225" s="2026"/>
      <c r="H225" s="2026"/>
      <c r="I225" s="2026"/>
      <c r="J225" s="2026"/>
      <c r="K225" s="2026"/>
      <c r="L225" s="2026"/>
      <c r="M225" s="2026"/>
      <c r="N225" s="1805"/>
    </row>
    <row r="226" spans="1:14" s="1670" customFormat="1" x14ac:dyDescent="0.2">
      <c r="A226" s="2030"/>
      <c r="B226" s="2026"/>
      <c r="C226" s="2027"/>
      <c r="D226" s="2026"/>
      <c r="E226" s="2058"/>
      <c r="F226" s="2026"/>
      <c r="G226" s="2026"/>
      <c r="H226" s="2026"/>
      <c r="I226" s="2026"/>
      <c r="J226" s="2026"/>
      <c r="K226" s="2026"/>
      <c r="L226" s="2026"/>
      <c r="M226" s="2026"/>
      <c r="N226" s="1805"/>
    </row>
    <row r="227" spans="1:14" s="1670" customFormat="1" ht="13.5" thickBot="1" x14ac:dyDescent="0.25">
      <c r="A227" s="2034"/>
      <c r="B227" s="2035"/>
      <c r="C227" s="2036"/>
      <c r="D227" s="2035"/>
      <c r="E227" s="2060"/>
      <c r="F227" s="2035"/>
      <c r="G227" s="2035"/>
      <c r="H227" s="2035"/>
      <c r="I227" s="2035"/>
      <c r="J227" s="2035"/>
      <c r="K227" s="2035"/>
      <c r="L227" s="2035"/>
      <c r="M227" s="2035"/>
      <c r="N227" s="2038"/>
    </row>
    <row r="228" spans="1:14" s="1670" customFormat="1" x14ac:dyDescent="0.2">
      <c r="A228" s="2039"/>
      <c r="B228" s="2040"/>
      <c r="C228" s="2041"/>
      <c r="D228" s="2040"/>
      <c r="E228" s="2059"/>
      <c r="F228" s="2040"/>
      <c r="G228" s="2040"/>
      <c r="H228" s="2040"/>
      <c r="I228" s="2040"/>
      <c r="J228" s="2040"/>
      <c r="K228" s="2040"/>
      <c r="L228" s="2040"/>
      <c r="M228" s="2040"/>
      <c r="N228" s="2043"/>
    </row>
    <row r="229" spans="1:14" s="1670" customFormat="1" x14ac:dyDescent="0.2">
      <c r="A229" s="2030"/>
      <c r="B229" s="2026"/>
      <c r="C229" s="2027"/>
      <c r="D229" s="2026"/>
      <c r="E229" s="2058"/>
      <c r="F229" s="2026"/>
      <c r="G229" s="2026"/>
      <c r="H229" s="2026"/>
      <c r="I229" s="2026"/>
      <c r="J229" s="2026"/>
      <c r="K229" s="2026"/>
      <c r="L229" s="2026"/>
      <c r="M229" s="2026"/>
      <c r="N229" s="1805"/>
    </row>
    <row r="230" spans="1:14" s="1670" customFormat="1" x14ac:dyDescent="0.2">
      <c r="A230" s="2030"/>
      <c r="B230" s="2026"/>
      <c r="C230" s="2027"/>
      <c r="D230" s="2026"/>
      <c r="E230" s="2058"/>
      <c r="F230" s="2026"/>
      <c r="G230" s="2026"/>
      <c r="H230" s="2026"/>
      <c r="I230" s="2026"/>
      <c r="J230" s="2026"/>
      <c r="K230" s="2026"/>
      <c r="L230" s="2026"/>
      <c r="M230" s="2026"/>
      <c r="N230" s="1805"/>
    </row>
    <row r="231" spans="1:14" s="1670" customFormat="1" x14ac:dyDescent="0.2">
      <c r="A231" s="2030"/>
      <c r="B231" s="2026"/>
      <c r="C231" s="2027"/>
      <c r="D231" s="2026"/>
      <c r="E231" s="2058"/>
      <c r="F231" s="2026"/>
      <c r="G231" s="2026"/>
      <c r="H231" s="2026"/>
      <c r="I231" s="2026"/>
      <c r="J231" s="2026"/>
      <c r="K231" s="2026"/>
      <c r="L231" s="2026"/>
      <c r="M231" s="2026"/>
      <c r="N231" s="1805"/>
    </row>
    <row r="232" spans="1:14" s="1670" customFormat="1" x14ac:dyDescent="0.2">
      <c r="A232" s="2030"/>
      <c r="B232" s="2026"/>
      <c r="C232" s="2027"/>
      <c r="D232" s="2026"/>
      <c r="E232" s="2058"/>
      <c r="F232" s="2026"/>
      <c r="G232" s="2026"/>
      <c r="H232" s="2026"/>
      <c r="I232" s="2026"/>
      <c r="J232" s="2026"/>
      <c r="K232" s="2026"/>
      <c r="L232" s="2026"/>
      <c r="M232" s="2026"/>
      <c r="N232" s="1805"/>
    </row>
    <row r="233" spans="1:14" s="1670" customFormat="1" x14ac:dyDescent="0.2">
      <c r="A233" s="2030"/>
      <c r="B233" s="2026"/>
      <c r="C233" s="2027"/>
      <c r="D233" s="2026"/>
      <c r="E233" s="2058"/>
      <c r="F233" s="2026"/>
      <c r="G233" s="2026"/>
      <c r="H233" s="2026"/>
      <c r="I233" s="2026"/>
      <c r="J233" s="2026"/>
      <c r="K233" s="2026"/>
      <c r="L233" s="2026"/>
      <c r="M233" s="2026"/>
      <c r="N233" s="1805"/>
    </row>
    <row r="234" spans="1:14" s="1670" customFormat="1" x14ac:dyDescent="0.2">
      <c r="A234" s="2030"/>
      <c r="B234" s="2026"/>
      <c r="C234" s="2027"/>
      <c r="D234" s="2026"/>
      <c r="E234" s="2058"/>
      <c r="F234" s="2026"/>
      <c r="G234" s="2026"/>
      <c r="H234" s="2026"/>
      <c r="I234" s="2026"/>
      <c r="J234" s="2026"/>
      <c r="K234" s="2026"/>
      <c r="L234" s="2026"/>
      <c r="M234" s="2026"/>
      <c r="N234" s="1805"/>
    </row>
    <row r="235" spans="1:14" s="1670" customFormat="1" x14ac:dyDescent="0.2">
      <c r="A235" s="2030"/>
      <c r="B235" s="2026"/>
      <c r="C235" s="2027"/>
      <c r="D235" s="2026"/>
      <c r="E235" s="2058"/>
      <c r="F235" s="2026"/>
      <c r="G235" s="2026"/>
      <c r="H235" s="2026"/>
      <c r="I235" s="2026"/>
      <c r="J235" s="2026"/>
      <c r="K235" s="2026"/>
      <c r="L235" s="2026"/>
      <c r="M235" s="2026"/>
      <c r="N235" s="1805"/>
    </row>
    <row r="236" spans="1:14" s="1670" customFormat="1" x14ac:dyDescent="0.2">
      <c r="A236" s="2030"/>
      <c r="B236" s="2026"/>
      <c r="C236" s="2027"/>
      <c r="D236" s="2026"/>
      <c r="E236" s="2058"/>
      <c r="F236" s="2026"/>
      <c r="G236" s="2026"/>
      <c r="H236" s="2026"/>
      <c r="I236" s="2026"/>
      <c r="J236" s="2026"/>
      <c r="K236" s="2026"/>
      <c r="L236" s="2026"/>
      <c r="M236" s="2026"/>
      <c r="N236" s="1805"/>
    </row>
    <row r="237" spans="1:14" s="1670" customFormat="1" x14ac:dyDescent="0.2">
      <c r="A237" s="2030"/>
      <c r="B237" s="2026"/>
      <c r="C237" s="2027"/>
      <c r="D237" s="2026"/>
      <c r="E237" s="2058"/>
      <c r="F237" s="2026"/>
      <c r="G237" s="2026"/>
      <c r="H237" s="2026"/>
      <c r="I237" s="2026"/>
      <c r="J237" s="2026"/>
      <c r="K237" s="2026"/>
      <c r="L237" s="2026"/>
      <c r="M237" s="2026"/>
      <c r="N237" s="1805"/>
    </row>
    <row r="238" spans="1:14" s="1670" customFormat="1" x14ac:dyDescent="0.2">
      <c r="A238" s="2030"/>
      <c r="B238" s="2026"/>
      <c r="C238" s="2027"/>
      <c r="D238" s="2026"/>
      <c r="E238" s="2058"/>
      <c r="F238" s="2026"/>
      <c r="G238" s="2026"/>
      <c r="H238" s="2026"/>
      <c r="I238" s="2026"/>
      <c r="J238" s="2026"/>
      <c r="K238" s="2026"/>
      <c r="L238" s="2026"/>
      <c r="M238" s="2026"/>
      <c r="N238" s="1805"/>
    </row>
    <row r="239" spans="1:14" s="1670" customFormat="1" ht="13.5" thickBot="1" x14ac:dyDescent="0.25">
      <c r="A239" s="2034"/>
      <c r="B239" s="2035"/>
      <c r="C239" s="2036"/>
      <c r="D239" s="2035"/>
      <c r="E239" s="2060"/>
      <c r="F239" s="2035"/>
      <c r="G239" s="2035"/>
      <c r="H239" s="2035"/>
      <c r="I239" s="2035"/>
      <c r="J239" s="2035"/>
      <c r="K239" s="2035"/>
      <c r="L239" s="2035"/>
      <c r="M239" s="2035"/>
      <c r="N239" s="2038"/>
    </row>
    <row r="240" spans="1:14" s="1670" customFormat="1" x14ac:dyDescent="0.2">
      <c r="C240" s="2056"/>
      <c r="E240" s="2058"/>
      <c r="N240" s="2056"/>
    </row>
    <row r="241" spans="3:14" s="1670" customFormat="1" x14ac:dyDescent="0.2">
      <c r="C241" s="2056"/>
      <c r="E241" s="2058"/>
      <c r="N241" s="2056"/>
    </row>
    <row r="242" spans="3:14" s="1670" customFormat="1" x14ac:dyDescent="0.2">
      <c r="C242" s="2056"/>
      <c r="E242" s="2058"/>
      <c r="N242" s="2056"/>
    </row>
    <row r="243" spans="3:14" s="1670" customFormat="1" x14ac:dyDescent="0.2">
      <c r="C243" s="2056"/>
      <c r="E243" s="2058"/>
      <c r="N243" s="2056"/>
    </row>
    <row r="244" spans="3:14" s="1670" customFormat="1" x14ac:dyDescent="0.2">
      <c r="C244" s="2056"/>
      <c r="E244" s="2058"/>
      <c r="N244" s="2056"/>
    </row>
    <row r="245" spans="3:14" s="1670" customFormat="1" x14ac:dyDescent="0.2">
      <c r="C245" s="2056"/>
      <c r="E245" s="2058"/>
      <c r="N245" s="2056"/>
    </row>
    <row r="246" spans="3:14" s="1670" customFormat="1" x14ac:dyDescent="0.2">
      <c r="C246" s="2056"/>
      <c r="E246" s="2058"/>
      <c r="N246" s="2056"/>
    </row>
    <row r="247" spans="3:14" s="1670" customFormat="1" x14ac:dyDescent="0.2">
      <c r="C247" s="2056"/>
      <c r="E247" s="2058"/>
      <c r="N247" s="2056"/>
    </row>
    <row r="248" spans="3:14" s="1670" customFormat="1" x14ac:dyDescent="0.2">
      <c r="C248" s="2056"/>
      <c r="E248" s="2058"/>
      <c r="N248" s="2056"/>
    </row>
    <row r="249" spans="3:14" s="1670" customFormat="1" x14ac:dyDescent="0.2">
      <c r="C249" s="2056"/>
      <c r="E249" s="2058"/>
      <c r="N249" s="2056"/>
    </row>
    <row r="250" spans="3:14" s="1670" customFormat="1" x14ac:dyDescent="0.2">
      <c r="C250" s="2056"/>
      <c r="E250" s="2058"/>
      <c r="N250" s="2056"/>
    </row>
    <row r="251" spans="3:14" s="1670" customFormat="1" x14ac:dyDescent="0.2">
      <c r="C251" s="2056"/>
      <c r="E251" s="2058"/>
      <c r="N251" s="2056"/>
    </row>
    <row r="252" spans="3:14" s="1670" customFormat="1" x14ac:dyDescent="0.2">
      <c r="C252" s="2056"/>
      <c r="E252" s="2058"/>
      <c r="N252" s="2056"/>
    </row>
    <row r="253" spans="3:14" s="1670" customFormat="1" x14ac:dyDescent="0.2">
      <c r="C253" s="2056"/>
      <c r="E253" s="2058"/>
      <c r="N253" s="2056"/>
    </row>
    <row r="254" spans="3:14" s="1670" customFormat="1" x14ac:dyDescent="0.2">
      <c r="C254" s="2056"/>
      <c r="E254" s="2058"/>
      <c r="N254" s="2056"/>
    </row>
    <row r="255" spans="3:14" s="1670" customFormat="1" x14ac:dyDescent="0.2">
      <c r="C255" s="2056"/>
      <c r="E255" s="2058"/>
      <c r="N255" s="2056"/>
    </row>
    <row r="256" spans="3:14" s="1670" customFormat="1" x14ac:dyDescent="0.2">
      <c r="C256" s="2056"/>
      <c r="E256" s="2058"/>
      <c r="N256" s="2056"/>
    </row>
    <row r="257" spans="1:14" s="1670" customFormat="1" x14ac:dyDescent="0.2">
      <c r="C257" s="2056"/>
      <c r="E257" s="2058"/>
      <c r="N257" s="2056"/>
    </row>
    <row r="258" spans="1:14" s="1670" customFormat="1" x14ac:dyDescent="0.2">
      <c r="C258" s="2056"/>
      <c r="E258" s="2058"/>
      <c r="N258" s="2056"/>
    </row>
    <row r="259" spans="1:14" s="1670" customFormat="1" x14ac:dyDescent="0.2">
      <c r="C259" s="2056"/>
      <c r="E259" s="2058"/>
      <c r="N259" s="2056"/>
    </row>
    <row r="260" spans="1:14" s="1670" customFormat="1" ht="13.5" thickBot="1" x14ac:dyDescent="0.25">
      <c r="C260" s="2056"/>
      <c r="E260" s="2058"/>
      <c r="N260" s="2056"/>
    </row>
    <row r="261" spans="1:14" s="1670" customFormat="1" x14ac:dyDescent="0.2">
      <c r="A261" s="2039"/>
      <c r="B261" s="2040"/>
      <c r="C261" s="2041"/>
      <c r="D261" s="2040"/>
      <c r="E261" s="2059"/>
      <c r="F261" s="2040"/>
      <c r="G261" s="2040"/>
      <c r="H261" s="2040"/>
      <c r="I261" s="2040"/>
      <c r="J261" s="2040"/>
      <c r="K261" s="2040"/>
      <c r="L261" s="2040"/>
      <c r="M261" s="2040"/>
      <c r="N261" s="2043"/>
    </row>
    <row r="262" spans="1:14" s="1670" customFormat="1" x14ac:dyDescent="0.2">
      <c r="A262" s="2030"/>
      <c r="B262" s="2026"/>
      <c r="C262" s="2027"/>
      <c r="D262" s="2026"/>
      <c r="E262" s="2058"/>
      <c r="F262" s="2026"/>
      <c r="G262" s="2026"/>
      <c r="H262" s="2026"/>
      <c r="I262" s="2026"/>
      <c r="J262" s="2026"/>
      <c r="K262" s="2026"/>
      <c r="L262" s="2026"/>
      <c r="M262" s="2026"/>
      <c r="N262" s="1805"/>
    </row>
    <row r="263" spans="1:14" s="1670" customFormat="1" x14ac:dyDescent="0.2">
      <c r="A263" s="2030"/>
      <c r="B263" s="2026"/>
      <c r="C263" s="2027"/>
      <c r="D263" s="2026"/>
      <c r="E263" s="2058"/>
      <c r="F263" s="2026"/>
      <c r="G263" s="2026"/>
      <c r="H263" s="2026"/>
      <c r="I263" s="2026"/>
      <c r="J263" s="2026"/>
      <c r="K263" s="2026"/>
      <c r="L263" s="2026"/>
      <c r="M263" s="2026"/>
      <c r="N263" s="1805"/>
    </row>
    <row r="264" spans="1:14" s="1670" customFormat="1" x14ac:dyDescent="0.2">
      <c r="A264" s="2030"/>
      <c r="B264" s="2026"/>
      <c r="C264" s="2027"/>
      <c r="D264" s="2026"/>
      <c r="E264" s="2058"/>
      <c r="F264" s="2026"/>
      <c r="G264" s="2026"/>
      <c r="H264" s="2026"/>
      <c r="I264" s="2026"/>
      <c r="J264" s="2026"/>
      <c r="K264" s="2026"/>
      <c r="L264" s="2026"/>
      <c r="M264" s="2026"/>
      <c r="N264" s="1805"/>
    </row>
    <row r="265" spans="1:14" s="1670" customFormat="1" x14ac:dyDescent="0.2">
      <c r="A265" s="2030"/>
      <c r="B265" s="2026"/>
      <c r="C265" s="2027"/>
      <c r="D265" s="2026"/>
      <c r="E265" s="2058"/>
      <c r="F265" s="2026"/>
      <c r="G265" s="2026"/>
      <c r="H265" s="2026"/>
      <c r="I265" s="2026"/>
      <c r="J265" s="2026"/>
      <c r="K265" s="2026"/>
      <c r="L265" s="2026"/>
      <c r="M265" s="2026"/>
      <c r="N265" s="1805"/>
    </row>
    <row r="266" spans="1:14" s="1670" customFormat="1" x14ac:dyDescent="0.2">
      <c r="A266" s="2030"/>
      <c r="B266" s="2026"/>
      <c r="C266" s="2027"/>
      <c r="D266" s="2026"/>
      <c r="E266" s="2058"/>
      <c r="F266" s="2026"/>
      <c r="G266" s="2026"/>
      <c r="H266" s="2026"/>
      <c r="I266" s="2026"/>
      <c r="J266" s="2026"/>
      <c r="K266" s="2026"/>
      <c r="L266" s="2026"/>
      <c r="M266" s="2026"/>
      <c r="N266" s="1805"/>
    </row>
    <row r="267" spans="1:14" s="1670" customFormat="1" x14ac:dyDescent="0.2">
      <c r="A267" s="2030"/>
      <c r="B267" s="2026"/>
      <c r="C267" s="2027"/>
      <c r="D267" s="2026"/>
      <c r="E267" s="2058"/>
      <c r="F267" s="2026"/>
      <c r="G267" s="2026"/>
      <c r="H267" s="2026"/>
      <c r="I267" s="2026"/>
      <c r="J267" s="2026"/>
      <c r="K267" s="2026"/>
      <c r="L267" s="2026"/>
      <c r="M267" s="2026"/>
      <c r="N267" s="1805"/>
    </row>
    <row r="268" spans="1:14" s="1670" customFormat="1" x14ac:dyDescent="0.2">
      <c r="A268" s="2030"/>
      <c r="B268" s="2026"/>
      <c r="C268" s="2027"/>
      <c r="D268" s="2026"/>
      <c r="E268" s="2058"/>
      <c r="F268" s="2026"/>
      <c r="G268" s="2026"/>
      <c r="H268" s="2026"/>
      <c r="I268" s="2026"/>
      <c r="J268" s="2026"/>
      <c r="K268" s="2026"/>
      <c r="L268" s="2026"/>
      <c r="M268" s="2026"/>
      <c r="N268" s="1805"/>
    </row>
    <row r="269" spans="1:14" s="1670" customFormat="1" ht="13.5" thickBot="1" x14ac:dyDescent="0.25">
      <c r="A269" s="2034"/>
      <c r="B269" s="2035"/>
      <c r="C269" s="2036"/>
      <c r="D269" s="2035"/>
      <c r="E269" s="2060"/>
      <c r="F269" s="2035"/>
      <c r="G269" s="2035"/>
      <c r="H269" s="2035"/>
      <c r="I269" s="2035"/>
      <c r="J269" s="2035"/>
      <c r="K269" s="2035"/>
      <c r="L269" s="2035"/>
      <c r="M269" s="2035"/>
      <c r="N269" s="2038"/>
    </row>
    <row r="270" spans="1:14" s="1670" customFormat="1" x14ac:dyDescent="0.2">
      <c r="A270" s="2039"/>
      <c r="B270" s="2040"/>
      <c r="C270" s="2041"/>
      <c r="D270" s="2040"/>
      <c r="E270" s="2059"/>
      <c r="F270" s="2040"/>
      <c r="G270" s="2040"/>
      <c r="H270" s="2040"/>
      <c r="I270" s="2040"/>
      <c r="J270" s="2040"/>
      <c r="K270" s="2040"/>
      <c r="L270" s="2040"/>
      <c r="M270" s="2040"/>
      <c r="N270" s="2043"/>
    </row>
    <row r="271" spans="1:14" s="1670" customFormat="1" x14ac:dyDescent="0.2">
      <c r="A271" s="2030"/>
      <c r="B271" s="2026"/>
      <c r="C271" s="2027"/>
      <c r="D271" s="2026"/>
      <c r="E271" s="2058"/>
      <c r="F271" s="2026"/>
      <c r="G271" s="2026"/>
      <c r="H271" s="2026"/>
      <c r="I271" s="2026"/>
      <c r="J271" s="2026"/>
      <c r="K271" s="2026"/>
      <c r="L271" s="2026"/>
      <c r="M271" s="2026"/>
      <c r="N271" s="1805"/>
    </row>
    <row r="272" spans="1:14" s="1670" customFormat="1" x14ac:dyDescent="0.2">
      <c r="A272" s="2030"/>
      <c r="B272" s="2026"/>
      <c r="C272" s="2027"/>
      <c r="D272" s="2026"/>
      <c r="E272" s="2058"/>
      <c r="F272" s="2026"/>
      <c r="G272" s="2026"/>
      <c r="H272" s="2026"/>
      <c r="I272" s="2026"/>
      <c r="J272" s="2026"/>
      <c r="K272" s="2026"/>
      <c r="L272" s="2026"/>
      <c r="M272" s="2026"/>
      <c r="N272" s="1805"/>
    </row>
    <row r="273" spans="1:14" s="1670" customFormat="1" x14ac:dyDescent="0.2">
      <c r="A273" s="2030"/>
      <c r="B273" s="2026"/>
      <c r="C273" s="2027"/>
      <c r="D273" s="2026"/>
      <c r="E273" s="2058"/>
      <c r="F273" s="2026"/>
      <c r="G273" s="2026"/>
      <c r="H273" s="2026"/>
      <c r="I273" s="2026"/>
      <c r="J273" s="2026"/>
      <c r="K273" s="2026"/>
      <c r="L273" s="2026"/>
      <c r="M273" s="2026"/>
      <c r="N273" s="1805"/>
    </row>
    <row r="274" spans="1:14" s="1670" customFormat="1" x14ac:dyDescent="0.2">
      <c r="A274" s="2030"/>
      <c r="B274" s="2026"/>
      <c r="C274" s="2027"/>
      <c r="D274" s="2026"/>
      <c r="E274" s="2058"/>
      <c r="F274" s="2026"/>
      <c r="G274" s="2026"/>
      <c r="H274" s="2026"/>
      <c r="I274" s="2026"/>
      <c r="J274" s="2026"/>
      <c r="K274" s="2026"/>
      <c r="L274" s="2026"/>
      <c r="M274" s="2026"/>
      <c r="N274" s="1805"/>
    </row>
    <row r="275" spans="1:14" s="1670" customFormat="1" x14ac:dyDescent="0.2">
      <c r="A275" s="2030"/>
      <c r="B275" s="2026"/>
      <c r="C275" s="2027"/>
      <c r="D275" s="2026"/>
      <c r="E275" s="2058"/>
      <c r="F275" s="2026"/>
      <c r="G275" s="2026"/>
      <c r="H275" s="2026"/>
      <c r="I275" s="2026"/>
      <c r="J275" s="2026"/>
      <c r="K275" s="2026"/>
      <c r="L275" s="2026"/>
      <c r="M275" s="2026"/>
      <c r="N275" s="1805"/>
    </row>
    <row r="276" spans="1:14" s="1670" customFormat="1" x14ac:dyDescent="0.2">
      <c r="A276" s="2030"/>
      <c r="B276" s="2026"/>
      <c r="C276" s="2027"/>
      <c r="D276" s="2026"/>
      <c r="E276" s="2058"/>
      <c r="F276" s="2026"/>
      <c r="G276" s="2026"/>
      <c r="H276" s="2026"/>
      <c r="I276" s="2026"/>
      <c r="J276" s="2026"/>
      <c r="K276" s="2026"/>
      <c r="L276" s="2026"/>
      <c r="M276" s="2026"/>
      <c r="N276" s="1805"/>
    </row>
    <row r="277" spans="1:14" s="1670" customFormat="1" x14ac:dyDescent="0.2">
      <c r="A277" s="2030"/>
      <c r="B277" s="2026"/>
      <c r="C277" s="2027"/>
      <c r="D277" s="2026"/>
      <c r="E277" s="2058"/>
      <c r="F277" s="2026"/>
      <c r="G277" s="2026"/>
      <c r="H277" s="2026"/>
      <c r="I277" s="2026"/>
      <c r="J277" s="2026"/>
      <c r="K277" s="2026"/>
      <c r="L277" s="2026"/>
      <c r="M277" s="2026"/>
      <c r="N277" s="1805"/>
    </row>
    <row r="278" spans="1:14" s="1670" customFormat="1" ht="13.5" thickBot="1" x14ac:dyDescent="0.25">
      <c r="A278" s="2034"/>
      <c r="B278" s="2035"/>
      <c r="C278" s="2036"/>
      <c r="D278" s="2035"/>
      <c r="E278" s="2060"/>
      <c r="F278" s="2035"/>
      <c r="G278" s="2035"/>
      <c r="H278" s="2035"/>
      <c r="I278" s="2035"/>
      <c r="J278" s="2035"/>
      <c r="K278" s="2035"/>
      <c r="L278" s="2035"/>
      <c r="M278" s="2035"/>
      <c r="N278" s="2038"/>
    </row>
    <row r="279" spans="1:14" s="1670" customFormat="1" x14ac:dyDescent="0.2">
      <c r="C279" s="2056"/>
      <c r="E279" s="2058"/>
      <c r="N279" s="2056"/>
    </row>
    <row r="280" spans="1:14" s="1670" customFormat="1" x14ac:dyDescent="0.2">
      <c r="C280" s="2056"/>
      <c r="E280" s="2058"/>
      <c r="N280" s="2056"/>
    </row>
    <row r="281" spans="1:14" s="1670" customFormat="1" x14ac:dyDescent="0.2">
      <c r="C281" s="2056"/>
      <c r="E281" s="2058"/>
      <c r="N281" s="2056"/>
    </row>
    <row r="282" spans="1:14" s="1670" customFormat="1" x14ac:dyDescent="0.2">
      <c r="C282" s="2056"/>
      <c r="E282" s="2058"/>
      <c r="N282" s="2056"/>
    </row>
    <row r="283" spans="1:14" s="1670" customFormat="1" x14ac:dyDescent="0.2">
      <c r="C283" s="2056"/>
      <c r="E283" s="2058"/>
      <c r="N283" s="2056"/>
    </row>
    <row r="284" spans="1:14" s="1670" customFormat="1" x14ac:dyDescent="0.2">
      <c r="C284" s="2056"/>
      <c r="E284" s="2058"/>
      <c r="N284" s="2056"/>
    </row>
    <row r="285" spans="1:14" s="1670" customFormat="1" x14ac:dyDescent="0.2">
      <c r="C285" s="2056"/>
      <c r="E285" s="2058"/>
      <c r="N285" s="2056"/>
    </row>
    <row r="286" spans="1:14" s="1670" customFormat="1" x14ac:dyDescent="0.2">
      <c r="C286" s="2056"/>
      <c r="E286" s="2058"/>
      <c r="N286" s="2056"/>
    </row>
    <row r="287" spans="1:14" s="1670" customFormat="1" x14ac:dyDescent="0.2">
      <c r="C287" s="2056"/>
      <c r="E287" s="2058"/>
      <c r="N287" s="2056"/>
    </row>
    <row r="288" spans="1:14" s="1670" customFormat="1" x14ac:dyDescent="0.2">
      <c r="C288" s="2056"/>
      <c r="E288" s="2058"/>
      <c r="N288" s="2056"/>
    </row>
    <row r="289" spans="1:14" s="1670" customFormat="1" x14ac:dyDescent="0.2">
      <c r="C289" s="2056"/>
      <c r="E289" s="2058"/>
      <c r="N289" s="2056"/>
    </row>
    <row r="290" spans="1:14" s="1670" customFormat="1" x14ac:dyDescent="0.2">
      <c r="C290" s="2056"/>
      <c r="E290" s="2058"/>
      <c r="N290" s="2056"/>
    </row>
    <row r="291" spans="1:14" s="1670" customFormat="1" x14ac:dyDescent="0.2">
      <c r="C291" s="2056"/>
      <c r="E291" s="2058"/>
      <c r="N291" s="2056"/>
    </row>
    <row r="292" spans="1:14" s="1670" customFormat="1" x14ac:dyDescent="0.2">
      <c r="C292" s="2056"/>
      <c r="E292" s="2058"/>
      <c r="N292" s="2056"/>
    </row>
    <row r="293" spans="1:14" s="1670" customFormat="1" x14ac:dyDescent="0.2">
      <c r="C293" s="2056"/>
      <c r="E293" s="2058"/>
      <c r="N293" s="2056"/>
    </row>
    <row r="294" spans="1:14" s="1670" customFormat="1" x14ac:dyDescent="0.2">
      <c r="C294" s="2056"/>
      <c r="E294" s="2058"/>
      <c r="N294" s="2056"/>
    </row>
    <row r="295" spans="1:14" s="1670" customFormat="1" x14ac:dyDescent="0.2">
      <c r="C295" s="2056"/>
      <c r="E295" s="2058"/>
      <c r="N295" s="2056"/>
    </row>
    <row r="296" spans="1:14" s="1670" customFormat="1" ht="13.5" thickBot="1" x14ac:dyDescent="0.25">
      <c r="C296" s="2056"/>
      <c r="E296" s="2058"/>
      <c r="N296" s="2056"/>
    </row>
    <row r="297" spans="1:14" s="1670" customFormat="1" x14ac:dyDescent="0.2">
      <c r="A297" s="2039"/>
      <c r="B297" s="2040"/>
      <c r="C297" s="2041"/>
      <c r="D297" s="2040"/>
      <c r="E297" s="2059"/>
      <c r="F297" s="2040"/>
      <c r="G297" s="2040"/>
      <c r="H297" s="2040"/>
      <c r="I297" s="2040"/>
      <c r="J297" s="2040"/>
      <c r="K297" s="2040"/>
      <c r="L297" s="2040"/>
      <c r="M297" s="2040"/>
      <c r="N297" s="2043"/>
    </row>
    <row r="298" spans="1:14" s="1670" customFormat="1" x14ac:dyDescent="0.2">
      <c r="A298" s="2030"/>
      <c r="B298" s="2026"/>
      <c r="C298" s="2027"/>
      <c r="D298" s="2026"/>
      <c r="E298" s="2058"/>
      <c r="F298" s="2026"/>
      <c r="G298" s="2026"/>
      <c r="H298" s="2026"/>
      <c r="I298" s="2026"/>
      <c r="J298" s="2026"/>
      <c r="K298" s="2026"/>
      <c r="L298" s="2026"/>
      <c r="M298" s="2026"/>
      <c r="N298" s="1805"/>
    </row>
    <row r="299" spans="1:14" s="1670" customFormat="1" x14ac:dyDescent="0.2">
      <c r="A299" s="2030"/>
      <c r="B299" s="2026"/>
      <c r="C299" s="2027"/>
      <c r="D299" s="2026"/>
      <c r="E299" s="2058"/>
      <c r="F299" s="2026"/>
      <c r="G299" s="2026"/>
      <c r="H299" s="2026"/>
      <c r="I299" s="2026"/>
      <c r="J299" s="2026"/>
      <c r="K299" s="2026"/>
      <c r="L299" s="2026"/>
      <c r="M299" s="2026"/>
      <c r="N299" s="1805"/>
    </row>
    <row r="300" spans="1:14" s="1670" customFormat="1" x14ac:dyDescent="0.2">
      <c r="A300" s="2030"/>
      <c r="B300" s="2026"/>
      <c r="C300" s="2027"/>
      <c r="D300" s="2026"/>
      <c r="E300" s="2058"/>
      <c r="F300" s="2026"/>
      <c r="G300" s="2026"/>
      <c r="H300" s="2026"/>
      <c r="I300" s="2026"/>
      <c r="J300" s="2026"/>
      <c r="K300" s="2026"/>
      <c r="L300" s="2026"/>
      <c r="M300" s="2026"/>
      <c r="N300" s="1805"/>
    </row>
    <row r="301" spans="1:14" s="1670" customFormat="1" x14ac:dyDescent="0.2">
      <c r="A301" s="2030"/>
      <c r="B301" s="2026"/>
      <c r="C301" s="2027"/>
      <c r="D301" s="2026"/>
      <c r="E301" s="2058"/>
      <c r="F301" s="2026"/>
      <c r="G301" s="2026"/>
      <c r="H301" s="2026"/>
      <c r="I301" s="2026"/>
      <c r="J301" s="2026"/>
      <c r="K301" s="2026"/>
      <c r="L301" s="2026"/>
      <c r="M301" s="2026"/>
      <c r="N301" s="1805"/>
    </row>
    <row r="302" spans="1:14" s="1670" customFormat="1" x14ac:dyDescent="0.2">
      <c r="A302" s="2030"/>
      <c r="B302" s="2026"/>
      <c r="C302" s="2027"/>
      <c r="D302" s="2026"/>
      <c r="E302" s="2058"/>
      <c r="F302" s="2026"/>
      <c r="G302" s="2026"/>
      <c r="H302" s="2026"/>
      <c r="I302" s="2026"/>
      <c r="J302" s="2026"/>
      <c r="K302" s="2026"/>
      <c r="L302" s="2026"/>
      <c r="M302" s="2026"/>
      <c r="N302" s="1805"/>
    </row>
    <row r="303" spans="1:14" s="1670" customFormat="1" x14ac:dyDescent="0.2">
      <c r="A303" s="2030"/>
      <c r="B303" s="2026"/>
      <c r="C303" s="2027"/>
      <c r="D303" s="2026"/>
      <c r="E303" s="2058"/>
      <c r="F303" s="2026"/>
      <c r="G303" s="2026"/>
      <c r="H303" s="2026"/>
      <c r="I303" s="2026"/>
      <c r="J303" s="2026"/>
      <c r="K303" s="2026"/>
      <c r="L303" s="2026"/>
      <c r="M303" s="2026"/>
      <c r="N303" s="1805"/>
    </row>
    <row r="304" spans="1:14" s="1670" customFormat="1" x14ac:dyDescent="0.2">
      <c r="A304" s="2030"/>
      <c r="B304" s="2026"/>
      <c r="C304" s="2027"/>
      <c r="D304" s="2026"/>
      <c r="E304" s="2058"/>
      <c r="F304" s="2026"/>
      <c r="G304" s="2026"/>
      <c r="H304" s="2026"/>
      <c r="I304" s="2026"/>
      <c r="J304" s="2026"/>
      <c r="K304" s="2026"/>
      <c r="L304" s="2026"/>
      <c r="M304" s="2026"/>
      <c r="N304" s="1805"/>
    </row>
    <row r="305" spans="1:14" s="1670" customFormat="1" ht="13.5" thickBot="1" x14ac:dyDescent="0.25">
      <c r="A305" s="2034"/>
      <c r="B305" s="2035"/>
      <c r="C305" s="2036"/>
      <c r="D305" s="2035"/>
      <c r="E305" s="2060"/>
      <c r="F305" s="2035"/>
      <c r="G305" s="2035"/>
      <c r="H305" s="2035"/>
      <c r="I305" s="2035"/>
      <c r="J305" s="2035"/>
      <c r="K305" s="2035"/>
      <c r="L305" s="2035"/>
      <c r="M305" s="2035"/>
      <c r="N305" s="2038"/>
    </row>
    <row r="306" spans="1:14" s="1670" customFormat="1" x14ac:dyDescent="0.2">
      <c r="A306" s="2039"/>
      <c r="B306" s="2040"/>
      <c r="C306" s="2041"/>
      <c r="D306" s="2040"/>
      <c r="E306" s="2059"/>
      <c r="F306" s="2040"/>
      <c r="G306" s="2040"/>
      <c r="H306" s="2040"/>
      <c r="I306" s="2040"/>
      <c r="J306" s="2040"/>
      <c r="K306" s="2040"/>
      <c r="L306" s="2040"/>
      <c r="M306" s="2040"/>
      <c r="N306" s="2043"/>
    </row>
    <row r="307" spans="1:14" s="1670" customFormat="1" x14ac:dyDescent="0.2">
      <c r="A307" s="2030"/>
      <c r="B307" s="2026"/>
      <c r="C307" s="2027"/>
      <c r="D307" s="2026"/>
      <c r="E307" s="2058"/>
      <c r="F307" s="2026"/>
      <c r="G307" s="2026"/>
      <c r="H307" s="2026"/>
      <c r="I307" s="2026"/>
      <c r="J307" s="2026"/>
      <c r="K307" s="2026"/>
      <c r="L307" s="2026"/>
      <c r="M307" s="2026"/>
      <c r="N307" s="1805"/>
    </row>
    <row r="308" spans="1:14" s="1670" customFormat="1" x14ac:dyDescent="0.2">
      <c r="A308" s="2030"/>
      <c r="B308" s="2026"/>
      <c r="C308" s="2027"/>
      <c r="D308" s="2026"/>
      <c r="E308" s="2058"/>
      <c r="F308" s="2026"/>
      <c r="G308" s="2026"/>
      <c r="H308" s="2026"/>
      <c r="I308" s="2026"/>
      <c r="J308" s="2026"/>
      <c r="K308" s="2026"/>
      <c r="L308" s="2026"/>
      <c r="M308" s="2026"/>
      <c r="N308" s="1805"/>
    </row>
    <row r="309" spans="1:14" s="1670" customFormat="1" x14ac:dyDescent="0.2">
      <c r="A309" s="2030"/>
      <c r="B309" s="2026"/>
      <c r="C309" s="2027"/>
      <c r="D309" s="2026"/>
      <c r="E309" s="2058"/>
      <c r="F309" s="2026"/>
      <c r="G309" s="2026"/>
      <c r="H309" s="2026"/>
      <c r="I309" s="2026"/>
      <c r="J309" s="2026"/>
      <c r="K309" s="2026"/>
      <c r="L309" s="2026"/>
      <c r="M309" s="2026"/>
      <c r="N309" s="1805"/>
    </row>
    <row r="310" spans="1:14" s="1670" customFormat="1" x14ac:dyDescent="0.2">
      <c r="A310" s="2030"/>
      <c r="B310" s="2026"/>
      <c r="C310" s="2027"/>
      <c r="D310" s="2026"/>
      <c r="E310" s="2058"/>
      <c r="F310" s="2026"/>
      <c r="G310" s="2026"/>
      <c r="H310" s="2026"/>
      <c r="I310" s="2026"/>
      <c r="J310" s="2026"/>
      <c r="K310" s="2026"/>
      <c r="L310" s="2026"/>
      <c r="M310" s="2026"/>
      <c r="N310" s="1805"/>
    </row>
    <row r="311" spans="1:14" s="1670" customFormat="1" x14ac:dyDescent="0.2">
      <c r="A311" s="2030"/>
      <c r="B311" s="2026"/>
      <c r="C311" s="2027"/>
      <c r="D311" s="2026"/>
      <c r="E311" s="2058"/>
      <c r="F311" s="2026"/>
      <c r="G311" s="2026"/>
      <c r="H311" s="2026"/>
      <c r="I311" s="2026"/>
      <c r="J311" s="2026"/>
      <c r="K311" s="2026"/>
      <c r="L311" s="2026"/>
      <c r="M311" s="2026"/>
      <c r="N311" s="1805"/>
    </row>
    <row r="312" spans="1:14" s="1670" customFormat="1" x14ac:dyDescent="0.2">
      <c r="A312" s="2030"/>
      <c r="B312" s="2026"/>
      <c r="C312" s="2027"/>
      <c r="D312" s="2026"/>
      <c r="E312" s="2058"/>
      <c r="F312" s="2026"/>
      <c r="G312" s="2026"/>
      <c r="H312" s="2026"/>
      <c r="I312" s="2026"/>
      <c r="J312" s="2026"/>
      <c r="K312" s="2026"/>
      <c r="L312" s="2026"/>
      <c r="M312" s="2026"/>
      <c r="N312" s="1805"/>
    </row>
    <row r="313" spans="1:14" s="1670" customFormat="1" x14ac:dyDescent="0.2">
      <c r="A313" s="2030"/>
      <c r="B313" s="2026"/>
      <c r="C313" s="2027"/>
      <c r="D313" s="2026"/>
      <c r="E313" s="2058"/>
      <c r="F313" s="2026"/>
      <c r="G313" s="2026"/>
      <c r="H313" s="2026"/>
      <c r="I313" s="2026"/>
      <c r="J313" s="2026"/>
      <c r="K313" s="2026"/>
      <c r="L313" s="2026"/>
      <c r="M313" s="2026"/>
      <c r="N313" s="1805"/>
    </row>
    <row r="314" spans="1:14" s="1670" customFormat="1" ht="13.5" thickBot="1" x14ac:dyDescent="0.25">
      <c r="A314" s="2034"/>
      <c r="B314" s="2035"/>
      <c r="C314" s="2036"/>
      <c r="D314" s="2035"/>
      <c r="E314" s="2060"/>
      <c r="F314" s="2035"/>
      <c r="G314" s="2035"/>
      <c r="H314" s="2035"/>
      <c r="I314" s="2035"/>
      <c r="J314" s="2035"/>
      <c r="K314" s="2035"/>
      <c r="L314" s="2035"/>
      <c r="M314" s="2035"/>
      <c r="N314" s="2038"/>
    </row>
    <row r="315" spans="1:14" s="1670" customFormat="1" x14ac:dyDescent="0.2">
      <c r="C315" s="2056"/>
      <c r="E315" s="2058"/>
      <c r="N315" s="2056"/>
    </row>
    <row r="316" spans="1:14" s="1670" customFormat="1" x14ac:dyDescent="0.2">
      <c r="C316" s="2056"/>
      <c r="E316" s="2058"/>
      <c r="N316" s="2056"/>
    </row>
    <row r="317" spans="1:14" s="1670" customFormat="1" x14ac:dyDescent="0.2">
      <c r="C317" s="2056"/>
      <c r="E317" s="2058"/>
      <c r="N317" s="2056"/>
    </row>
    <row r="318" spans="1:14" s="1670" customFormat="1" x14ac:dyDescent="0.2">
      <c r="C318" s="2056"/>
      <c r="E318" s="2058"/>
      <c r="N318" s="2056"/>
    </row>
    <row r="319" spans="1:14" s="1670" customFormat="1" x14ac:dyDescent="0.2">
      <c r="C319" s="2056"/>
      <c r="E319" s="2058"/>
      <c r="N319" s="2056"/>
    </row>
    <row r="320" spans="1:14" s="1670" customFormat="1" x14ac:dyDescent="0.2">
      <c r="C320" s="2056"/>
      <c r="E320" s="2058"/>
      <c r="N320" s="2056"/>
    </row>
    <row r="321" spans="1:14" s="1670" customFormat="1" x14ac:dyDescent="0.2">
      <c r="C321" s="2056"/>
      <c r="E321" s="2058"/>
      <c r="N321" s="2056"/>
    </row>
    <row r="322" spans="1:14" s="1670" customFormat="1" x14ac:dyDescent="0.2">
      <c r="C322" s="2056"/>
      <c r="E322" s="2058"/>
      <c r="N322" s="2056"/>
    </row>
    <row r="323" spans="1:14" s="1670" customFormat="1" x14ac:dyDescent="0.2">
      <c r="C323" s="2056"/>
      <c r="E323" s="2058"/>
      <c r="N323" s="2056"/>
    </row>
    <row r="324" spans="1:14" s="1670" customFormat="1" x14ac:dyDescent="0.2">
      <c r="C324" s="2056"/>
      <c r="E324" s="2058"/>
      <c r="N324" s="2056"/>
    </row>
    <row r="325" spans="1:14" s="1670" customFormat="1" x14ac:dyDescent="0.2">
      <c r="C325" s="2056"/>
      <c r="E325" s="2058"/>
      <c r="N325" s="2056"/>
    </row>
    <row r="326" spans="1:14" s="1670" customFormat="1" x14ac:dyDescent="0.2">
      <c r="C326" s="2056"/>
      <c r="E326" s="2058"/>
      <c r="N326" s="2056"/>
    </row>
    <row r="327" spans="1:14" s="1670" customFormat="1" x14ac:dyDescent="0.2">
      <c r="C327" s="2056"/>
      <c r="E327" s="2058"/>
      <c r="N327" s="2056"/>
    </row>
    <row r="328" spans="1:14" s="1670" customFormat="1" x14ac:dyDescent="0.2">
      <c r="C328" s="2056"/>
      <c r="E328" s="2058"/>
      <c r="N328" s="2056"/>
    </row>
    <row r="329" spans="1:14" s="1670" customFormat="1" x14ac:dyDescent="0.2">
      <c r="C329" s="2056"/>
      <c r="E329" s="2058"/>
      <c r="N329" s="2056"/>
    </row>
    <row r="330" spans="1:14" s="1670" customFormat="1" x14ac:dyDescent="0.2">
      <c r="C330" s="2056"/>
      <c r="E330" s="2058"/>
      <c r="N330" s="2056"/>
    </row>
    <row r="331" spans="1:14" s="1670" customFormat="1" x14ac:dyDescent="0.2">
      <c r="C331" s="2056"/>
      <c r="E331" s="2058"/>
      <c r="N331" s="2056"/>
    </row>
    <row r="332" spans="1:14" s="1670" customFormat="1" ht="13.5" thickBot="1" x14ac:dyDescent="0.25">
      <c r="C332" s="2056"/>
      <c r="E332" s="2058"/>
      <c r="N332" s="2056"/>
    </row>
    <row r="333" spans="1:14" s="1670" customFormat="1" x14ac:dyDescent="0.2">
      <c r="A333" s="2039"/>
      <c r="B333" s="2040"/>
      <c r="C333" s="2041"/>
      <c r="D333" s="2040"/>
      <c r="E333" s="2059"/>
      <c r="F333" s="2040"/>
      <c r="G333" s="2040"/>
      <c r="H333" s="2040"/>
      <c r="I333" s="2040"/>
      <c r="J333" s="2040"/>
      <c r="K333" s="2040"/>
      <c r="L333" s="2040"/>
      <c r="M333" s="2040"/>
      <c r="N333" s="2043"/>
    </row>
    <row r="334" spans="1:14" s="1670" customFormat="1" x14ac:dyDescent="0.2">
      <c r="A334" s="2030"/>
      <c r="B334" s="2026"/>
      <c r="C334" s="2027"/>
      <c r="D334" s="2026"/>
      <c r="E334" s="2058"/>
      <c r="F334" s="2026"/>
      <c r="G334" s="2026"/>
      <c r="H334" s="2026"/>
      <c r="I334" s="2026"/>
      <c r="J334" s="2026"/>
      <c r="K334" s="2026"/>
      <c r="L334" s="2026"/>
      <c r="M334" s="2026"/>
      <c r="N334" s="1805"/>
    </row>
    <row r="335" spans="1:14" s="1670" customFormat="1" x14ac:dyDescent="0.2">
      <c r="A335" s="2030"/>
      <c r="B335" s="2026"/>
      <c r="C335" s="2027"/>
      <c r="D335" s="2026"/>
      <c r="E335" s="2058"/>
      <c r="F335" s="2026"/>
      <c r="G335" s="2026"/>
      <c r="H335" s="2026"/>
      <c r="I335" s="2026"/>
      <c r="J335" s="2026"/>
      <c r="K335" s="2026"/>
      <c r="L335" s="2026"/>
      <c r="M335" s="2026"/>
      <c r="N335" s="1805"/>
    </row>
    <row r="336" spans="1:14" s="1670" customFormat="1" x14ac:dyDescent="0.2">
      <c r="A336" s="2030"/>
      <c r="B336" s="2026"/>
      <c r="C336" s="2027"/>
      <c r="D336" s="2026"/>
      <c r="E336" s="2058"/>
      <c r="F336" s="2026"/>
      <c r="G336" s="2026"/>
      <c r="H336" s="2026"/>
      <c r="I336" s="2026"/>
      <c r="J336" s="2026"/>
      <c r="K336" s="2026"/>
      <c r="L336" s="2026"/>
      <c r="M336" s="2026"/>
      <c r="N336" s="1805"/>
    </row>
    <row r="337" spans="1:14" s="1670" customFormat="1" x14ac:dyDescent="0.2">
      <c r="A337" s="2030"/>
      <c r="B337" s="2026"/>
      <c r="C337" s="2027"/>
      <c r="D337" s="2026"/>
      <c r="E337" s="2058"/>
      <c r="F337" s="2026"/>
      <c r="G337" s="2026"/>
      <c r="H337" s="2026"/>
      <c r="I337" s="2026"/>
      <c r="J337" s="2026"/>
      <c r="K337" s="2026"/>
      <c r="L337" s="2026"/>
      <c r="M337" s="2026"/>
      <c r="N337" s="1805"/>
    </row>
    <row r="338" spans="1:14" s="1670" customFormat="1" x14ac:dyDescent="0.2">
      <c r="A338" s="2030"/>
      <c r="B338" s="2026"/>
      <c r="C338" s="2027"/>
      <c r="D338" s="2026"/>
      <c r="E338" s="2058"/>
      <c r="F338" s="2026"/>
      <c r="G338" s="2026"/>
      <c r="H338" s="2026"/>
      <c r="I338" s="2026"/>
      <c r="J338" s="2026"/>
      <c r="K338" s="2026"/>
      <c r="L338" s="2026"/>
      <c r="M338" s="2026"/>
      <c r="N338" s="1805"/>
    </row>
    <row r="339" spans="1:14" s="1670" customFormat="1" x14ac:dyDescent="0.2">
      <c r="A339" s="2030"/>
      <c r="B339" s="2026"/>
      <c r="C339" s="2027"/>
      <c r="D339" s="2026"/>
      <c r="E339" s="2058"/>
      <c r="F339" s="2026"/>
      <c r="G339" s="2026"/>
      <c r="H339" s="2026"/>
      <c r="I339" s="2026"/>
      <c r="J339" s="2026"/>
      <c r="K339" s="2026"/>
      <c r="L339" s="2026"/>
      <c r="M339" s="2026"/>
      <c r="N339" s="1805"/>
    </row>
    <row r="340" spans="1:14" s="1670" customFormat="1" x14ac:dyDescent="0.2">
      <c r="A340" s="2030"/>
      <c r="B340" s="2026"/>
      <c r="C340" s="2027"/>
      <c r="D340" s="2026"/>
      <c r="E340" s="2058"/>
      <c r="F340" s="2026"/>
      <c r="G340" s="2026"/>
      <c r="H340" s="2026"/>
      <c r="I340" s="2026"/>
      <c r="J340" s="2026"/>
      <c r="K340" s="2026"/>
      <c r="L340" s="2026"/>
      <c r="M340" s="2026"/>
      <c r="N340" s="1805"/>
    </row>
    <row r="341" spans="1:14" s="1670" customFormat="1" ht="13.5" thickBot="1" x14ac:dyDescent="0.25">
      <c r="A341" s="2034"/>
      <c r="B341" s="2035"/>
      <c r="C341" s="2036"/>
      <c r="D341" s="2035"/>
      <c r="E341" s="2060"/>
      <c r="F341" s="2035"/>
      <c r="G341" s="2035"/>
      <c r="H341" s="2035"/>
      <c r="I341" s="2035"/>
      <c r="J341" s="2035"/>
      <c r="K341" s="2035"/>
      <c r="L341" s="2035"/>
      <c r="M341" s="2035"/>
      <c r="N341" s="2038"/>
    </row>
    <row r="342" spans="1:14" s="1670" customFormat="1" x14ac:dyDescent="0.2">
      <c r="A342" s="2039"/>
      <c r="B342" s="2040"/>
      <c r="C342" s="2041"/>
      <c r="D342" s="2040"/>
      <c r="E342" s="2059"/>
      <c r="F342" s="2040"/>
      <c r="G342" s="2040"/>
      <c r="H342" s="2040"/>
      <c r="I342" s="2040"/>
      <c r="J342" s="2040"/>
      <c r="K342" s="2040"/>
      <c r="L342" s="2040"/>
      <c r="M342" s="2040"/>
      <c r="N342" s="2043"/>
    </row>
    <row r="343" spans="1:14" s="1670" customFormat="1" x14ac:dyDescent="0.2">
      <c r="A343" s="2030"/>
      <c r="B343" s="2026"/>
      <c r="C343" s="2027"/>
      <c r="D343" s="2026"/>
      <c r="E343" s="2058"/>
      <c r="F343" s="2026"/>
      <c r="G343" s="2026"/>
      <c r="H343" s="2026"/>
      <c r="I343" s="2026"/>
      <c r="J343" s="2026"/>
      <c r="K343" s="2026"/>
      <c r="L343" s="2026"/>
      <c r="M343" s="2026"/>
      <c r="N343" s="1805"/>
    </row>
    <row r="344" spans="1:14" s="1670" customFormat="1" x14ac:dyDescent="0.2">
      <c r="A344" s="2030"/>
      <c r="B344" s="2026"/>
      <c r="C344" s="2027"/>
      <c r="D344" s="2026"/>
      <c r="E344" s="2058"/>
      <c r="F344" s="2026"/>
      <c r="G344" s="2026"/>
      <c r="H344" s="2026"/>
      <c r="I344" s="2026"/>
      <c r="J344" s="2026"/>
      <c r="K344" s="2026"/>
      <c r="L344" s="2026"/>
      <c r="M344" s="2026"/>
      <c r="N344" s="1805"/>
    </row>
    <row r="345" spans="1:14" s="1670" customFormat="1" x14ac:dyDescent="0.2">
      <c r="A345" s="2030"/>
      <c r="B345" s="2026"/>
      <c r="C345" s="2027"/>
      <c r="D345" s="2026"/>
      <c r="E345" s="2058"/>
      <c r="F345" s="2026"/>
      <c r="G345" s="2026"/>
      <c r="H345" s="2026"/>
      <c r="I345" s="2026"/>
      <c r="J345" s="2026"/>
      <c r="K345" s="2026"/>
      <c r="L345" s="2026"/>
      <c r="M345" s="2026"/>
      <c r="N345" s="1805"/>
    </row>
    <row r="346" spans="1:14" s="1670" customFormat="1" x14ac:dyDescent="0.2">
      <c r="A346" s="2030"/>
      <c r="B346" s="2026"/>
      <c r="C346" s="2027"/>
      <c r="D346" s="2026"/>
      <c r="E346" s="2058"/>
      <c r="F346" s="2026"/>
      <c r="G346" s="2026"/>
      <c r="H346" s="2026"/>
      <c r="I346" s="2026"/>
      <c r="J346" s="2026"/>
      <c r="K346" s="2026"/>
      <c r="L346" s="2026"/>
      <c r="M346" s="2026"/>
      <c r="N346" s="1805"/>
    </row>
    <row r="347" spans="1:14" s="1670" customFormat="1" x14ac:dyDescent="0.2">
      <c r="A347" s="2030"/>
      <c r="B347" s="2026"/>
      <c r="C347" s="2027"/>
      <c r="D347" s="2026"/>
      <c r="E347" s="2058"/>
      <c r="F347" s="2026"/>
      <c r="G347" s="2026"/>
      <c r="H347" s="2026"/>
      <c r="I347" s="2026"/>
      <c r="J347" s="2026"/>
      <c r="K347" s="2026"/>
      <c r="L347" s="2026"/>
      <c r="M347" s="2026"/>
      <c r="N347" s="1805"/>
    </row>
    <row r="348" spans="1:14" s="1670" customFormat="1" x14ac:dyDescent="0.2">
      <c r="A348" s="2030"/>
      <c r="B348" s="2026"/>
      <c r="C348" s="2027"/>
      <c r="D348" s="2026"/>
      <c r="E348" s="2058"/>
      <c r="F348" s="2026"/>
      <c r="G348" s="2026"/>
      <c r="H348" s="2026"/>
      <c r="I348" s="2026"/>
      <c r="J348" s="2026"/>
      <c r="K348" s="2026"/>
      <c r="L348" s="2026"/>
      <c r="M348" s="2026"/>
      <c r="N348" s="1805"/>
    </row>
    <row r="349" spans="1:14" s="1670" customFormat="1" x14ac:dyDescent="0.2">
      <c r="A349" s="2030"/>
      <c r="B349" s="2026"/>
      <c r="C349" s="2027"/>
      <c r="D349" s="2026"/>
      <c r="E349" s="2058"/>
      <c r="F349" s="2026"/>
      <c r="G349" s="2026"/>
      <c r="H349" s="2026"/>
      <c r="I349" s="2026"/>
      <c r="J349" s="2026"/>
      <c r="K349" s="2026"/>
      <c r="L349" s="2026"/>
      <c r="M349" s="2026"/>
      <c r="N349" s="1805"/>
    </row>
    <row r="350" spans="1:14" s="1670" customFormat="1" ht="13.5" thickBot="1" x14ac:dyDescent="0.25">
      <c r="A350" s="2034"/>
      <c r="B350" s="2035"/>
      <c r="C350" s="2036"/>
      <c r="D350" s="2035"/>
      <c r="E350" s="2060"/>
      <c r="F350" s="2035"/>
      <c r="G350" s="2035"/>
      <c r="H350" s="2035"/>
      <c r="I350" s="2035"/>
      <c r="J350" s="2035"/>
      <c r="K350" s="2035"/>
      <c r="L350" s="2035"/>
      <c r="M350" s="2035"/>
      <c r="N350" s="2038"/>
    </row>
    <row r="351" spans="1:14" s="1670" customFormat="1" x14ac:dyDescent="0.2">
      <c r="C351" s="2056"/>
      <c r="E351" s="2058"/>
      <c r="N351" s="2056"/>
    </row>
    <row r="352" spans="1:14" s="1670" customFormat="1" x14ac:dyDescent="0.2">
      <c r="C352" s="2056"/>
      <c r="E352" s="2058"/>
      <c r="N352" s="2056"/>
    </row>
    <row r="353" spans="3:14" s="1670" customFormat="1" x14ac:dyDescent="0.2">
      <c r="C353" s="2056"/>
      <c r="E353" s="2058"/>
      <c r="N353" s="2056"/>
    </row>
    <row r="354" spans="3:14" s="1670" customFormat="1" x14ac:dyDescent="0.2">
      <c r="C354" s="2056"/>
      <c r="E354" s="2058"/>
      <c r="N354" s="2056"/>
    </row>
    <row r="355" spans="3:14" s="1670" customFormat="1" x14ac:dyDescent="0.2">
      <c r="C355" s="2056"/>
      <c r="E355" s="2058"/>
      <c r="N355" s="2056"/>
    </row>
    <row r="356" spans="3:14" s="1670" customFormat="1" x14ac:dyDescent="0.2">
      <c r="C356" s="2056"/>
      <c r="E356" s="2058"/>
      <c r="N356" s="2056"/>
    </row>
    <row r="357" spans="3:14" s="1670" customFormat="1" x14ac:dyDescent="0.2">
      <c r="C357" s="2056"/>
      <c r="E357" s="2058"/>
      <c r="N357" s="2056"/>
    </row>
    <row r="358" spans="3:14" s="1670" customFormat="1" x14ac:dyDescent="0.2">
      <c r="C358" s="2056"/>
      <c r="E358" s="2058"/>
      <c r="N358" s="2056"/>
    </row>
    <row r="359" spans="3:14" s="1670" customFormat="1" x14ac:dyDescent="0.2">
      <c r="C359" s="2056"/>
      <c r="E359" s="2058"/>
      <c r="N359" s="2056"/>
    </row>
    <row r="360" spans="3:14" s="1670" customFormat="1" x14ac:dyDescent="0.2">
      <c r="C360" s="2056"/>
      <c r="E360" s="2058"/>
      <c r="N360" s="2056"/>
    </row>
    <row r="361" spans="3:14" s="1670" customFormat="1" x14ac:dyDescent="0.2">
      <c r="C361" s="2056"/>
      <c r="E361" s="2058"/>
      <c r="N361" s="2056"/>
    </row>
    <row r="362" spans="3:14" s="1670" customFormat="1" x14ac:dyDescent="0.2">
      <c r="C362" s="2056"/>
      <c r="E362" s="2058"/>
      <c r="N362" s="2056"/>
    </row>
    <row r="363" spans="3:14" s="1670" customFormat="1" x14ac:dyDescent="0.2">
      <c r="C363" s="2056"/>
      <c r="E363" s="2058"/>
      <c r="N363" s="2056"/>
    </row>
    <row r="364" spans="3:14" s="1670" customFormat="1" x14ac:dyDescent="0.2">
      <c r="C364" s="2056"/>
      <c r="E364" s="2058"/>
      <c r="N364" s="2056"/>
    </row>
    <row r="365" spans="3:14" s="1670" customFormat="1" x14ac:dyDescent="0.2">
      <c r="C365" s="2056"/>
      <c r="E365" s="2058"/>
      <c r="N365" s="2056"/>
    </row>
    <row r="366" spans="3:14" s="1670" customFormat="1" x14ac:dyDescent="0.2">
      <c r="C366" s="2056"/>
      <c r="E366" s="2058"/>
      <c r="N366" s="2056"/>
    </row>
    <row r="367" spans="3:14" s="1670" customFormat="1" x14ac:dyDescent="0.2">
      <c r="C367" s="2056"/>
      <c r="E367" s="2058"/>
      <c r="N367" s="2056"/>
    </row>
    <row r="368" spans="3:14" s="1670" customFormat="1" x14ac:dyDescent="0.2">
      <c r="C368" s="2056"/>
      <c r="E368" s="2058"/>
      <c r="N368" s="2056"/>
    </row>
    <row r="369" spans="1:14" s="1670" customFormat="1" ht="13.5" thickBot="1" x14ac:dyDescent="0.25">
      <c r="C369" s="2056"/>
      <c r="E369" s="2058"/>
      <c r="N369" s="2056"/>
    </row>
    <row r="370" spans="1:14" s="1670" customFormat="1" x14ac:dyDescent="0.2">
      <c r="A370" s="2039"/>
      <c r="B370" s="2040"/>
      <c r="C370" s="2041"/>
      <c r="D370" s="2040"/>
      <c r="E370" s="2059"/>
      <c r="F370" s="2040"/>
      <c r="G370" s="2040"/>
      <c r="H370" s="2040"/>
      <c r="I370" s="2040"/>
      <c r="J370" s="2040"/>
      <c r="K370" s="2040"/>
      <c r="L370" s="2040"/>
      <c r="M370" s="2040"/>
      <c r="N370" s="2043"/>
    </row>
    <row r="371" spans="1:14" s="1670" customFormat="1" x14ac:dyDescent="0.2">
      <c r="A371" s="2030"/>
      <c r="B371" s="2026"/>
      <c r="C371" s="2027"/>
      <c r="D371" s="2026"/>
      <c r="E371" s="2058"/>
      <c r="F371" s="2026"/>
      <c r="G371" s="2026"/>
      <c r="H371" s="2026"/>
      <c r="I371" s="2026"/>
      <c r="J371" s="2026"/>
      <c r="K371" s="2026"/>
      <c r="L371" s="2026"/>
      <c r="M371" s="2026"/>
      <c r="N371" s="1805"/>
    </row>
    <row r="372" spans="1:14" s="1670" customFormat="1" x14ac:dyDescent="0.2">
      <c r="A372" s="2030"/>
      <c r="B372" s="2026"/>
      <c r="C372" s="2027"/>
      <c r="D372" s="2026"/>
      <c r="E372" s="2058"/>
      <c r="F372" s="2026"/>
      <c r="G372" s="2026"/>
      <c r="H372" s="2026"/>
      <c r="I372" s="2026"/>
      <c r="J372" s="2026"/>
      <c r="K372" s="2026"/>
      <c r="L372" s="2026"/>
      <c r="M372" s="2026"/>
      <c r="N372" s="1805"/>
    </row>
    <row r="373" spans="1:14" s="1670" customFormat="1" x14ac:dyDescent="0.2">
      <c r="A373" s="2030"/>
      <c r="B373" s="2026"/>
      <c r="C373" s="2027"/>
      <c r="D373" s="2026"/>
      <c r="E373" s="2058"/>
      <c r="F373" s="2026"/>
      <c r="G373" s="2026"/>
      <c r="H373" s="2026"/>
      <c r="I373" s="2026"/>
      <c r="J373" s="2026"/>
      <c r="K373" s="2026"/>
      <c r="L373" s="2026"/>
      <c r="M373" s="2026"/>
      <c r="N373" s="1805"/>
    </row>
    <row r="374" spans="1:14" s="1670" customFormat="1" x14ac:dyDescent="0.2">
      <c r="A374" s="2030"/>
      <c r="B374" s="2026"/>
      <c r="C374" s="2027"/>
      <c r="D374" s="2026"/>
      <c r="E374" s="2058"/>
      <c r="F374" s="2026"/>
      <c r="G374" s="2026"/>
      <c r="H374" s="2026"/>
      <c r="I374" s="2026"/>
      <c r="J374" s="2026"/>
      <c r="K374" s="2026"/>
      <c r="L374" s="2026"/>
      <c r="M374" s="2026"/>
      <c r="N374" s="1805"/>
    </row>
    <row r="375" spans="1:14" s="1670" customFormat="1" x14ac:dyDescent="0.2">
      <c r="A375" s="2030"/>
      <c r="B375" s="2026"/>
      <c r="C375" s="2027"/>
      <c r="D375" s="2026"/>
      <c r="E375" s="2058"/>
      <c r="F375" s="2026"/>
      <c r="G375" s="2026"/>
      <c r="H375" s="2026"/>
      <c r="I375" s="2026"/>
      <c r="J375" s="2026"/>
      <c r="K375" s="2026"/>
      <c r="L375" s="2026"/>
      <c r="M375" s="2026"/>
      <c r="N375" s="1805"/>
    </row>
    <row r="376" spans="1:14" s="1670" customFormat="1" x14ac:dyDescent="0.2">
      <c r="A376" s="2030"/>
      <c r="B376" s="2026"/>
      <c r="C376" s="2027"/>
      <c r="D376" s="2026"/>
      <c r="E376" s="2058"/>
      <c r="F376" s="2026"/>
      <c r="G376" s="2026"/>
      <c r="H376" s="2026"/>
      <c r="I376" s="2026"/>
      <c r="J376" s="2026"/>
      <c r="K376" s="2026"/>
      <c r="L376" s="2026"/>
      <c r="M376" s="2026"/>
      <c r="N376" s="1805"/>
    </row>
    <row r="377" spans="1:14" s="1670" customFormat="1" x14ac:dyDescent="0.2">
      <c r="A377" s="2030"/>
      <c r="B377" s="2026"/>
      <c r="C377" s="2027"/>
      <c r="D377" s="2026"/>
      <c r="E377" s="2058"/>
      <c r="F377" s="2026"/>
      <c r="G377" s="2026"/>
      <c r="H377" s="2026"/>
      <c r="I377" s="2026"/>
      <c r="J377" s="2026"/>
      <c r="K377" s="2026"/>
      <c r="L377" s="2026"/>
      <c r="M377" s="2026"/>
      <c r="N377" s="1805"/>
    </row>
    <row r="378" spans="1:14" s="1670" customFormat="1" ht="13.5" thickBot="1" x14ac:dyDescent="0.25">
      <c r="A378" s="2034"/>
      <c r="B378" s="2035"/>
      <c r="C378" s="2036"/>
      <c r="D378" s="2035"/>
      <c r="E378" s="2060"/>
      <c r="F378" s="2035"/>
      <c r="G378" s="2035"/>
      <c r="H378" s="2035"/>
      <c r="I378" s="2035"/>
      <c r="J378" s="2035"/>
      <c r="K378" s="2035"/>
      <c r="L378" s="2035"/>
      <c r="M378" s="2035"/>
      <c r="N378" s="2038"/>
    </row>
    <row r="379" spans="1:14" s="1670" customFormat="1" x14ac:dyDescent="0.2">
      <c r="C379" s="2056"/>
      <c r="E379" s="2058"/>
      <c r="N379" s="2056"/>
    </row>
    <row r="380" spans="1:14" s="1670" customFormat="1" x14ac:dyDescent="0.2">
      <c r="C380" s="2056"/>
      <c r="E380" s="2058"/>
      <c r="N380" s="2056"/>
    </row>
    <row r="381" spans="1:14" s="1670" customFormat="1" x14ac:dyDescent="0.2">
      <c r="C381" s="2056"/>
      <c r="E381" s="2058"/>
      <c r="N381" s="2056"/>
    </row>
    <row r="382" spans="1:14" s="1670" customFormat="1" x14ac:dyDescent="0.2">
      <c r="C382" s="2056"/>
      <c r="E382" s="2058"/>
      <c r="N382" s="2056"/>
    </row>
    <row r="383" spans="1:14" s="1670" customFormat="1" x14ac:dyDescent="0.2">
      <c r="C383" s="2056"/>
      <c r="E383" s="2058"/>
      <c r="N383" s="2056"/>
    </row>
    <row r="384" spans="1:14" s="1670" customFormat="1" x14ac:dyDescent="0.2">
      <c r="C384" s="2056"/>
      <c r="E384" s="2058"/>
      <c r="N384" s="2056"/>
    </row>
    <row r="385" spans="1:14" s="1670" customFormat="1" x14ac:dyDescent="0.2">
      <c r="C385" s="2056"/>
      <c r="E385" s="2058"/>
      <c r="N385" s="2056"/>
    </row>
    <row r="386" spans="1:14" s="1670" customFormat="1" x14ac:dyDescent="0.2">
      <c r="C386" s="2056"/>
      <c r="E386" s="2058"/>
      <c r="N386" s="2056"/>
    </row>
    <row r="387" spans="1:14" s="1670" customFormat="1" ht="13.5" thickBot="1" x14ac:dyDescent="0.25">
      <c r="C387" s="2056"/>
      <c r="E387" s="2058"/>
      <c r="N387" s="2056"/>
    </row>
    <row r="388" spans="1:14" s="1670" customFormat="1" x14ac:dyDescent="0.2">
      <c r="A388" s="2039"/>
      <c r="B388" s="2040"/>
      <c r="C388" s="2041"/>
      <c r="D388" s="2040"/>
      <c r="E388" s="2059"/>
      <c r="F388" s="2040"/>
      <c r="G388" s="2040"/>
      <c r="H388" s="2040"/>
      <c r="I388" s="2040"/>
      <c r="J388" s="2040"/>
      <c r="K388" s="2040"/>
      <c r="L388" s="2040"/>
      <c r="M388" s="2040"/>
      <c r="N388" s="2043"/>
    </row>
    <row r="389" spans="1:14" s="1670" customFormat="1" x14ac:dyDescent="0.2">
      <c r="A389" s="2030"/>
      <c r="B389" s="2026"/>
      <c r="C389" s="2027"/>
      <c r="D389" s="2026"/>
      <c r="E389" s="2058"/>
      <c r="F389" s="2026"/>
      <c r="G389" s="2026"/>
      <c r="H389" s="2026"/>
      <c r="I389" s="2026"/>
      <c r="J389" s="2026"/>
      <c r="K389" s="2026"/>
      <c r="L389" s="2026"/>
      <c r="M389" s="2026"/>
      <c r="N389" s="1805"/>
    </row>
    <row r="390" spans="1:14" s="1670" customFormat="1" x14ac:dyDescent="0.2">
      <c r="A390" s="2030"/>
      <c r="B390" s="2026"/>
      <c r="C390" s="2027"/>
      <c r="D390" s="2026"/>
      <c r="E390" s="2058"/>
      <c r="F390" s="2026"/>
      <c r="G390" s="2026"/>
      <c r="H390" s="2026"/>
      <c r="I390" s="2026"/>
      <c r="J390" s="2026"/>
      <c r="K390" s="2026"/>
      <c r="L390" s="2026"/>
      <c r="M390" s="2026"/>
      <c r="N390" s="1805"/>
    </row>
    <row r="391" spans="1:14" s="1670" customFormat="1" x14ac:dyDescent="0.2">
      <c r="A391" s="2030"/>
      <c r="B391" s="2026"/>
      <c r="C391" s="2027"/>
      <c r="D391" s="2026"/>
      <c r="E391" s="2058"/>
      <c r="F391" s="2026"/>
      <c r="G391" s="2026"/>
      <c r="H391" s="2026"/>
      <c r="I391" s="2026"/>
      <c r="J391" s="2026"/>
      <c r="K391" s="2026"/>
      <c r="L391" s="2026"/>
      <c r="M391" s="2026"/>
      <c r="N391" s="1805"/>
    </row>
    <row r="392" spans="1:14" s="1670" customFormat="1" x14ac:dyDescent="0.2">
      <c r="A392" s="2030"/>
      <c r="B392" s="2026"/>
      <c r="C392" s="2027"/>
      <c r="D392" s="2026"/>
      <c r="E392" s="2058"/>
      <c r="F392" s="2026"/>
      <c r="G392" s="2026"/>
      <c r="H392" s="2026"/>
      <c r="I392" s="2026"/>
      <c r="J392" s="2026"/>
      <c r="K392" s="2026"/>
      <c r="L392" s="2026"/>
      <c r="M392" s="2026"/>
      <c r="N392" s="1805"/>
    </row>
    <row r="393" spans="1:14" s="1670" customFormat="1" x14ac:dyDescent="0.2">
      <c r="A393" s="2030"/>
      <c r="B393" s="2026"/>
      <c r="C393" s="2027"/>
      <c r="D393" s="2026"/>
      <c r="E393" s="2058"/>
      <c r="F393" s="2026"/>
      <c r="G393" s="2026"/>
      <c r="H393" s="2026"/>
      <c r="I393" s="2026"/>
      <c r="J393" s="2026"/>
      <c r="K393" s="2026"/>
      <c r="L393" s="2026"/>
      <c r="M393" s="2026"/>
      <c r="N393" s="1805"/>
    </row>
    <row r="394" spans="1:14" s="1670" customFormat="1" x14ac:dyDescent="0.2">
      <c r="A394" s="2030"/>
      <c r="B394" s="2026"/>
      <c r="C394" s="2027"/>
      <c r="D394" s="2026"/>
      <c r="E394" s="2058"/>
      <c r="F394" s="2026"/>
      <c r="G394" s="2026"/>
      <c r="H394" s="2026"/>
      <c r="I394" s="2026"/>
      <c r="J394" s="2026"/>
      <c r="K394" s="2026"/>
      <c r="L394" s="2026"/>
      <c r="M394" s="2026"/>
      <c r="N394" s="1805"/>
    </row>
    <row r="395" spans="1:14" s="1670" customFormat="1" x14ac:dyDescent="0.2">
      <c r="A395" s="2030"/>
      <c r="B395" s="2026"/>
      <c r="C395" s="2027"/>
      <c r="D395" s="2026"/>
      <c r="E395" s="2058"/>
      <c r="F395" s="2026"/>
      <c r="G395" s="2026"/>
      <c r="H395" s="2026"/>
      <c r="I395" s="2026"/>
      <c r="J395" s="2026"/>
      <c r="K395" s="2026"/>
      <c r="L395" s="2026"/>
      <c r="M395" s="2026"/>
      <c r="N395" s="1805"/>
    </row>
    <row r="396" spans="1:14" s="1670" customFormat="1" ht="13.5" thickBot="1" x14ac:dyDescent="0.25">
      <c r="A396" s="2034"/>
      <c r="B396" s="2035"/>
      <c r="C396" s="2036"/>
      <c r="D396" s="2035"/>
      <c r="E396" s="2060"/>
      <c r="F396" s="2035"/>
      <c r="G396" s="2035"/>
      <c r="H396" s="2035"/>
      <c r="I396" s="2035"/>
      <c r="J396" s="2035"/>
      <c r="K396" s="2035"/>
      <c r="L396" s="2035"/>
      <c r="M396" s="2035"/>
      <c r="N396" s="2038"/>
    </row>
    <row r="397" spans="1:14" s="1670" customFormat="1" x14ac:dyDescent="0.2">
      <c r="C397" s="2056"/>
      <c r="E397" s="2058"/>
      <c r="N397" s="2056"/>
    </row>
    <row r="398" spans="1:14" s="1670" customFormat="1" x14ac:dyDescent="0.2">
      <c r="C398" s="2056"/>
      <c r="E398" s="2058"/>
      <c r="N398" s="2056"/>
    </row>
    <row r="399" spans="1:14" s="1670" customFormat="1" x14ac:dyDescent="0.2">
      <c r="C399" s="2056"/>
      <c r="E399" s="2058"/>
      <c r="N399" s="2056"/>
    </row>
    <row r="400" spans="1:14" s="1670" customFormat="1" x14ac:dyDescent="0.2">
      <c r="C400" s="2056"/>
      <c r="E400" s="2058"/>
      <c r="N400" s="2056"/>
    </row>
    <row r="401" spans="3:14" s="1670" customFormat="1" x14ac:dyDescent="0.2">
      <c r="C401" s="2056"/>
      <c r="E401" s="2058"/>
      <c r="N401" s="2056"/>
    </row>
    <row r="402" spans="3:14" s="1670" customFormat="1" x14ac:dyDescent="0.2">
      <c r="C402" s="2056"/>
      <c r="E402" s="2058"/>
      <c r="N402" s="2056"/>
    </row>
    <row r="403" spans="3:14" s="1670" customFormat="1" x14ac:dyDescent="0.2">
      <c r="C403" s="2056"/>
      <c r="E403" s="2058"/>
      <c r="N403" s="2056"/>
    </row>
    <row r="404" spans="3:14" s="1670" customFormat="1" x14ac:dyDescent="0.2">
      <c r="C404" s="2056"/>
      <c r="E404" s="2058"/>
      <c r="N404" s="2056"/>
    </row>
    <row r="405" spans="3:14" s="1670" customFormat="1" x14ac:dyDescent="0.2">
      <c r="C405" s="2056"/>
      <c r="E405" s="2058"/>
      <c r="N405" s="2056"/>
    </row>
    <row r="406" spans="3:14" s="1670" customFormat="1" x14ac:dyDescent="0.2">
      <c r="C406" s="2056"/>
      <c r="E406" s="2058"/>
      <c r="N406" s="2056"/>
    </row>
    <row r="407" spans="3:14" s="1670" customFormat="1" x14ac:dyDescent="0.2">
      <c r="C407" s="2056"/>
      <c r="E407" s="2058"/>
      <c r="N407" s="2056"/>
    </row>
    <row r="408" spans="3:14" s="1670" customFormat="1" x14ac:dyDescent="0.2">
      <c r="C408" s="2056"/>
      <c r="E408" s="2058"/>
      <c r="N408" s="2056"/>
    </row>
    <row r="409" spans="3:14" s="1670" customFormat="1" x14ac:dyDescent="0.2">
      <c r="C409" s="2056"/>
      <c r="E409" s="2058"/>
      <c r="N409" s="2056"/>
    </row>
    <row r="410" spans="3:14" s="1670" customFormat="1" x14ac:dyDescent="0.2">
      <c r="C410" s="2056"/>
      <c r="E410" s="2058"/>
      <c r="N410" s="2056"/>
    </row>
    <row r="411" spans="3:14" s="1670" customFormat="1" x14ac:dyDescent="0.2">
      <c r="C411" s="2056"/>
      <c r="E411" s="2058"/>
      <c r="N411" s="2056"/>
    </row>
    <row r="412" spans="3:14" s="1670" customFormat="1" x14ac:dyDescent="0.2">
      <c r="C412" s="2056"/>
      <c r="E412" s="2058"/>
      <c r="N412" s="2056"/>
    </row>
    <row r="413" spans="3:14" s="1670" customFormat="1" x14ac:dyDescent="0.2">
      <c r="C413" s="2056"/>
      <c r="E413" s="2058"/>
      <c r="N413" s="2056"/>
    </row>
    <row r="414" spans="3:14" s="1670" customFormat="1" x14ac:dyDescent="0.2">
      <c r="C414" s="2056"/>
      <c r="E414" s="2058"/>
      <c r="N414" s="2056"/>
    </row>
    <row r="415" spans="3:14" s="1670" customFormat="1" x14ac:dyDescent="0.2">
      <c r="C415" s="2056"/>
      <c r="E415" s="2058"/>
      <c r="N415" s="2056"/>
    </row>
    <row r="416" spans="3:14" s="1670" customFormat="1" x14ac:dyDescent="0.2">
      <c r="C416" s="2056"/>
      <c r="E416" s="2058"/>
      <c r="N416" s="2056"/>
    </row>
    <row r="417" spans="1:14" s="1670" customFormat="1" x14ac:dyDescent="0.2">
      <c r="C417" s="2056"/>
      <c r="E417" s="2058"/>
      <c r="N417" s="2056"/>
    </row>
    <row r="418" spans="1:14" s="1670" customFormat="1" x14ac:dyDescent="0.2">
      <c r="C418" s="2056"/>
      <c r="E418" s="2058"/>
      <c r="N418" s="2056"/>
    </row>
    <row r="419" spans="1:14" s="1670" customFormat="1" x14ac:dyDescent="0.2">
      <c r="C419" s="2056"/>
      <c r="E419" s="2058"/>
      <c r="N419" s="2056"/>
    </row>
    <row r="420" spans="1:14" s="1670" customFormat="1" x14ac:dyDescent="0.2">
      <c r="C420" s="2056"/>
      <c r="E420" s="2058"/>
      <c r="N420" s="2056"/>
    </row>
    <row r="421" spans="1:14" s="1670" customFormat="1" x14ac:dyDescent="0.2">
      <c r="C421" s="2056"/>
      <c r="E421" s="2058"/>
      <c r="N421" s="2056"/>
    </row>
    <row r="422" spans="1:14" s="1670" customFormat="1" x14ac:dyDescent="0.2">
      <c r="C422" s="2056"/>
      <c r="E422" s="2058"/>
      <c r="N422" s="2056"/>
    </row>
    <row r="423" spans="1:14" s="1670" customFormat="1" ht="13.5" thickBot="1" x14ac:dyDescent="0.25">
      <c r="C423" s="2056"/>
      <c r="E423" s="2058"/>
      <c r="N423" s="2056"/>
    </row>
    <row r="424" spans="1:14" s="1670" customFormat="1" x14ac:dyDescent="0.2">
      <c r="A424" s="2039"/>
      <c r="B424" s="2040"/>
      <c r="C424" s="2041"/>
      <c r="D424" s="2040"/>
      <c r="E424" s="2059"/>
      <c r="F424" s="2040"/>
      <c r="G424" s="2040"/>
      <c r="H424" s="2040"/>
      <c r="I424" s="2040"/>
      <c r="J424" s="2040"/>
      <c r="K424" s="2040"/>
      <c r="L424" s="2040"/>
      <c r="M424" s="2040"/>
      <c r="N424" s="2043"/>
    </row>
    <row r="425" spans="1:14" s="1670" customFormat="1" x14ac:dyDescent="0.2">
      <c r="A425" s="2030"/>
      <c r="B425" s="2026"/>
      <c r="C425" s="2027"/>
      <c r="D425" s="2026"/>
      <c r="E425" s="2058"/>
      <c r="F425" s="2026"/>
      <c r="G425" s="2026"/>
      <c r="H425" s="2026"/>
      <c r="I425" s="2026"/>
      <c r="J425" s="2026"/>
      <c r="K425" s="2026"/>
      <c r="L425" s="2026"/>
      <c r="M425" s="2026"/>
      <c r="N425" s="1805"/>
    </row>
    <row r="426" spans="1:14" s="1670" customFormat="1" x14ac:dyDescent="0.2">
      <c r="A426" s="2030"/>
      <c r="B426" s="2026"/>
      <c r="C426" s="2027"/>
      <c r="D426" s="2026"/>
      <c r="E426" s="2058"/>
      <c r="F426" s="2026"/>
      <c r="G426" s="2026"/>
      <c r="H426" s="2026"/>
      <c r="I426" s="2026"/>
      <c r="J426" s="2026"/>
      <c r="K426" s="2026"/>
      <c r="L426" s="2026"/>
      <c r="M426" s="2026"/>
      <c r="N426" s="1805"/>
    </row>
    <row r="427" spans="1:14" s="1670" customFormat="1" x14ac:dyDescent="0.2">
      <c r="A427" s="2030"/>
      <c r="B427" s="2026"/>
      <c r="C427" s="2027"/>
      <c r="D427" s="2026"/>
      <c r="E427" s="2058"/>
      <c r="F427" s="2026"/>
      <c r="G427" s="2026"/>
      <c r="H427" s="2026"/>
      <c r="I427" s="2026"/>
      <c r="J427" s="2026"/>
      <c r="K427" s="2026"/>
      <c r="L427" s="2026"/>
      <c r="M427" s="2026"/>
      <c r="N427" s="1805"/>
    </row>
    <row r="428" spans="1:14" s="1670" customFormat="1" x14ac:dyDescent="0.2">
      <c r="A428" s="2030"/>
      <c r="B428" s="2026"/>
      <c r="C428" s="2027"/>
      <c r="D428" s="2026"/>
      <c r="E428" s="2058"/>
      <c r="F428" s="2026"/>
      <c r="G428" s="2026"/>
      <c r="H428" s="2026"/>
      <c r="I428" s="2026"/>
      <c r="J428" s="2026"/>
      <c r="K428" s="2026"/>
      <c r="L428" s="2026"/>
      <c r="M428" s="2026"/>
      <c r="N428" s="1805"/>
    </row>
    <row r="429" spans="1:14" s="1670" customFormat="1" x14ac:dyDescent="0.2">
      <c r="A429" s="2030"/>
      <c r="B429" s="2026"/>
      <c r="C429" s="2027"/>
      <c r="D429" s="2026"/>
      <c r="E429" s="2058"/>
      <c r="F429" s="2026"/>
      <c r="G429" s="2026"/>
      <c r="H429" s="2026"/>
      <c r="I429" s="2026"/>
      <c r="J429" s="2026"/>
      <c r="K429" s="2026"/>
      <c r="L429" s="2026"/>
      <c r="M429" s="2026"/>
      <c r="N429" s="1805"/>
    </row>
    <row r="430" spans="1:14" s="1670" customFormat="1" x14ac:dyDescent="0.2">
      <c r="A430" s="2030"/>
      <c r="B430" s="2026"/>
      <c r="C430" s="2027"/>
      <c r="D430" s="2026"/>
      <c r="E430" s="2058"/>
      <c r="F430" s="2026"/>
      <c r="G430" s="2026"/>
      <c r="H430" s="2026"/>
      <c r="I430" s="2026"/>
      <c r="J430" s="2026"/>
      <c r="K430" s="2026"/>
      <c r="L430" s="2026"/>
      <c r="M430" s="2026"/>
      <c r="N430" s="1805"/>
    </row>
    <row r="431" spans="1:14" s="1670" customFormat="1" x14ac:dyDescent="0.2">
      <c r="A431" s="2030"/>
      <c r="B431" s="2026"/>
      <c r="C431" s="2027"/>
      <c r="D431" s="2026"/>
      <c r="E431" s="2058"/>
      <c r="F431" s="2026"/>
      <c r="G431" s="2026"/>
      <c r="H431" s="2026"/>
      <c r="I431" s="2026"/>
      <c r="J431" s="2026"/>
      <c r="K431" s="2026"/>
      <c r="L431" s="2026"/>
      <c r="M431" s="2026"/>
      <c r="N431" s="1805"/>
    </row>
    <row r="432" spans="1:14" s="1670" customFormat="1" x14ac:dyDescent="0.2">
      <c r="A432" s="2030"/>
      <c r="B432" s="2026"/>
      <c r="C432" s="2027"/>
      <c r="D432" s="2026"/>
      <c r="E432" s="2058"/>
      <c r="F432" s="2026"/>
      <c r="G432" s="2026"/>
      <c r="H432" s="2026"/>
      <c r="I432" s="2026"/>
      <c r="J432" s="2026"/>
      <c r="K432" s="2026"/>
      <c r="L432" s="2026"/>
      <c r="M432" s="2026"/>
      <c r="N432" s="1805"/>
    </row>
    <row r="433" spans="1:14" s="1670" customFormat="1" x14ac:dyDescent="0.2">
      <c r="A433" s="2030"/>
      <c r="B433" s="2026"/>
      <c r="C433" s="2027"/>
      <c r="D433" s="2026"/>
      <c r="E433" s="2058"/>
      <c r="F433" s="2026"/>
      <c r="G433" s="2026"/>
      <c r="H433" s="2026"/>
      <c r="I433" s="2026"/>
      <c r="J433" s="2026"/>
      <c r="K433" s="2026"/>
      <c r="L433" s="2026"/>
      <c r="M433" s="2026"/>
      <c r="N433" s="1805"/>
    </row>
    <row r="434" spans="1:14" s="1670" customFormat="1" x14ac:dyDescent="0.2">
      <c r="A434" s="2030"/>
      <c r="B434" s="2026"/>
      <c r="C434" s="2027"/>
      <c r="D434" s="2026"/>
      <c r="E434" s="2058"/>
      <c r="F434" s="2026"/>
      <c r="G434" s="2026"/>
      <c r="H434" s="2026"/>
      <c r="I434" s="2026"/>
      <c r="J434" s="2026"/>
      <c r="K434" s="2026"/>
      <c r="L434" s="2026"/>
      <c r="M434" s="2026"/>
      <c r="N434" s="1805"/>
    </row>
    <row r="435" spans="1:14" s="1670" customFormat="1" x14ac:dyDescent="0.2">
      <c r="A435" s="2030"/>
      <c r="B435" s="2026"/>
      <c r="C435" s="2027"/>
      <c r="D435" s="2026"/>
      <c r="E435" s="2058"/>
      <c r="F435" s="2026"/>
      <c r="G435" s="2026"/>
      <c r="H435" s="2026"/>
      <c r="I435" s="2026"/>
      <c r="J435" s="2026"/>
      <c r="K435" s="2026"/>
      <c r="L435" s="2026"/>
      <c r="M435" s="2026"/>
      <c r="N435" s="1805"/>
    </row>
    <row r="436" spans="1:14" s="1670" customFormat="1" x14ac:dyDescent="0.2">
      <c r="A436" s="2030"/>
      <c r="B436" s="2026"/>
      <c r="C436" s="2027"/>
      <c r="D436" s="2026"/>
      <c r="E436" s="2058"/>
      <c r="F436" s="2026"/>
      <c r="G436" s="2026"/>
      <c r="H436" s="2026"/>
      <c r="I436" s="2026"/>
      <c r="J436" s="2026"/>
      <c r="K436" s="2026"/>
      <c r="L436" s="2026"/>
      <c r="M436" s="2026"/>
      <c r="N436" s="1805"/>
    </row>
    <row r="437" spans="1:14" s="1670" customFormat="1" ht="13.5" thickBot="1" x14ac:dyDescent="0.25">
      <c r="A437" s="2034"/>
      <c r="B437" s="2035"/>
      <c r="C437" s="2036"/>
      <c r="D437" s="2035"/>
      <c r="E437" s="2060"/>
      <c r="F437" s="2035"/>
      <c r="G437" s="2035"/>
      <c r="H437" s="2035"/>
      <c r="I437" s="2035"/>
      <c r="J437" s="2035"/>
      <c r="K437" s="2035"/>
      <c r="L437" s="2035"/>
      <c r="M437" s="2035"/>
      <c r="N437" s="2038"/>
    </row>
    <row r="438" spans="1:14" s="1670" customFormat="1" x14ac:dyDescent="0.2">
      <c r="A438" s="2039"/>
      <c r="B438" s="2040"/>
      <c r="C438" s="2041"/>
      <c r="D438" s="2040"/>
      <c r="E438" s="2059"/>
      <c r="F438" s="2040"/>
      <c r="G438" s="2040"/>
      <c r="H438" s="2040"/>
      <c r="I438" s="2040"/>
      <c r="J438" s="2040"/>
      <c r="K438" s="2040"/>
      <c r="L438" s="2040"/>
      <c r="M438" s="2040"/>
      <c r="N438" s="2043"/>
    </row>
    <row r="439" spans="1:14" s="1670" customFormat="1" x14ac:dyDescent="0.2">
      <c r="A439" s="2030"/>
      <c r="B439" s="2026"/>
      <c r="C439" s="2027"/>
      <c r="D439" s="2026"/>
      <c r="E439" s="2058"/>
      <c r="F439" s="2026"/>
      <c r="G439" s="2026"/>
      <c r="H439" s="2026"/>
      <c r="I439" s="2026"/>
      <c r="J439" s="2026"/>
      <c r="K439" s="2026"/>
      <c r="L439" s="2026"/>
      <c r="M439" s="2026"/>
      <c r="N439" s="1805"/>
    </row>
    <row r="440" spans="1:14" s="1670" customFormat="1" x14ac:dyDescent="0.2">
      <c r="A440" s="2030"/>
      <c r="B440" s="2026"/>
      <c r="C440" s="2027"/>
      <c r="D440" s="2026"/>
      <c r="E440" s="2058"/>
      <c r="F440" s="2026"/>
      <c r="G440" s="2026"/>
      <c r="H440" s="2026"/>
      <c r="I440" s="2026"/>
      <c r="J440" s="2026"/>
      <c r="K440" s="2026"/>
      <c r="L440" s="2026"/>
      <c r="M440" s="2026"/>
      <c r="N440" s="1805"/>
    </row>
    <row r="441" spans="1:14" s="1670" customFormat="1" x14ac:dyDescent="0.2">
      <c r="A441" s="2030"/>
      <c r="B441" s="2026"/>
      <c r="C441" s="2027"/>
      <c r="D441" s="2026"/>
      <c r="E441" s="2058"/>
      <c r="F441" s="2026"/>
      <c r="G441" s="2026"/>
      <c r="H441" s="2026"/>
      <c r="I441" s="2026"/>
      <c r="J441" s="2026"/>
      <c r="K441" s="2026"/>
      <c r="L441" s="2026"/>
      <c r="M441" s="2026"/>
      <c r="N441" s="1805"/>
    </row>
    <row r="442" spans="1:14" s="1670" customFormat="1" x14ac:dyDescent="0.2">
      <c r="A442" s="2030"/>
      <c r="B442" s="2026"/>
      <c r="C442" s="2027"/>
      <c r="D442" s="2026"/>
      <c r="E442" s="2058"/>
      <c r="F442" s="2026"/>
      <c r="G442" s="2026"/>
      <c r="H442" s="2026"/>
      <c r="I442" s="2026"/>
      <c r="J442" s="2026"/>
      <c r="K442" s="2026"/>
      <c r="L442" s="2026"/>
      <c r="M442" s="2026"/>
      <c r="N442" s="1805"/>
    </row>
    <row r="443" spans="1:14" s="1670" customFormat="1" x14ac:dyDescent="0.2">
      <c r="A443" s="2030"/>
      <c r="B443" s="2026"/>
      <c r="C443" s="2027"/>
      <c r="D443" s="2026"/>
      <c r="E443" s="2058"/>
      <c r="F443" s="2026"/>
      <c r="G443" s="2026"/>
      <c r="H443" s="2026"/>
      <c r="I443" s="2026"/>
      <c r="J443" s="2026"/>
      <c r="K443" s="2026"/>
      <c r="L443" s="2026"/>
      <c r="M443" s="2026"/>
      <c r="N443" s="1805"/>
    </row>
    <row r="444" spans="1:14" s="1670" customFormat="1" x14ac:dyDescent="0.2">
      <c r="A444" s="2030"/>
      <c r="B444" s="2026"/>
      <c r="C444" s="2027"/>
      <c r="D444" s="2026"/>
      <c r="E444" s="2058"/>
      <c r="F444" s="2026"/>
      <c r="G444" s="2026"/>
      <c r="H444" s="2026"/>
      <c r="I444" s="2026"/>
      <c r="J444" s="2026"/>
      <c r="K444" s="2026"/>
      <c r="L444" s="2026"/>
      <c r="M444" s="2026"/>
      <c r="N444" s="1805"/>
    </row>
    <row r="445" spans="1:14" s="1670" customFormat="1" x14ac:dyDescent="0.2">
      <c r="A445" s="2030"/>
      <c r="B445" s="2026"/>
      <c r="C445" s="2027"/>
      <c r="D445" s="2026"/>
      <c r="E445" s="2058"/>
      <c r="F445" s="2026"/>
      <c r="G445" s="2026"/>
      <c r="H445" s="2026"/>
      <c r="I445" s="2026"/>
      <c r="J445" s="2026"/>
      <c r="K445" s="2026"/>
      <c r="L445" s="2026"/>
      <c r="M445" s="2026"/>
      <c r="N445" s="1805"/>
    </row>
    <row r="446" spans="1:14" s="1670" customFormat="1" x14ac:dyDescent="0.2">
      <c r="A446" s="2030"/>
      <c r="B446" s="2026"/>
      <c r="C446" s="2027"/>
      <c r="D446" s="2026"/>
      <c r="E446" s="2058"/>
      <c r="F446" s="2026"/>
      <c r="G446" s="2026"/>
      <c r="H446" s="2026"/>
      <c r="I446" s="2026"/>
      <c r="J446" s="2026"/>
      <c r="K446" s="2026"/>
      <c r="L446" s="2026"/>
      <c r="M446" s="2026"/>
      <c r="N446" s="1805"/>
    </row>
    <row r="447" spans="1:14" s="1670" customFormat="1" x14ac:dyDescent="0.2">
      <c r="A447" s="2030"/>
      <c r="B447" s="2026"/>
      <c r="C447" s="2027"/>
      <c r="D447" s="2026"/>
      <c r="E447" s="2058"/>
      <c r="F447" s="2026"/>
      <c r="G447" s="2026"/>
      <c r="H447" s="2026"/>
      <c r="I447" s="2026"/>
      <c r="J447" s="2026"/>
      <c r="K447" s="2026"/>
      <c r="L447" s="2026"/>
      <c r="M447" s="2026"/>
      <c r="N447" s="1805"/>
    </row>
    <row r="448" spans="1:14" s="1670" customFormat="1" x14ac:dyDescent="0.2">
      <c r="A448" s="2030"/>
      <c r="B448" s="2026"/>
      <c r="C448" s="2027"/>
      <c r="D448" s="2026"/>
      <c r="E448" s="2058"/>
      <c r="F448" s="2026"/>
      <c r="G448" s="2026"/>
      <c r="H448" s="2026"/>
      <c r="I448" s="2026"/>
      <c r="J448" s="2026"/>
      <c r="K448" s="2026"/>
      <c r="L448" s="2026"/>
      <c r="M448" s="2026"/>
      <c r="N448" s="1805"/>
    </row>
    <row r="449" spans="1:14" s="1670" customFormat="1" x14ac:dyDescent="0.2">
      <c r="A449" s="2030"/>
      <c r="B449" s="2026"/>
      <c r="C449" s="2027"/>
      <c r="D449" s="2026"/>
      <c r="E449" s="2058"/>
      <c r="F449" s="2026"/>
      <c r="G449" s="2026"/>
      <c r="H449" s="2026"/>
      <c r="I449" s="2026"/>
      <c r="J449" s="2026"/>
      <c r="K449" s="2026"/>
      <c r="L449" s="2026"/>
      <c r="M449" s="2026"/>
      <c r="N449" s="1805"/>
    </row>
    <row r="450" spans="1:14" s="1670" customFormat="1" x14ac:dyDescent="0.2">
      <c r="A450" s="2030"/>
      <c r="B450" s="2026"/>
      <c r="C450" s="2027"/>
      <c r="D450" s="2026"/>
      <c r="E450" s="2058"/>
      <c r="F450" s="2026"/>
      <c r="G450" s="2026"/>
      <c r="H450" s="2026"/>
      <c r="I450" s="2026"/>
      <c r="J450" s="2026"/>
      <c r="K450" s="2026"/>
      <c r="L450" s="2026"/>
      <c r="M450" s="2026"/>
      <c r="N450" s="1805"/>
    </row>
    <row r="451" spans="1:14" s="1670" customFormat="1" ht="13.5" thickBot="1" x14ac:dyDescent="0.25">
      <c r="A451" s="2034"/>
      <c r="B451" s="2035"/>
      <c r="C451" s="2036"/>
      <c r="D451" s="2035"/>
      <c r="E451" s="2060"/>
      <c r="F451" s="2035"/>
      <c r="G451" s="2035"/>
      <c r="H451" s="2035"/>
      <c r="I451" s="2035"/>
      <c r="J451" s="2035"/>
      <c r="K451" s="2035"/>
      <c r="L451" s="2035"/>
      <c r="M451" s="2035"/>
      <c r="N451" s="2038"/>
    </row>
    <row r="452" spans="1:14" s="1670" customFormat="1" x14ac:dyDescent="0.2">
      <c r="C452" s="2056"/>
      <c r="E452" s="2058"/>
      <c r="N452" s="2056"/>
    </row>
    <row r="453" spans="1:14" s="1670" customFormat="1" x14ac:dyDescent="0.2">
      <c r="C453" s="2056"/>
      <c r="E453" s="2058"/>
      <c r="N453" s="2056"/>
    </row>
    <row r="454" spans="1:14" s="1670" customFormat="1" x14ac:dyDescent="0.2">
      <c r="C454" s="2056"/>
      <c r="E454" s="2058"/>
      <c r="N454" s="2056"/>
    </row>
    <row r="455" spans="1:14" s="1670" customFormat="1" x14ac:dyDescent="0.2">
      <c r="C455" s="2056"/>
      <c r="E455" s="2058"/>
      <c r="N455" s="2056"/>
    </row>
    <row r="456" spans="1:14" s="1670" customFormat="1" x14ac:dyDescent="0.2">
      <c r="C456" s="2056"/>
      <c r="E456" s="2058"/>
      <c r="N456" s="2056"/>
    </row>
    <row r="457" spans="1:14" s="1670" customFormat="1" x14ac:dyDescent="0.2">
      <c r="C457" s="2056"/>
      <c r="E457" s="2058"/>
      <c r="N457" s="2056"/>
    </row>
    <row r="458" spans="1:14" s="1670" customFormat="1" x14ac:dyDescent="0.2">
      <c r="C458" s="2056"/>
      <c r="E458" s="2058"/>
      <c r="N458" s="2056"/>
    </row>
    <row r="459" spans="1:14" s="1670" customFormat="1" x14ac:dyDescent="0.2">
      <c r="C459" s="2056"/>
      <c r="E459" s="2058"/>
      <c r="N459" s="2056"/>
    </row>
    <row r="460" spans="1:14" s="1670" customFormat="1" ht="13.5" thickBot="1" x14ac:dyDescent="0.25">
      <c r="C460" s="2056"/>
      <c r="E460" s="2058"/>
      <c r="N460" s="2056"/>
    </row>
    <row r="461" spans="1:14" s="1670" customFormat="1" x14ac:dyDescent="0.2">
      <c r="A461" s="2039"/>
      <c r="B461" s="2040"/>
      <c r="C461" s="2041"/>
      <c r="D461" s="2040"/>
      <c r="E461" s="2059"/>
      <c r="F461" s="2040"/>
      <c r="G461" s="2040"/>
      <c r="H461" s="2040"/>
      <c r="I461" s="2040"/>
      <c r="J461" s="2040"/>
      <c r="K461" s="2040"/>
      <c r="L461" s="2040"/>
      <c r="M461" s="2040"/>
      <c r="N461" s="2043"/>
    </row>
    <row r="462" spans="1:14" s="1670" customFormat="1" x14ac:dyDescent="0.2">
      <c r="A462" s="2030"/>
      <c r="B462" s="2026"/>
      <c r="C462" s="2027"/>
      <c r="D462" s="2026"/>
      <c r="E462" s="2058"/>
      <c r="F462" s="2026"/>
      <c r="G462" s="2026"/>
      <c r="H462" s="2026"/>
      <c r="I462" s="2026"/>
      <c r="J462" s="2026"/>
      <c r="K462" s="2026"/>
      <c r="L462" s="2026"/>
      <c r="M462" s="2026"/>
      <c r="N462" s="1805"/>
    </row>
    <row r="463" spans="1:14" s="1670" customFormat="1" x14ac:dyDescent="0.2">
      <c r="A463" s="2030"/>
      <c r="B463" s="2026"/>
      <c r="C463" s="2027"/>
      <c r="D463" s="2026"/>
      <c r="E463" s="2058"/>
      <c r="F463" s="2026"/>
      <c r="G463" s="2026"/>
      <c r="H463" s="2026"/>
      <c r="I463" s="2026"/>
      <c r="J463" s="2026"/>
      <c r="K463" s="2026"/>
      <c r="L463" s="2026"/>
      <c r="M463" s="2026"/>
      <c r="N463" s="1805"/>
    </row>
    <row r="464" spans="1:14" s="1670" customFormat="1" x14ac:dyDescent="0.2">
      <c r="A464" s="2030"/>
      <c r="B464" s="2026"/>
      <c r="C464" s="2027"/>
      <c r="D464" s="2026"/>
      <c r="E464" s="2058"/>
      <c r="F464" s="2026"/>
      <c r="G464" s="2026"/>
      <c r="H464" s="2026"/>
      <c r="I464" s="2026"/>
      <c r="J464" s="2026"/>
      <c r="K464" s="2026"/>
      <c r="L464" s="2026"/>
      <c r="M464" s="2026"/>
      <c r="N464" s="1805"/>
    </row>
    <row r="465" spans="1:14" s="1670" customFormat="1" x14ac:dyDescent="0.2">
      <c r="A465" s="2030"/>
      <c r="B465" s="2026"/>
      <c r="C465" s="2027"/>
      <c r="D465" s="2026"/>
      <c r="E465" s="2058"/>
      <c r="F465" s="2026"/>
      <c r="G465" s="2026"/>
      <c r="H465" s="2026"/>
      <c r="I465" s="2026"/>
      <c r="J465" s="2026"/>
      <c r="K465" s="2026"/>
      <c r="L465" s="2026"/>
      <c r="M465" s="2026"/>
      <c r="N465" s="1805"/>
    </row>
    <row r="466" spans="1:14" s="1670" customFormat="1" x14ac:dyDescent="0.2">
      <c r="A466" s="2030"/>
      <c r="B466" s="2026"/>
      <c r="C466" s="2027"/>
      <c r="D466" s="2026"/>
      <c r="E466" s="2058"/>
      <c r="F466" s="2026"/>
      <c r="G466" s="2026"/>
      <c r="H466" s="2026"/>
      <c r="I466" s="2026"/>
      <c r="J466" s="2026"/>
      <c r="K466" s="2026"/>
      <c r="L466" s="2026"/>
      <c r="M466" s="2026"/>
      <c r="N466" s="1805"/>
    </row>
    <row r="467" spans="1:14" s="1670" customFormat="1" x14ac:dyDescent="0.2">
      <c r="A467" s="2030"/>
      <c r="B467" s="2026"/>
      <c r="C467" s="2027"/>
      <c r="D467" s="2026"/>
      <c r="E467" s="2058"/>
      <c r="F467" s="2026"/>
      <c r="G467" s="2026"/>
      <c r="H467" s="2026"/>
      <c r="I467" s="2026"/>
      <c r="J467" s="2026"/>
      <c r="K467" s="2026"/>
      <c r="L467" s="2026"/>
      <c r="M467" s="2026"/>
      <c r="N467" s="1805"/>
    </row>
    <row r="468" spans="1:14" s="1670" customFormat="1" x14ac:dyDescent="0.2">
      <c r="A468" s="2030"/>
      <c r="B468" s="2026"/>
      <c r="C468" s="2027"/>
      <c r="D468" s="2026"/>
      <c r="E468" s="2058"/>
      <c r="F468" s="2026"/>
      <c r="G468" s="2026"/>
      <c r="H468" s="2026"/>
      <c r="I468" s="2026"/>
      <c r="J468" s="2026"/>
      <c r="K468" s="2026"/>
      <c r="L468" s="2026"/>
      <c r="M468" s="2026"/>
      <c r="N468" s="1805"/>
    </row>
    <row r="469" spans="1:14" s="1670" customFormat="1" ht="13.5" thickBot="1" x14ac:dyDescent="0.25">
      <c r="A469" s="2034"/>
      <c r="B469" s="2035"/>
      <c r="C469" s="2036"/>
      <c r="D469" s="2035"/>
      <c r="E469" s="2060"/>
      <c r="F469" s="2035"/>
      <c r="G469" s="2035"/>
      <c r="H469" s="2035"/>
      <c r="I469" s="2035"/>
      <c r="J469" s="2035"/>
      <c r="K469" s="2035"/>
      <c r="L469" s="2035"/>
      <c r="M469" s="2035"/>
      <c r="N469" s="2038"/>
    </row>
    <row r="470" spans="1:14" s="1670" customFormat="1" x14ac:dyDescent="0.2">
      <c r="C470" s="2056"/>
      <c r="E470" s="2058"/>
      <c r="N470" s="2056"/>
    </row>
    <row r="471" spans="1:14" s="1670" customFormat="1" x14ac:dyDescent="0.2">
      <c r="C471" s="2056"/>
      <c r="E471" s="2058"/>
      <c r="N471" s="2056"/>
    </row>
    <row r="472" spans="1:14" s="1670" customFormat="1" x14ac:dyDescent="0.2">
      <c r="C472" s="2056"/>
      <c r="E472" s="2058"/>
      <c r="N472" s="2056"/>
    </row>
    <row r="473" spans="1:14" s="1670" customFormat="1" x14ac:dyDescent="0.2">
      <c r="C473" s="2056"/>
      <c r="E473" s="2058"/>
      <c r="N473" s="2056"/>
    </row>
    <row r="474" spans="1:14" s="1670" customFormat="1" x14ac:dyDescent="0.2">
      <c r="C474" s="2056"/>
      <c r="E474" s="2058"/>
      <c r="N474" s="2056"/>
    </row>
    <row r="475" spans="1:14" s="1670" customFormat="1" x14ac:dyDescent="0.2">
      <c r="C475" s="2056"/>
      <c r="E475" s="2058"/>
      <c r="N475" s="2056"/>
    </row>
    <row r="476" spans="1:14" s="1670" customFormat="1" x14ac:dyDescent="0.2">
      <c r="C476" s="2056"/>
      <c r="E476" s="2058"/>
      <c r="N476" s="2056"/>
    </row>
    <row r="477" spans="1:14" s="1670" customFormat="1" x14ac:dyDescent="0.2">
      <c r="C477" s="2056"/>
      <c r="E477" s="2058"/>
      <c r="N477" s="2056"/>
    </row>
    <row r="478" spans="1:14" s="1670" customFormat="1" x14ac:dyDescent="0.2">
      <c r="C478" s="2056"/>
      <c r="E478" s="2058"/>
      <c r="N478" s="2056"/>
    </row>
    <row r="479" spans="1:14" s="1670" customFormat="1" x14ac:dyDescent="0.2">
      <c r="C479" s="2056"/>
      <c r="E479" s="2058"/>
      <c r="N479" s="2056"/>
    </row>
    <row r="480" spans="1:14" s="1670" customFormat="1" x14ac:dyDescent="0.2">
      <c r="C480" s="2056"/>
      <c r="E480" s="2058"/>
      <c r="N480" s="2056"/>
    </row>
    <row r="481" spans="1:14" s="1670" customFormat="1" x14ac:dyDescent="0.2">
      <c r="C481" s="2056"/>
      <c r="E481" s="2058"/>
      <c r="N481" s="2056"/>
    </row>
    <row r="482" spans="1:14" s="1670" customFormat="1" x14ac:dyDescent="0.2">
      <c r="C482" s="2056"/>
      <c r="E482" s="2058"/>
      <c r="N482" s="2056"/>
    </row>
    <row r="483" spans="1:14" s="1670" customFormat="1" x14ac:dyDescent="0.2">
      <c r="C483" s="2056"/>
      <c r="E483" s="2058"/>
      <c r="N483" s="2056"/>
    </row>
    <row r="484" spans="1:14" s="1670" customFormat="1" x14ac:dyDescent="0.2">
      <c r="C484" s="2056"/>
      <c r="E484" s="2058"/>
      <c r="N484" s="2056"/>
    </row>
    <row r="485" spans="1:14" s="1670" customFormat="1" x14ac:dyDescent="0.2">
      <c r="C485" s="2056"/>
      <c r="E485" s="2058"/>
      <c r="N485" s="2056"/>
    </row>
    <row r="486" spans="1:14" s="1670" customFormat="1" x14ac:dyDescent="0.2">
      <c r="C486" s="2056"/>
      <c r="E486" s="2058"/>
      <c r="N486" s="2056"/>
    </row>
    <row r="487" spans="1:14" s="1670" customFormat="1" x14ac:dyDescent="0.2">
      <c r="C487" s="2056"/>
      <c r="E487" s="2058"/>
      <c r="N487" s="2056"/>
    </row>
    <row r="488" spans="1:14" s="1670" customFormat="1" x14ac:dyDescent="0.2">
      <c r="C488" s="2056"/>
      <c r="E488" s="2058"/>
      <c r="N488" s="2056"/>
    </row>
    <row r="489" spans="1:14" s="1670" customFormat="1" x14ac:dyDescent="0.2">
      <c r="C489" s="2056"/>
      <c r="E489" s="2058"/>
      <c r="N489" s="2056"/>
    </row>
    <row r="490" spans="1:14" s="1670" customFormat="1" x14ac:dyDescent="0.2">
      <c r="A490" s="2061"/>
      <c r="C490" s="2056"/>
      <c r="E490" s="2058"/>
      <c r="N490" s="2062"/>
    </row>
    <row r="491" spans="1:14" s="1670" customFormat="1" x14ac:dyDescent="0.2">
      <c r="A491" s="2061"/>
      <c r="C491" s="2056"/>
      <c r="E491" s="2058"/>
      <c r="N491" s="2062"/>
    </row>
    <row r="492" spans="1:14" s="1670" customFormat="1" x14ac:dyDescent="0.2">
      <c r="A492" s="2061"/>
      <c r="C492" s="2056"/>
      <c r="E492" s="2058"/>
      <c r="N492" s="2062"/>
    </row>
    <row r="493" spans="1:14" s="1670" customFormat="1" x14ac:dyDescent="0.2">
      <c r="A493" s="2061"/>
      <c r="C493" s="2056"/>
      <c r="E493" s="2058"/>
      <c r="N493" s="2062"/>
    </row>
    <row r="494" spans="1:14" s="1670" customFormat="1" x14ac:dyDescent="0.2">
      <c r="A494" s="2061"/>
      <c r="C494" s="2056"/>
      <c r="E494" s="2058"/>
      <c r="N494" s="2062"/>
    </row>
    <row r="495" spans="1:14" s="1670" customFormat="1" x14ac:dyDescent="0.2">
      <c r="A495" s="2061"/>
      <c r="C495" s="2056"/>
      <c r="E495" s="2058"/>
      <c r="N495" s="2062"/>
    </row>
    <row r="496" spans="1:14" s="1670" customFormat="1" x14ac:dyDescent="0.2">
      <c r="A496" s="2061"/>
      <c r="C496" s="2056"/>
      <c r="E496" s="2058"/>
      <c r="N496" s="2062"/>
    </row>
    <row r="497" spans="1:14" s="1670" customFormat="1" ht="13.5" thickBot="1" x14ac:dyDescent="0.25">
      <c r="A497" s="2061"/>
      <c r="C497" s="2056"/>
      <c r="E497" s="2058"/>
      <c r="N497" s="2062"/>
    </row>
    <row r="498" spans="1:14" s="1670" customFormat="1" ht="45" x14ac:dyDescent="0.2">
      <c r="A498" s="2063"/>
      <c r="B498" s="2064" t="s">
        <v>23</v>
      </c>
      <c r="C498" s="2064"/>
      <c r="D498" s="2040"/>
      <c r="E498" s="2059"/>
      <c r="F498" s="2040"/>
      <c r="G498" s="2040"/>
      <c r="H498" s="2040"/>
      <c r="I498" s="2040"/>
      <c r="J498" s="2040"/>
      <c r="K498" s="2040"/>
      <c r="L498" s="2040"/>
      <c r="M498" s="2040"/>
      <c r="N498" s="2050"/>
    </row>
    <row r="499" spans="1:14" s="1670" customFormat="1" x14ac:dyDescent="0.2">
      <c r="A499" s="2025"/>
      <c r="B499" s="2026"/>
      <c r="C499" s="2027"/>
      <c r="D499" s="2026"/>
      <c r="E499" s="2058"/>
      <c r="F499" s="2026"/>
      <c r="G499" s="2026"/>
      <c r="H499" s="2026"/>
      <c r="I499" s="2026"/>
      <c r="J499" s="2026"/>
      <c r="K499" s="2026"/>
      <c r="L499" s="2026"/>
      <c r="M499" s="2026"/>
      <c r="N499" s="2029"/>
    </row>
    <row r="500" spans="1:14" s="1670" customFormat="1" x14ac:dyDescent="0.2">
      <c r="A500" s="2025"/>
      <c r="B500" s="2026"/>
      <c r="C500" s="2027"/>
      <c r="D500" s="2026"/>
      <c r="E500" s="2058"/>
      <c r="F500" s="2026"/>
      <c r="G500" s="2026"/>
      <c r="H500" s="2026"/>
      <c r="I500" s="2026"/>
      <c r="J500" s="2026"/>
      <c r="K500" s="2026"/>
      <c r="L500" s="2026"/>
      <c r="M500" s="2026"/>
      <c r="N500" s="2029"/>
    </row>
    <row r="501" spans="1:14" s="1670" customFormat="1" x14ac:dyDescent="0.2">
      <c r="A501" s="2025"/>
      <c r="B501" s="2026"/>
      <c r="C501" s="2027"/>
      <c r="D501" s="2026"/>
      <c r="E501" s="2058"/>
      <c r="F501" s="2026"/>
      <c r="G501" s="2026"/>
      <c r="H501" s="2026"/>
      <c r="I501" s="2026"/>
      <c r="J501" s="2026"/>
      <c r="K501" s="2026"/>
      <c r="L501" s="2026"/>
      <c r="M501" s="2026"/>
      <c r="N501" s="2029"/>
    </row>
    <row r="502" spans="1:14" s="1670" customFormat="1" x14ac:dyDescent="0.2">
      <c r="A502" s="2025"/>
      <c r="B502" s="2026"/>
      <c r="C502" s="2027"/>
      <c r="D502" s="2026"/>
      <c r="E502" s="2058"/>
      <c r="F502" s="2026"/>
      <c r="G502" s="2026"/>
      <c r="H502" s="2026"/>
      <c r="I502" s="2026"/>
      <c r="J502" s="2026"/>
      <c r="K502" s="2026"/>
      <c r="L502" s="2026"/>
      <c r="M502" s="2026"/>
      <c r="N502" s="2029"/>
    </row>
    <row r="503" spans="1:14" s="1670" customFormat="1" x14ac:dyDescent="0.2">
      <c r="A503" s="2025"/>
      <c r="B503" s="2026"/>
      <c r="C503" s="2027"/>
      <c r="D503" s="2026"/>
      <c r="E503" s="2058"/>
      <c r="F503" s="2026"/>
      <c r="G503" s="2026"/>
      <c r="H503" s="2026"/>
      <c r="I503" s="2026"/>
      <c r="J503" s="2026"/>
      <c r="K503" s="2026"/>
      <c r="L503" s="2026"/>
      <c r="M503" s="2026"/>
      <c r="N503" s="2029"/>
    </row>
    <row r="504" spans="1:14" s="1670" customFormat="1" x14ac:dyDescent="0.2">
      <c r="A504" s="2025"/>
      <c r="B504" s="2026"/>
      <c r="C504" s="2027"/>
      <c r="D504" s="2026"/>
      <c r="E504" s="2058"/>
      <c r="F504" s="2026"/>
      <c r="G504" s="2026"/>
      <c r="H504" s="2026"/>
      <c r="I504" s="2026"/>
      <c r="J504" s="2026"/>
      <c r="K504" s="2026"/>
      <c r="L504" s="2026"/>
      <c r="M504" s="2026"/>
      <c r="N504" s="2029"/>
    </row>
    <row r="505" spans="1:14" s="1670" customFormat="1" x14ac:dyDescent="0.2">
      <c r="A505" s="2025"/>
      <c r="B505" s="2026"/>
      <c r="C505" s="2027"/>
      <c r="D505" s="2026"/>
      <c r="E505" s="2058"/>
      <c r="F505" s="2026"/>
      <c r="G505" s="2026"/>
      <c r="H505" s="2026"/>
      <c r="I505" s="2026"/>
      <c r="J505" s="2026"/>
      <c r="K505" s="2026"/>
      <c r="L505" s="2026"/>
      <c r="M505" s="2026"/>
      <c r="N505" s="2029"/>
    </row>
    <row r="506" spans="1:14" s="1670" customFormat="1" x14ac:dyDescent="0.2">
      <c r="A506" s="2025"/>
      <c r="B506" s="2026"/>
      <c r="C506" s="2027"/>
      <c r="D506" s="2026"/>
      <c r="E506" s="2058"/>
      <c r="F506" s="2026"/>
      <c r="G506" s="2026"/>
      <c r="H506" s="2026"/>
      <c r="I506" s="2026"/>
      <c r="J506" s="2026"/>
      <c r="K506" s="2026"/>
      <c r="L506" s="2026"/>
      <c r="M506" s="2026"/>
      <c r="N506" s="2029"/>
    </row>
    <row r="507" spans="1:14" s="1670" customFormat="1" x14ac:dyDescent="0.2">
      <c r="A507" s="2025"/>
      <c r="B507" s="2026"/>
      <c r="C507" s="2027"/>
      <c r="D507" s="2026"/>
      <c r="E507" s="2058"/>
      <c r="G507" s="2026"/>
      <c r="H507" s="2026"/>
      <c r="I507" s="2026"/>
      <c r="J507" s="2026"/>
      <c r="K507" s="2026"/>
      <c r="L507" s="2026"/>
      <c r="M507" s="2026"/>
      <c r="N507" s="2029"/>
    </row>
    <row r="508" spans="1:14" s="1670" customFormat="1" x14ac:dyDescent="0.2">
      <c r="A508" s="2025"/>
      <c r="B508" s="2026"/>
      <c r="C508" s="2027"/>
      <c r="D508" s="2026"/>
      <c r="E508" s="2058"/>
      <c r="F508" s="2026"/>
      <c r="G508" s="2026"/>
      <c r="H508" s="2026"/>
      <c r="I508" s="2026"/>
      <c r="J508" s="2026"/>
      <c r="K508" s="2026"/>
      <c r="L508" s="2026"/>
      <c r="M508" s="2026"/>
      <c r="N508" s="2029"/>
    </row>
    <row r="509" spans="1:14" s="1670" customFormat="1" ht="13.5" thickBot="1" x14ac:dyDescent="0.25">
      <c r="A509" s="2065"/>
      <c r="B509" s="2035"/>
      <c r="C509" s="2036"/>
      <c r="D509" s="2035"/>
      <c r="E509" s="2060"/>
      <c r="F509" s="2035"/>
      <c r="G509" s="2035"/>
      <c r="H509" s="2035"/>
      <c r="I509" s="2035"/>
      <c r="J509" s="2035"/>
      <c r="K509" s="2035"/>
      <c r="L509" s="2035"/>
      <c r="M509" s="2035"/>
      <c r="N509" s="2049"/>
    </row>
    <row r="510" spans="1:14" s="1670" customFormat="1" x14ac:dyDescent="0.2">
      <c r="A510" s="2061"/>
      <c r="C510" s="2056"/>
      <c r="E510" s="2058"/>
      <c r="F510" s="1670">
        <v>415162</v>
      </c>
      <c r="N510" s="2062"/>
    </row>
    <row r="511" spans="1:14" s="1670" customFormat="1" x14ac:dyDescent="0.2">
      <c r="A511" s="2061"/>
      <c r="C511" s="2056"/>
      <c r="E511" s="2058"/>
      <c r="N511" s="2062"/>
    </row>
    <row r="512" spans="1:14" s="1670" customFormat="1" x14ac:dyDescent="0.2">
      <c r="A512" s="2061"/>
      <c r="C512" s="2056"/>
      <c r="E512" s="2058"/>
      <c r="N512" s="2062"/>
    </row>
    <row r="513" spans="1:14" s="1670" customFormat="1" x14ac:dyDescent="0.2">
      <c r="A513" s="2061"/>
      <c r="C513" s="2056"/>
      <c r="E513" s="2058"/>
      <c r="N513" s="2062"/>
    </row>
    <row r="514" spans="1:14" s="1670" customFormat="1" x14ac:dyDescent="0.2">
      <c r="A514" s="2061"/>
      <c r="C514" s="2056"/>
      <c r="E514" s="2058"/>
      <c r="N514" s="2062"/>
    </row>
    <row r="515" spans="1:14" s="1670" customFormat="1" x14ac:dyDescent="0.2">
      <c r="A515" s="2061"/>
      <c r="C515" s="2056"/>
      <c r="E515" s="2058"/>
      <c r="N515" s="2062"/>
    </row>
    <row r="516" spans="1:14" s="1670" customFormat="1" x14ac:dyDescent="0.2">
      <c r="A516" s="2061"/>
      <c r="C516" s="2056"/>
      <c r="E516" s="2058"/>
      <c r="N516" s="2062"/>
    </row>
    <row r="517" spans="1:14" s="1670" customFormat="1" x14ac:dyDescent="0.2">
      <c r="A517" s="2061"/>
      <c r="C517" s="2056"/>
      <c r="E517" s="2058"/>
      <c r="N517" s="2062"/>
    </row>
    <row r="518" spans="1:14" s="1670" customFormat="1" x14ac:dyDescent="0.2">
      <c r="A518" s="2061"/>
      <c r="C518" s="2056"/>
      <c r="E518" s="2058"/>
      <c r="N518" s="2062"/>
    </row>
    <row r="519" spans="1:14" s="1670" customFormat="1" x14ac:dyDescent="0.2">
      <c r="A519" s="2061"/>
      <c r="C519" s="2056"/>
      <c r="E519" s="2058"/>
      <c r="N519" s="2062"/>
    </row>
    <row r="520" spans="1:14" s="1670" customFormat="1" x14ac:dyDescent="0.2">
      <c r="A520" s="2061"/>
      <c r="C520" s="2056"/>
      <c r="E520" s="2058"/>
      <c r="N520" s="2062"/>
    </row>
    <row r="521" spans="1:14" s="1670" customFormat="1" x14ac:dyDescent="0.2">
      <c r="A521" s="2061"/>
      <c r="C521" s="2056"/>
      <c r="E521" s="2058"/>
      <c r="N521" s="2062"/>
    </row>
    <row r="522" spans="1:14" s="1670" customFormat="1" x14ac:dyDescent="0.2">
      <c r="C522" s="2056"/>
      <c r="E522" s="2058"/>
      <c r="N522" s="2056"/>
    </row>
    <row r="523" spans="1:14" s="1670" customFormat="1" x14ac:dyDescent="0.2">
      <c r="C523" s="2056"/>
      <c r="E523" s="2058"/>
      <c r="N523" s="2056"/>
    </row>
    <row r="524" spans="1:14" s="1670" customFormat="1" x14ac:dyDescent="0.2">
      <c r="C524" s="2056"/>
      <c r="E524" s="2058"/>
      <c r="N524" s="2056"/>
    </row>
    <row r="525" spans="1:14" s="1670" customFormat="1" x14ac:dyDescent="0.2">
      <c r="C525" s="2056"/>
      <c r="E525" s="2058"/>
      <c r="N525" s="2056"/>
    </row>
    <row r="526" spans="1:14" s="1670" customFormat="1" x14ac:dyDescent="0.2">
      <c r="C526" s="2056"/>
      <c r="E526" s="2058"/>
      <c r="N526" s="2056"/>
    </row>
    <row r="527" spans="1:14" s="1670" customFormat="1" x14ac:dyDescent="0.2">
      <c r="C527" s="2056"/>
      <c r="E527" s="2058"/>
      <c r="N527" s="2056"/>
    </row>
    <row r="528" spans="1:14" s="1670" customFormat="1" x14ac:dyDescent="0.2">
      <c r="C528" s="2056"/>
      <c r="E528" s="2058"/>
      <c r="N528" s="2056"/>
    </row>
    <row r="529" spans="1:14" s="1670" customFormat="1" x14ac:dyDescent="0.2">
      <c r="C529" s="2056"/>
      <c r="E529" s="2058"/>
      <c r="N529" s="2056"/>
    </row>
    <row r="530" spans="1:14" s="1670" customFormat="1" x14ac:dyDescent="0.2">
      <c r="C530" s="2056"/>
      <c r="E530" s="2058"/>
      <c r="N530" s="2056"/>
    </row>
    <row r="531" spans="1:14" s="1670" customFormat="1" x14ac:dyDescent="0.2">
      <c r="C531" s="2056"/>
      <c r="E531" s="2058"/>
      <c r="N531" s="2056"/>
    </row>
    <row r="532" spans="1:14" s="1670" customFormat="1" x14ac:dyDescent="0.2">
      <c r="C532" s="2056"/>
      <c r="E532" s="2058"/>
      <c r="N532" s="2056"/>
    </row>
    <row r="533" spans="1:14" s="1670" customFormat="1" x14ac:dyDescent="0.2">
      <c r="C533" s="2056"/>
      <c r="E533" s="2058"/>
      <c r="N533" s="2056"/>
    </row>
    <row r="534" spans="1:14" s="1670" customFormat="1" x14ac:dyDescent="0.2">
      <c r="C534" s="2056"/>
      <c r="E534" s="2058"/>
      <c r="N534" s="2056"/>
    </row>
    <row r="535" spans="1:14" s="1670" customFormat="1" x14ac:dyDescent="0.2">
      <c r="C535" s="2056"/>
      <c r="E535" s="2058"/>
      <c r="N535" s="2056"/>
    </row>
    <row r="536" spans="1:14" s="1670" customFormat="1" x14ac:dyDescent="0.2">
      <c r="C536" s="2056"/>
      <c r="E536" s="2058"/>
      <c r="N536" s="2056"/>
    </row>
    <row r="537" spans="1:14" s="1670" customFormat="1" x14ac:dyDescent="0.2">
      <c r="C537" s="2056"/>
      <c r="E537" s="2058"/>
      <c r="N537" s="2056"/>
    </row>
    <row r="538" spans="1:14" s="1670" customFormat="1" x14ac:dyDescent="0.2">
      <c r="C538" s="2056"/>
      <c r="E538" s="2058"/>
      <c r="N538" s="2056"/>
    </row>
    <row r="539" spans="1:14" s="1670" customFormat="1" x14ac:dyDescent="0.2">
      <c r="C539" s="2056"/>
      <c r="E539" s="2058"/>
      <c r="N539" s="2056"/>
    </row>
    <row r="540" spans="1:14" s="1670" customFormat="1" x14ac:dyDescent="0.2">
      <c r="C540" s="2056"/>
      <c r="E540" s="2058"/>
      <c r="N540" s="2056"/>
    </row>
    <row r="541" spans="1:14" s="1670" customFormat="1" x14ac:dyDescent="0.2">
      <c r="C541" s="2056"/>
      <c r="E541" s="2058"/>
      <c r="N541" s="2056"/>
    </row>
    <row r="542" spans="1:14" s="1670" customFormat="1" ht="13.5" thickBot="1" x14ac:dyDescent="0.25">
      <c r="C542" s="2056"/>
      <c r="E542" s="2058"/>
      <c r="N542" s="2056"/>
    </row>
    <row r="543" spans="1:14" s="1670" customFormat="1" x14ac:dyDescent="0.2">
      <c r="A543" s="2039"/>
      <c r="B543" s="2040"/>
      <c r="C543" s="2041"/>
      <c r="D543" s="2040"/>
      <c r="E543" s="2059"/>
      <c r="F543" s="2040"/>
      <c r="G543" s="2040"/>
      <c r="H543" s="2040"/>
      <c r="I543" s="2040"/>
      <c r="J543" s="2040"/>
      <c r="K543" s="2040"/>
      <c r="L543" s="2040"/>
      <c r="M543" s="2040"/>
      <c r="N543" s="2043"/>
    </row>
    <row r="544" spans="1:14" s="1670" customFormat="1" x14ac:dyDescent="0.2">
      <c r="A544" s="2030"/>
      <c r="B544" s="2026"/>
      <c r="C544" s="2027"/>
      <c r="D544" s="2026"/>
      <c r="E544" s="2058"/>
      <c r="F544" s="2026"/>
      <c r="G544" s="2026"/>
      <c r="H544" s="2026"/>
      <c r="I544" s="2026"/>
      <c r="J544" s="2026"/>
      <c r="K544" s="2026"/>
      <c r="L544" s="2026"/>
      <c r="M544" s="2026"/>
      <c r="N544" s="1805"/>
    </row>
    <row r="545" spans="1:14" s="1670" customFormat="1" x14ac:dyDescent="0.2">
      <c r="A545" s="2030"/>
      <c r="B545" s="2026"/>
      <c r="C545" s="2027"/>
      <c r="D545" s="2026"/>
      <c r="E545" s="2058"/>
      <c r="F545" s="2026"/>
      <c r="G545" s="2026"/>
      <c r="H545" s="2026"/>
      <c r="I545" s="2026"/>
      <c r="J545" s="2026"/>
      <c r="K545" s="2026"/>
      <c r="L545" s="2026"/>
      <c r="M545" s="2026"/>
      <c r="N545" s="1805"/>
    </row>
    <row r="546" spans="1:14" s="1670" customFormat="1" x14ac:dyDescent="0.2">
      <c r="A546" s="2030"/>
      <c r="B546" s="2026"/>
      <c r="C546" s="2027"/>
      <c r="D546" s="2026"/>
      <c r="E546" s="2058"/>
      <c r="F546" s="2026"/>
      <c r="G546" s="2026"/>
      <c r="H546" s="2026"/>
      <c r="I546" s="2026"/>
      <c r="J546" s="2026"/>
      <c r="K546" s="2026"/>
      <c r="L546" s="2026"/>
      <c r="M546" s="2026"/>
      <c r="N546" s="1805"/>
    </row>
    <row r="547" spans="1:14" s="1670" customFormat="1" x14ac:dyDescent="0.2">
      <c r="A547" s="2030"/>
      <c r="B547" s="2026"/>
      <c r="C547" s="2027"/>
      <c r="D547" s="2026"/>
      <c r="E547" s="2058"/>
      <c r="F547" s="2026"/>
      <c r="G547" s="2026"/>
      <c r="H547" s="2026"/>
      <c r="I547" s="2026"/>
      <c r="J547" s="2026"/>
      <c r="K547" s="2026"/>
      <c r="L547" s="2026"/>
      <c r="M547" s="2026"/>
      <c r="N547" s="1805"/>
    </row>
    <row r="548" spans="1:14" s="1670" customFormat="1" x14ac:dyDescent="0.2">
      <c r="A548" s="2030"/>
      <c r="B548" s="2026"/>
      <c r="C548" s="2027"/>
      <c r="D548" s="2026"/>
      <c r="E548" s="2058"/>
      <c r="F548" s="2026"/>
      <c r="G548" s="2026"/>
      <c r="H548" s="2026"/>
      <c r="I548" s="2026"/>
      <c r="J548" s="2026"/>
      <c r="K548" s="2026"/>
      <c r="L548" s="2026"/>
      <c r="M548" s="2026"/>
      <c r="N548" s="1805"/>
    </row>
    <row r="549" spans="1:14" s="1670" customFormat="1" x14ac:dyDescent="0.2">
      <c r="A549" s="2030"/>
      <c r="B549" s="2026"/>
      <c r="C549" s="2027"/>
      <c r="D549" s="2026"/>
      <c r="E549" s="2058"/>
      <c r="F549" s="2026"/>
      <c r="G549" s="2026"/>
      <c r="H549" s="2026"/>
      <c r="I549" s="2026"/>
      <c r="J549" s="2026"/>
      <c r="K549" s="2026"/>
      <c r="L549" s="2026"/>
      <c r="M549" s="2026"/>
      <c r="N549" s="1805"/>
    </row>
    <row r="550" spans="1:14" s="1670" customFormat="1" ht="13.5" thickBot="1" x14ac:dyDescent="0.25">
      <c r="A550" s="2034"/>
      <c r="B550" s="2035"/>
      <c r="C550" s="2036"/>
      <c r="D550" s="2035"/>
      <c r="E550" s="2060"/>
      <c r="F550" s="2035"/>
      <c r="G550" s="2035"/>
      <c r="H550" s="2035"/>
      <c r="I550" s="2035"/>
      <c r="J550" s="2035"/>
      <c r="K550" s="2035"/>
      <c r="L550" s="2035"/>
      <c r="M550" s="2035"/>
      <c r="N550" s="2038"/>
    </row>
    <row r="551" spans="1:14" s="1670" customFormat="1" x14ac:dyDescent="0.2">
      <c r="A551" s="2039"/>
      <c r="B551" s="2040"/>
      <c r="C551" s="2041"/>
      <c r="D551" s="2040"/>
      <c r="E551" s="2059"/>
      <c r="F551" s="2040"/>
      <c r="G551" s="2040"/>
      <c r="H551" s="2040"/>
      <c r="I551" s="2040"/>
      <c r="J551" s="2040"/>
      <c r="K551" s="2040"/>
      <c r="L551" s="2040"/>
      <c r="M551" s="2040"/>
      <c r="N551" s="2043"/>
    </row>
    <row r="552" spans="1:14" s="1670" customFormat="1" x14ac:dyDescent="0.2">
      <c r="A552" s="2030"/>
      <c r="B552" s="2026"/>
      <c r="C552" s="2027"/>
      <c r="D552" s="2026"/>
      <c r="E552" s="2058"/>
      <c r="F552" s="2026"/>
      <c r="G552" s="2026"/>
      <c r="H552" s="2026"/>
      <c r="I552" s="2026"/>
      <c r="J552" s="2026"/>
      <c r="K552" s="2026"/>
      <c r="L552" s="2026"/>
      <c r="M552" s="2026"/>
      <c r="N552" s="1805"/>
    </row>
    <row r="553" spans="1:14" s="1670" customFormat="1" x14ac:dyDescent="0.2">
      <c r="A553" s="2030"/>
      <c r="B553" s="2026"/>
      <c r="C553" s="2027"/>
      <c r="D553" s="2026"/>
      <c r="E553" s="2058"/>
      <c r="F553" s="2026"/>
      <c r="G553" s="2026"/>
      <c r="H553" s="2026"/>
      <c r="I553" s="2026"/>
      <c r="J553" s="2026"/>
      <c r="K553" s="2026"/>
      <c r="L553" s="2026"/>
      <c r="M553" s="2026"/>
      <c r="N553" s="1805"/>
    </row>
    <row r="554" spans="1:14" s="1670" customFormat="1" ht="13.5" thickBot="1" x14ac:dyDescent="0.25">
      <c r="A554" s="2034"/>
      <c r="B554" s="2035"/>
      <c r="C554" s="2036"/>
      <c r="D554" s="2035"/>
      <c r="E554" s="2060"/>
      <c r="F554" s="2035"/>
      <c r="G554" s="2035"/>
      <c r="H554" s="2035"/>
      <c r="I554" s="2035"/>
      <c r="J554" s="2035"/>
      <c r="K554" s="2035"/>
      <c r="L554" s="2035"/>
      <c r="M554" s="2035"/>
      <c r="N554" s="2038"/>
    </row>
    <row r="555" spans="1:14" s="1670" customFormat="1" x14ac:dyDescent="0.2">
      <c r="C555" s="2056"/>
      <c r="E555" s="2058"/>
      <c r="N555" s="2056"/>
    </row>
    <row r="556" spans="1:14" s="1670" customFormat="1" x14ac:dyDescent="0.2">
      <c r="C556" s="2056"/>
      <c r="E556" s="2058"/>
      <c r="N556" s="2056"/>
    </row>
    <row r="557" spans="1:14" s="1670" customFormat="1" x14ac:dyDescent="0.2">
      <c r="C557" s="2056"/>
      <c r="E557" s="2058"/>
      <c r="N557" s="2056"/>
    </row>
    <row r="558" spans="1:14" s="1670" customFormat="1" x14ac:dyDescent="0.2">
      <c r="C558" s="2056"/>
      <c r="E558" s="2058"/>
      <c r="N558" s="2056"/>
    </row>
    <row r="559" spans="1:14" s="1670" customFormat="1" x14ac:dyDescent="0.2">
      <c r="C559" s="2056"/>
      <c r="E559" s="2058"/>
      <c r="N559" s="2056"/>
    </row>
    <row r="560" spans="1:14" s="1670" customFormat="1" x14ac:dyDescent="0.2">
      <c r="C560" s="2056"/>
      <c r="E560" s="2058"/>
      <c r="N560" s="2056"/>
    </row>
    <row r="561" spans="3:14" s="1670" customFormat="1" x14ac:dyDescent="0.2">
      <c r="C561" s="2056"/>
      <c r="E561" s="2058"/>
      <c r="N561" s="2056"/>
    </row>
    <row r="562" spans="3:14" s="1670" customFormat="1" x14ac:dyDescent="0.2">
      <c r="C562" s="2056"/>
      <c r="E562" s="2058"/>
      <c r="N562" s="2056"/>
    </row>
    <row r="563" spans="3:14" s="1670" customFormat="1" x14ac:dyDescent="0.2">
      <c r="C563" s="2056"/>
      <c r="E563" s="2058"/>
      <c r="N563" s="2056"/>
    </row>
    <row r="564" spans="3:14" s="1670" customFormat="1" x14ac:dyDescent="0.2">
      <c r="C564" s="2056"/>
      <c r="E564" s="2058"/>
      <c r="N564" s="2056"/>
    </row>
    <row r="565" spans="3:14" s="1670" customFormat="1" x14ac:dyDescent="0.2">
      <c r="C565" s="2056"/>
      <c r="E565" s="2058"/>
      <c r="N565" s="2056"/>
    </row>
    <row r="566" spans="3:14" s="1670" customFormat="1" x14ac:dyDescent="0.2">
      <c r="C566" s="2056"/>
      <c r="E566" s="2058"/>
      <c r="N566" s="2056"/>
    </row>
    <row r="567" spans="3:14" s="1670" customFormat="1" x14ac:dyDescent="0.2">
      <c r="C567" s="2056"/>
      <c r="E567" s="2058"/>
      <c r="N567" s="2056"/>
    </row>
    <row r="568" spans="3:14" s="1670" customFormat="1" x14ac:dyDescent="0.2">
      <c r="C568" s="2056"/>
      <c r="E568" s="2058"/>
      <c r="N568" s="2056"/>
    </row>
    <row r="569" spans="3:14" s="1670" customFormat="1" x14ac:dyDescent="0.2">
      <c r="C569" s="2056"/>
      <c r="E569" s="2058"/>
      <c r="N569" s="2056"/>
    </row>
    <row r="570" spans="3:14" s="1670" customFormat="1" x14ac:dyDescent="0.2">
      <c r="C570" s="2056"/>
      <c r="E570" s="2058"/>
      <c r="N570" s="2056"/>
    </row>
    <row r="571" spans="3:14" s="1670" customFormat="1" x14ac:dyDescent="0.2">
      <c r="C571" s="2056"/>
      <c r="E571" s="2058"/>
      <c r="N571" s="2056"/>
    </row>
    <row r="572" spans="3:14" s="1670" customFormat="1" x14ac:dyDescent="0.2">
      <c r="C572" s="2056"/>
      <c r="E572" s="2058"/>
      <c r="N572" s="2056"/>
    </row>
    <row r="573" spans="3:14" s="1670" customFormat="1" x14ac:dyDescent="0.2">
      <c r="C573" s="2056"/>
      <c r="E573" s="2058"/>
      <c r="N573" s="2056"/>
    </row>
    <row r="574" spans="3:14" s="1670" customFormat="1" x14ac:dyDescent="0.2">
      <c r="C574" s="2056"/>
      <c r="E574" s="2058"/>
      <c r="N574" s="2056"/>
    </row>
    <row r="575" spans="3:14" s="1670" customFormat="1" x14ac:dyDescent="0.2">
      <c r="C575" s="2056"/>
      <c r="E575" s="2058"/>
      <c r="N575" s="2056"/>
    </row>
    <row r="576" spans="3:14" s="1670" customFormat="1" x14ac:dyDescent="0.2">
      <c r="C576" s="2056"/>
      <c r="E576" s="2058"/>
      <c r="N576" s="2056"/>
    </row>
    <row r="577" spans="3:14" s="1670" customFormat="1" x14ac:dyDescent="0.2">
      <c r="C577" s="2056"/>
      <c r="E577" s="2058"/>
      <c r="N577" s="2056"/>
    </row>
    <row r="578" spans="3:14" s="1670" customFormat="1" x14ac:dyDescent="0.2">
      <c r="C578" s="2056"/>
      <c r="E578" s="2058"/>
      <c r="N578" s="2056"/>
    </row>
    <row r="579" spans="3:14" s="1670" customFormat="1" x14ac:dyDescent="0.2">
      <c r="C579" s="2056"/>
      <c r="E579" s="2058"/>
      <c r="N579" s="2056"/>
    </row>
    <row r="580" spans="3:14" s="1670" customFormat="1" x14ac:dyDescent="0.2">
      <c r="C580" s="2056"/>
      <c r="E580" s="2058"/>
      <c r="N580" s="2056"/>
    </row>
    <row r="581" spans="3:14" s="1670" customFormat="1" x14ac:dyDescent="0.2">
      <c r="C581" s="2056"/>
      <c r="E581" s="2058"/>
      <c r="N581" s="2056"/>
    </row>
    <row r="582" spans="3:14" s="1670" customFormat="1" x14ac:dyDescent="0.2">
      <c r="C582" s="2056"/>
      <c r="E582" s="2058"/>
      <c r="N582" s="2056"/>
    </row>
    <row r="583" spans="3:14" s="1670" customFormat="1" x14ac:dyDescent="0.2">
      <c r="C583" s="2056"/>
      <c r="E583" s="2058"/>
      <c r="N583" s="2056"/>
    </row>
    <row r="584" spans="3:14" s="1670" customFormat="1" x14ac:dyDescent="0.2">
      <c r="C584" s="2056"/>
      <c r="E584" s="2058"/>
      <c r="N584" s="2056"/>
    </row>
    <row r="585" spans="3:14" s="1670" customFormat="1" x14ac:dyDescent="0.2">
      <c r="C585" s="2056"/>
      <c r="E585" s="2058"/>
      <c r="N585" s="2056"/>
    </row>
    <row r="586" spans="3:14" s="1670" customFormat="1" x14ac:dyDescent="0.2">
      <c r="C586" s="2056"/>
      <c r="E586" s="2058"/>
      <c r="N586" s="2056"/>
    </row>
    <row r="587" spans="3:14" s="1670" customFormat="1" x14ac:dyDescent="0.2">
      <c r="C587" s="2056"/>
      <c r="E587" s="2058"/>
      <c r="N587" s="2056"/>
    </row>
    <row r="588" spans="3:14" s="1670" customFormat="1" x14ac:dyDescent="0.2">
      <c r="C588" s="2056"/>
      <c r="E588" s="2058"/>
      <c r="N588" s="2056"/>
    </row>
    <row r="589" spans="3:14" s="1670" customFormat="1" x14ac:dyDescent="0.2">
      <c r="C589" s="2056"/>
      <c r="E589" s="2058"/>
      <c r="N589" s="2056"/>
    </row>
    <row r="590" spans="3:14" s="1670" customFormat="1" x14ac:dyDescent="0.2">
      <c r="C590" s="2056"/>
      <c r="E590" s="2058"/>
      <c r="N590" s="2056"/>
    </row>
    <row r="591" spans="3:14" s="1670" customFormat="1" x14ac:dyDescent="0.2">
      <c r="C591" s="2056"/>
      <c r="E591" s="2058"/>
      <c r="N591" s="2056"/>
    </row>
    <row r="592" spans="3:14" s="1670" customFormat="1" x14ac:dyDescent="0.2">
      <c r="C592" s="2056"/>
      <c r="E592" s="2058"/>
      <c r="N592" s="2056"/>
    </row>
    <row r="593" spans="3:14" s="1670" customFormat="1" x14ac:dyDescent="0.2">
      <c r="C593" s="2056"/>
      <c r="E593" s="2058"/>
      <c r="N593" s="2056"/>
    </row>
    <row r="594" spans="3:14" s="1670" customFormat="1" x14ac:dyDescent="0.2">
      <c r="C594" s="2056"/>
      <c r="E594" s="2058"/>
      <c r="N594" s="2056"/>
    </row>
    <row r="595" spans="3:14" s="1670" customFormat="1" x14ac:dyDescent="0.2">
      <c r="C595" s="2056"/>
      <c r="E595" s="2058"/>
      <c r="N595" s="2056"/>
    </row>
    <row r="596" spans="3:14" s="1670" customFormat="1" x14ac:dyDescent="0.2">
      <c r="C596" s="2056"/>
      <c r="E596" s="2058"/>
      <c r="N596" s="2056"/>
    </row>
    <row r="597" spans="3:14" s="1670" customFormat="1" x14ac:dyDescent="0.2">
      <c r="C597" s="2056"/>
      <c r="E597" s="2058"/>
      <c r="N597" s="2056"/>
    </row>
    <row r="598" spans="3:14" s="1670" customFormat="1" x14ac:dyDescent="0.2">
      <c r="C598" s="2056"/>
      <c r="E598" s="2058"/>
      <c r="N598" s="2056"/>
    </row>
    <row r="599" spans="3:14" s="1670" customFormat="1" x14ac:dyDescent="0.2">
      <c r="C599" s="2056"/>
      <c r="E599" s="2058"/>
      <c r="N599" s="2056"/>
    </row>
    <row r="600" spans="3:14" s="1670" customFormat="1" x14ac:dyDescent="0.2">
      <c r="C600" s="2056"/>
      <c r="E600" s="2058"/>
      <c r="N600" s="2056"/>
    </row>
    <row r="601" spans="3:14" s="1670" customFormat="1" x14ac:dyDescent="0.2">
      <c r="C601" s="2056"/>
      <c r="E601" s="2058"/>
      <c r="N601" s="2056"/>
    </row>
    <row r="602" spans="3:14" s="1670" customFormat="1" x14ac:dyDescent="0.2">
      <c r="C602" s="2056"/>
      <c r="E602" s="2058"/>
      <c r="N602" s="2056"/>
    </row>
    <row r="603" spans="3:14" s="1670" customFormat="1" x14ac:dyDescent="0.2">
      <c r="C603" s="2056"/>
      <c r="E603" s="2058"/>
      <c r="N603" s="2056"/>
    </row>
    <row r="604" spans="3:14" s="1670" customFormat="1" x14ac:dyDescent="0.2">
      <c r="C604" s="2056"/>
      <c r="E604" s="2058"/>
      <c r="N604" s="2056"/>
    </row>
    <row r="605" spans="3:14" s="1670" customFormat="1" x14ac:dyDescent="0.2">
      <c r="C605" s="2056"/>
      <c r="E605" s="2058"/>
      <c r="N605" s="2056"/>
    </row>
    <row r="606" spans="3:14" s="1670" customFormat="1" x14ac:dyDescent="0.2">
      <c r="C606" s="2056"/>
      <c r="E606" s="2058"/>
      <c r="N606" s="2056"/>
    </row>
    <row r="607" spans="3:14" s="1670" customFormat="1" x14ac:dyDescent="0.2">
      <c r="C607" s="2056"/>
      <c r="E607" s="2058"/>
      <c r="N607" s="2056"/>
    </row>
    <row r="608" spans="3:14" s="1670" customFormat="1" x14ac:dyDescent="0.2">
      <c r="C608" s="2056"/>
      <c r="E608" s="2058"/>
      <c r="N608" s="2056"/>
    </row>
    <row r="609" spans="3:14" s="1670" customFormat="1" x14ac:dyDescent="0.2">
      <c r="C609" s="2056"/>
      <c r="E609" s="2058"/>
      <c r="N609" s="2056"/>
    </row>
    <row r="610" spans="3:14" s="1670" customFormat="1" x14ac:dyDescent="0.2">
      <c r="C610" s="2056"/>
      <c r="E610" s="2058"/>
      <c r="N610" s="2056"/>
    </row>
    <row r="611" spans="3:14" s="1670" customFormat="1" x14ac:dyDescent="0.2">
      <c r="C611" s="2056"/>
      <c r="E611" s="2058"/>
      <c r="N611" s="2056"/>
    </row>
    <row r="612" spans="3:14" s="1670" customFormat="1" x14ac:dyDescent="0.2">
      <c r="C612" s="2056"/>
      <c r="E612" s="2058"/>
      <c r="N612" s="2056"/>
    </row>
    <row r="613" spans="3:14" s="1670" customFormat="1" x14ac:dyDescent="0.2">
      <c r="C613" s="2056"/>
      <c r="E613" s="2058"/>
      <c r="N613" s="2056"/>
    </row>
    <row r="614" spans="3:14" s="1670" customFormat="1" x14ac:dyDescent="0.2">
      <c r="C614" s="2056"/>
      <c r="E614" s="2058"/>
      <c r="N614" s="2056"/>
    </row>
    <row r="615" spans="3:14" s="1670" customFormat="1" x14ac:dyDescent="0.2">
      <c r="C615" s="2056"/>
      <c r="E615" s="2058"/>
      <c r="N615" s="2056"/>
    </row>
    <row r="616" spans="3:14" s="1670" customFormat="1" x14ac:dyDescent="0.2">
      <c r="C616" s="2056"/>
      <c r="E616" s="2058"/>
      <c r="N616" s="2056"/>
    </row>
    <row r="617" spans="3:14" s="1670" customFormat="1" x14ac:dyDescent="0.2">
      <c r="C617" s="2056"/>
      <c r="E617" s="2058"/>
      <c r="N617" s="2056"/>
    </row>
    <row r="618" spans="3:14" s="1670" customFormat="1" x14ac:dyDescent="0.2">
      <c r="C618" s="2056"/>
      <c r="E618" s="2058"/>
      <c r="N618" s="2056"/>
    </row>
    <row r="619" spans="3:14" s="1670" customFormat="1" x14ac:dyDescent="0.2">
      <c r="C619" s="2056"/>
      <c r="E619" s="2058"/>
      <c r="N619" s="2056"/>
    </row>
    <row r="620" spans="3:14" s="1670" customFormat="1" x14ac:dyDescent="0.2">
      <c r="C620" s="2056"/>
      <c r="E620" s="2058"/>
      <c r="N620" s="2056"/>
    </row>
    <row r="621" spans="3:14" s="1670" customFormat="1" x14ac:dyDescent="0.2">
      <c r="C621" s="2056"/>
      <c r="E621" s="2058"/>
      <c r="N621" s="2056"/>
    </row>
    <row r="622" spans="3:14" s="1670" customFormat="1" x14ac:dyDescent="0.2">
      <c r="C622" s="2056"/>
      <c r="E622" s="2058"/>
      <c r="N622" s="2056"/>
    </row>
    <row r="623" spans="3:14" s="1670" customFormat="1" x14ac:dyDescent="0.2">
      <c r="C623" s="2056"/>
      <c r="E623" s="2058"/>
      <c r="N623" s="2056"/>
    </row>
    <row r="624" spans="3:14" s="1670" customFormat="1" x14ac:dyDescent="0.2">
      <c r="C624" s="2056"/>
      <c r="E624" s="2058"/>
      <c r="N624" s="2056"/>
    </row>
    <row r="625" spans="3:14" s="1670" customFormat="1" x14ac:dyDescent="0.2">
      <c r="C625" s="2056"/>
      <c r="E625" s="2058"/>
      <c r="N625" s="2056"/>
    </row>
    <row r="626" spans="3:14" s="1670" customFormat="1" x14ac:dyDescent="0.2">
      <c r="C626" s="2056"/>
      <c r="E626" s="2058"/>
      <c r="N626" s="2056"/>
    </row>
    <row r="627" spans="3:14" s="1670" customFormat="1" x14ac:dyDescent="0.2">
      <c r="C627" s="2056"/>
      <c r="E627" s="2058"/>
      <c r="N627" s="2056"/>
    </row>
    <row r="628" spans="3:14" s="1670" customFormat="1" x14ac:dyDescent="0.2">
      <c r="C628" s="2056"/>
      <c r="E628" s="2058"/>
      <c r="N628" s="2056"/>
    </row>
    <row r="629" spans="3:14" s="1670" customFormat="1" x14ac:dyDescent="0.2">
      <c r="C629" s="2056"/>
      <c r="E629" s="2058"/>
      <c r="N629" s="2056"/>
    </row>
    <row r="630" spans="3:14" s="1670" customFormat="1" x14ac:dyDescent="0.2">
      <c r="C630" s="2056"/>
      <c r="E630" s="2058"/>
      <c r="N630" s="2056"/>
    </row>
    <row r="631" spans="3:14" s="1670" customFormat="1" x14ac:dyDescent="0.2">
      <c r="C631" s="2056"/>
      <c r="E631" s="2058"/>
      <c r="N631" s="2056"/>
    </row>
    <row r="632" spans="3:14" s="1670" customFormat="1" x14ac:dyDescent="0.2">
      <c r="C632" s="2056"/>
      <c r="E632" s="2058"/>
      <c r="N632" s="2056"/>
    </row>
    <row r="633" spans="3:14" s="1670" customFormat="1" x14ac:dyDescent="0.2">
      <c r="C633" s="2056"/>
      <c r="E633" s="2058"/>
      <c r="N633" s="2056"/>
    </row>
    <row r="634" spans="3:14" s="1670" customFormat="1" x14ac:dyDescent="0.2">
      <c r="C634" s="2056"/>
      <c r="E634" s="2058"/>
      <c r="N634" s="2056"/>
    </row>
    <row r="635" spans="3:14" s="1670" customFormat="1" x14ac:dyDescent="0.2">
      <c r="C635" s="2056"/>
      <c r="E635" s="2058"/>
      <c r="N635" s="2056"/>
    </row>
    <row r="636" spans="3:14" s="1670" customFormat="1" x14ac:dyDescent="0.2">
      <c r="C636" s="2056"/>
      <c r="E636" s="2058"/>
      <c r="N636" s="2056"/>
    </row>
    <row r="637" spans="3:14" s="1670" customFormat="1" x14ac:dyDescent="0.2">
      <c r="C637" s="2056"/>
      <c r="E637" s="2058"/>
      <c r="N637" s="2056"/>
    </row>
    <row r="638" spans="3:14" s="1670" customFormat="1" x14ac:dyDescent="0.2">
      <c r="C638" s="2056"/>
      <c r="E638" s="2058"/>
      <c r="N638" s="2056"/>
    </row>
    <row r="639" spans="3:14" s="1670" customFormat="1" x14ac:dyDescent="0.2">
      <c r="C639" s="2056"/>
      <c r="E639" s="2058"/>
      <c r="N639" s="2056"/>
    </row>
    <row r="640" spans="3:14" s="1670" customFormat="1" x14ac:dyDescent="0.2">
      <c r="C640" s="2056"/>
      <c r="E640" s="2058"/>
      <c r="N640" s="2056"/>
    </row>
    <row r="641" spans="3:14" s="1670" customFormat="1" x14ac:dyDescent="0.2">
      <c r="C641" s="2056"/>
      <c r="E641" s="2058"/>
      <c r="N641" s="2056"/>
    </row>
    <row r="642" spans="3:14" s="1670" customFormat="1" x14ac:dyDescent="0.2">
      <c r="C642" s="2056"/>
      <c r="E642" s="2058"/>
      <c r="N642" s="2056"/>
    </row>
    <row r="643" spans="3:14" s="1670" customFormat="1" x14ac:dyDescent="0.2">
      <c r="C643" s="2056"/>
      <c r="E643" s="2058"/>
      <c r="N643" s="2056"/>
    </row>
    <row r="644" spans="3:14" s="1670" customFormat="1" x14ac:dyDescent="0.2">
      <c r="C644" s="2056"/>
      <c r="E644" s="2058"/>
      <c r="N644" s="2056"/>
    </row>
    <row r="645" spans="3:14" s="1670" customFormat="1" x14ac:dyDescent="0.2">
      <c r="C645" s="2056"/>
      <c r="E645" s="2058"/>
      <c r="N645" s="2056"/>
    </row>
    <row r="646" spans="3:14" s="1670" customFormat="1" x14ac:dyDescent="0.2">
      <c r="C646" s="2056"/>
      <c r="E646" s="2058"/>
      <c r="N646" s="2056"/>
    </row>
    <row r="647" spans="3:14" s="1670" customFormat="1" x14ac:dyDescent="0.2">
      <c r="C647" s="2056"/>
      <c r="E647" s="2058"/>
      <c r="N647" s="2056"/>
    </row>
    <row r="648" spans="3:14" s="1670" customFormat="1" x14ac:dyDescent="0.2">
      <c r="C648" s="2056"/>
      <c r="E648" s="2058"/>
      <c r="N648" s="2056"/>
    </row>
    <row r="649" spans="3:14" s="1670" customFormat="1" x14ac:dyDescent="0.2">
      <c r="C649" s="2056"/>
      <c r="E649" s="2058"/>
      <c r="N649" s="2056"/>
    </row>
    <row r="650" spans="3:14" s="1670" customFormat="1" x14ac:dyDescent="0.2">
      <c r="C650" s="2056"/>
      <c r="E650" s="2058"/>
      <c r="N650" s="2056"/>
    </row>
    <row r="651" spans="3:14" s="1670" customFormat="1" x14ac:dyDescent="0.2">
      <c r="C651" s="2056"/>
      <c r="E651" s="2058"/>
      <c r="N651" s="2056"/>
    </row>
    <row r="652" spans="3:14" s="1670" customFormat="1" x14ac:dyDescent="0.2">
      <c r="C652" s="2056"/>
      <c r="E652" s="2058"/>
      <c r="N652" s="2056"/>
    </row>
    <row r="653" spans="3:14" s="1670" customFormat="1" x14ac:dyDescent="0.2">
      <c r="C653" s="2056"/>
      <c r="E653" s="2058"/>
      <c r="N653" s="2056"/>
    </row>
    <row r="654" spans="3:14" s="1670" customFormat="1" x14ac:dyDescent="0.2">
      <c r="C654" s="2056"/>
      <c r="E654" s="2058"/>
      <c r="N654" s="2056"/>
    </row>
    <row r="655" spans="3:14" s="1670" customFormat="1" x14ac:dyDescent="0.2">
      <c r="C655" s="2056"/>
      <c r="E655" s="2058"/>
      <c r="N655" s="2056"/>
    </row>
    <row r="656" spans="3:14" s="1670" customFormat="1" x14ac:dyDescent="0.2">
      <c r="C656" s="2056"/>
      <c r="E656" s="2058"/>
      <c r="N656" s="2056"/>
    </row>
    <row r="657" spans="3:14" s="1670" customFormat="1" x14ac:dyDescent="0.2">
      <c r="C657" s="2056"/>
      <c r="E657" s="2058"/>
      <c r="N657" s="2056"/>
    </row>
    <row r="658" spans="3:14" s="1670" customFormat="1" x14ac:dyDescent="0.2">
      <c r="C658" s="2056"/>
      <c r="E658" s="2058"/>
      <c r="N658" s="2056"/>
    </row>
    <row r="659" spans="3:14" s="1670" customFormat="1" x14ac:dyDescent="0.2">
      <c r="C659" s="2056"/>
      <c r="E659" s="2058"/>
      <c r="N659" s="2056"/>
    </row>
    <row r="660" spans="3:14" s="1670" customFormat="1" x14ac:dyDescent="0.2">
      <c r="C660" s="2056"/>
      <c r="E660" s="2058"/>
      <c r="N660" s="2056"/>
    </row>
    <row r="661" spans="3:14" s="1670" customFormat="1" x14ac:dyDescent="0.2">
      <c r="C661" s="2056"/>
      <c r="E661" s="2058"/>
      <c r="N661" s="2056"/>
    </row>
    <row r="662" spans="3:14" s="1670" customFormat="1" x14ac:dyDescent="0.2">
      <c r="C662" s="2056"/>
      <c r="E662" s="2058"/>
      <c r="N662" s="2056"/>
    </row>
    <row r="663" spans="3:14" s="1670" customFormat="1" x14ac:dyDescent="0.2">
      <c r="C663" s="2056"/>
      <c r="E663" s="2058"/>
      <c r="N663" s="2056"/>
    </row>
    <row r="664" spans="3:14" s="1670" customFormat="1" x14ac:dyDescent="0.2">
      <c r="C664" s="2056"/>
      <c r="E664" s="2058"/>
      <c r="N664" s="2056"/>
    </row>
    <row r="665" spans="3:14" s="1670" customFormat="1" x14ac:dyDescent="0.2">
      <c r="C665" s="2056"/>
      <c r="E665" s="2058"/>
      <c r="N665" s="2056"/>
    </row>
    <row r="666" spans="3:14" s="1670" customFormat="1" x14ac:dyDescent="0.2">
      <c r="C666" s="2056"/>
      <c r="E666" s="2058"/>
      <c r="N666" s="2056"/>
    </row>
    <row r="667" spans="3:14" s="1670" customFormat="1" x14ac:dyDescent="0.2">
      <c r="C667" s="2056"/>
      <c r="E667" s="2058"/>
      <c r="N667" s="2056"/>
    </row>
    <row r="668" spans="3:14" s="1670" customFormat="1" x14ac:dyDescent="0.2">
      <c r="C668" s="2056"/>
      <c r="E668" s="2058"/>
      <c r="N668" s="2056"/>
    </row>
    <row r="669" spans="3:14" s="1670" customFormat="1" x14ac:dyDescent="0.2">
      <c r="C669" s="2056"/>
      <c r="E669" s="2058"/>
      <c r="N669" s="2056"/>
    </row>
    <row r="670" spans="3:14" s="1670" customFormat="1" x14ac:dyDescent="0.2">
      <c r="C670" s="2056"/>
      <c r="E670" s="2058"/>
      <c r="N670" s="2056"/>
    </row>
    <row r="671" spans="3:14" s="1670" customFormat="1" x14ac:dyDescent="0.2">
      <c r="C671" s="2056"/>
      <c r="E671" s="2058"/>
      <c r="N671" s="2056"/>
    </row>
    <row r="672" spans="3:14" s="1670" customFormat="1" x14ac:dyDescent="0.2">
      <c r="C672" s="2056"/>
      <c r="E672" s="2058"/>
      <c r="N672" s="2056"/>
    </row>
    <row r="673" spans="3:14" s="1670" customFormat="1" x14ac:dyDescent="0.2">
      <c r="C673" s="2056"/>
      <c r="E673" s="2058"/>
      <c r="N673" s="2056"/>
    </row>
    <row r="674" spans="3:14" s="1670" customFormat="1" x14ac:dyDescent="0.2">
      <c r="C674" s="2056"/>
      <c r="E674" s="2058"/>
      <c r="N674" s="2056"/>
    </row>
    <row r="675" spans="3:14" s="1670" customFormat="1" x14ac:dyDescent="0.2">
      <c r="C675" s="2056"/>
      <c r="E675" s="2058"/>
      <c r="N675" s="2056"/>
    </row>
    <row r="676" spans="3:14" s="1670" customFormat="1" x14ac:dyDescent="0.2">
      <c r="C676" s="2056"/>
      <c r="E676" s="2058"/>
      <c r="N676" s="2056"/>
    </row>
    <row r="677" spans="3:14" s="1670" customFormat="1" x14ac:dyDescent="0.2">
      <c r="C677" s="2056"/>
      <c r="E677" s="2058"/>
      <c r="N677" s="2056"/>
    </row>
    <row r="678" spans="3:14" s="1670" customFormat="1" x14ac:dyDescent="0.2">
      <c r="C678" s="2056"/>
      <c r="E678" s="2058"/>
      <c r="N678" s="2056"/>
    </row>
    <row r="679" spans="3:14" s="1670" customFormat="1" x14ac:dyDescent="0.2">
      <c r="C679" s="2056"/>
      <c r="E679" s="2058"/>
      <c r="N679" s="2056"/>
    </row>
    <row r="680" spans="3:14" s="1670" customFormat="1" x14ac:dyDescent="0.2">
      <c r="C680" s="2056"/>
      <c r="E680" s="2058"/>
      <c r="N680" s="2056"/>
    </row>
    <row r="681" spans="3:14" s="1670" customFormat="1" x14ac:dyDescent="0.2">
      <c r="C681" s="2056"/>
      <c r="E681" s="2058"/>
      <c r="N681" s="2056"/>
    </row>
    <row r="682" spans="3:14" s="1670" customFormat="1" x14ac:dyDescent="0.2">
      <c r="C682" s="2056"/>
      <c r="E682" s="2058"/>
      <c r="N682" s="2056"/>
    </row>
    <row r="683" spans="3:14" s="1670" customFormat="1" x14ac:dyDescent="0.2">
      <c r="C683" s="2056"/>
      <c r="E683" s="2058"/>
      <c r="N683" s="2056"/>
    </row>
    <row r="684" spans="3:14" s="1670" customFormat="1" x14ac:dyDescent="0.2">
      <c r="C684" s="2056"/>
      <c r="E684" s="2058"/>
      <c r="N684" s="2056"/>
    </row>
    <row r="685" spans="3:14" s="1670" customFormat="1" x14ac:dyDescent="0.2">
      <c r="C685" s="2056"/>
      <c r="E685" s="2058"/>
      <c r="N685" s="2056"/>
    </row>
    <row r="686" spans="3:14" s="1670" customFormat="1" x14ac:dyDescent="0.2">
      <c r="C686" s="2056"/>
      <c r="E686" s="2058"/>
      <c r="N686" s="2056"/>
    </row>
    <row r="687" spans="3:14" s="1670" customFormat="1" x14ac:dyDescent="0.2">
      <c r="C687" s="2056"/>
      <c r="E687" s="2058"/>
      <c r="N687" s="2056"/>
    </row>
    <row r="688" spans="3:14" s="1670" customFormat="1" x14ac:dyDescent="0.2">
      <c r="C688" s="2056"/>
      <c r="E688" s="2058"/>
      <c r="N688" s="2056"/>
    </row>
    <row r="689" spans="3:14" s="1670" customFormat="1" x14ac:dyDescent="0.2">
      <c r="C689" s="2056"/>
      <c r="E689" s="2058"/>
      <c r="N689" s="2056"/>
    </row>
    <row r="690" spans="3:14" s="1670" customFormat="1" x14ac:dyDescent="0.2">
      <c r="C690" s="2056"/>
      <c r="E690" s="2058"/>
      <c r="N690" s="2056"/>
    </row>
    <row r="691" spans="3:14" s="1670" customFormat="1" x14ac:dyDescent="0.2">
      <c r="C691" s="2056"/>
      <c r="E691" s="2058"/>
      <c r="N691" s="2056"/>
    </row>
    <row r="692" spans="3:14" s="1670" customFormat="1" x14ac:dyDescent="0.2">
      <c r="C692" s="2056"/>
      <c r="E692" s="2058"/>
      <c r="N692" s="2056"/>
    </row>
    <row r="693" spans="3:14" s="1670" customFormat="1" x14ac:dyDescent="0.2">
      <c r="C693" s="2056"/>
      <c r="E693" s="2058"/>
      <c r="N693" s="2056"/>
    </row>
    <row r="694" spans="3:14" s="1670" customFormat="1" x14ac:dyDescent="0.2">
      <c r="C694" s="2056"/>
      <c r="E694" s="2058"/>
      <c r="N694" s="2056"/>
    </row>
    <row r="695" spans="3:14" s="1670" customFormat="1" x14ac:dyDescent="0.2">
      <c r="C695" s="2056"/>
      <c r="E695" s="2058"/>
      <c r="N695" s="2056"/>
    </row>
    <row r="696" spans="3:14" s="1670" customFormat="1" x14ac:dyDescent="0.2">
      <c r="C696" s="2056"/>
      <c r="E696" s="2058"/>
      <c r="N696" s="2056"/>
    </row>
    <row r="697" spans="3:14" s="1670" customFormat="1" x14ac:dyDescent="0.2">
      <c r="C697" s="2056"/>
      <c r="E697" s="2058"/>
      <c r="N697" s="2056"/>
    </row>
    <row r="698" spans="3:14" s="1670" customFormat="1" x14ac:dyDescent="0.2">
      <c r="C698" s="2056"/>
      <c r="E698" s="2058"/>
      <c r="N698" s="2056"/>
    </row>
    <row r="699" spans="3:14" s="1670" customFormat="1" x14ac:dyDescent="0.2">
      <c r="C699" s="2056"/>
      <c r="E699" s="2058"/>
      <c r="N699" s="2056"/>
    </row>
    <row r="700" spans="3:14" s="1670" customFormat="1" x14ac:dyDescent="0.2">
      <c r="C700" s="2056"/>
      <c r="E700" s="2058"/>
      <c r="N700" s="2056"/>
    </row>
    <row r="701" spans="3:14" s="1670" customFormat="1" x14ac:dyDescent="0.2">
      <c r="C701" s="2056"/>
      <c r="E701" s="2058"/>
      <c r="N701" s="2056"/>
    </row>
    <row r="702" spans="3:14" s="1670" customFormat="1" x14ac:dyDescent="0.2">
      <c r="C702" s="2056"/>
      <c r="E702" s="2058"/>
      <c r="N702" s="2056"/>
    </row>
    <row r="703" spans="3:14" s="1670" customFormat="1" x14ac:dyDescent="0.2">
      <c r="C703" s="2056"/>
      <c r="E703" s="2058"/>
      <c r="N703" s="2056"/>
    </row>
    <row r="704" spans="3:14" s="1670" customFormat="1" x14ac:dyDescent="0.2">
      <c r="C704" s="2056"/>
      <c r="E704" s="2058"/>
      <c r="N704" s="2056"/>
    </row>
    <row r="705" spans="3:14" s="1670" customFormat="1" x14ac:dyDescent="0.2">
      <c r="C705" s="2056"/>
      <c r="E705" s="2058"/>
      <c r="N705" s="2056"/>
    </row>
    <row r="706" spans="3:14" s="1670" customFormat="1" x14ac:dyDescent="0.2">
      <c r="C706" s="2056"/>
      <c r="E706" s="2058"/>
      <c r="N706" s="2056"/>
    </row>
    <row r="707" spans="3:14" s="1670" customFormat="1" x14ac:dyDescent="0.2">
      <c r="C707" s="2056"/>
      <c r="E707" s="2058"/>
      <c r="N707" s="2056"/>
    </row>
    <row r="708" spans="3:14" s="1670" customFormat="1" x14ac:dyDescent="0.2">
      <c r="C708" s="2056"/>
      <c r="E708" s="2058"/>
      <c r="N708" s="2056"/>
    </row>
    <row r="709" spans="3:14" s="1670" customFormat="1" x14ac:dyDescent="0.2">
      <c r="C709" s="2056"/>
      <c r="E709" s="2058"/>
      <c r="N709" s="2056"/>
    </row>
    <row r="710" spans="3:14" s="1670" customFormat="1" x14ac:dyDescent="0.2">
      <c r="C710" s="2056"/>
      <c r="E710" s="2058"/>
      <c r="N710" s="2056"/>
    </row>
    <row r="711" spans="3:14" s="1670" customFormat="1" x14ac:dyDescent="0.2">
      <c r="C711" s="2056"/>
      <c r="E711" s="2058"/>
      <c r="N711" s="2056"/>
    </row>
    <row r="712" spans="3:14" s="1670" customFormat="1" x14ac:dyDescent="0.2">
      <c r="C712" s="2056"/>
      <c r="E712" s="2058"/>
      <c r="N712" s="2056"/>
    </row>
    <row r="713" spans="3:14" s="1670" customFormat="1" x14ac:dyDescent="0.2">
      <c r="C713" s="2056"/>
      <c r="E713" s="2058"/>
      <c r="N713" s="2056"/>
    </row>
    <row r="714" spans="3:14" s="1670" customFormat="1" x14ac:dyDescent="0.2">
      <c r="C714" s="2056"/>
      <c r="E714" s="2058"/>
      <c r="N714" s="2056"/>
    </row>
    <row r="715" spans="3:14" s="1670" customFormat="1" x14ac:dyDescent="0.2">
      <c r="C715" s="2056"/>
      <c r="E715" s="2058"/>
      <c r="N715" s="2056"/>
    </row>
    <row r="716" spans="3:14" s="1670" customFormat="1" x14ac:dyDescent="0.2">
      <c r="C716" s="2056"/>
      <c r="E716" s="2058"/>
      <c r="N716" s="2056"/>
    </row>
    <row r="717" spans="3:14" s="1670" customFormat="1" x14ac:dyDescent="0.2">
      <c r="C717" s="2056"/>
      <c r="E717" s="2058"/>
      <c r="N717" s="2056"/>
    </row>
    <row r="718" spans="3:14" s="1670" customFormat="1" x14ac:dyDescent="0.2">
      <c r="C718" s="2056"/>
      <c r="E718" s="2058"/>
      <c r="N718" s="2056"/>
    </row>
    <row r="719" spans="3:14" s="1670" customFormat="1" x14ac:dyDescent="0.2">
      <c r="C719" s="2056"/>
      <c r="E719" s="2058"/>
      <c r="N719" s="2056"/>
    </row>
    <row r="720" spans="3:14" s="1670" customFormat="1" x14ac:dyDescent="0.2">
      <c r="C720" s="2056"/>
      <c r="E720" s="2058"/>
      <c r="N720" s="2056"/>
    </row>
    <row r="721" spans="3:14" s="1670" customFormat="1" x14ac:dyDescent="0.2">
      <c r="C721" s="2056"/>
      <c r="E721" s="2058"/>
      <c r="N721" s="2056"/>
    </row>
    <row r="722" spans="3:14" s="1670" customFormat="1" x14ac:dyDescent="0.2">
      <c r="C722" s="2056"/>
      <c r="E722" s="2058"/>
      <c r="N722" s="2056"/>
    </row>
    <row r="723" spans="3:14" s="1670" customFormat="1" x14ac:dyDescent="0.2">
      <c r="C723" s="2056"/>
      <c r="E723" s="2058"/>
      <c r="N723" s="2056"/>
    </row>
    <row r="724" spans="3:14" s="1670" customFormat="1" x14ac:dyDescent="0.2">
      <c r="C724" s="2056"/>
      <c r="E724" s="2058"/>
      <c r="N724" s="2056"/>
    </row>
    <row r="725" spans="3:14" s="1670" customFormat="1" x14ac:dyDescent="0.2">
      <c r="C725" s="2056"/>
      <c r="E725" s="2058"/>
      <c r="N725" s="2056"/>
    </row>
    <row r="726" spans="3:14" s="1670" customFormat="1" x14ac:dyDescent="0.2">
      <c r="C726" s="2056"/>
      <c r="E726" s="2058"/>
      <c r="N726" s="2056"/>
    </row>
    <row r="727" spans="3:14" s="1670" customFormat="1" x14ac:dyDescent="0.2">
      <c r="C727" s="2056"/>
      <c r="E727" s="2058"/>
      <c r="N727" s="2056"/>
    </row>
    <row r="728" spans="3:14" s="1670" customFormat="1" x14ac:dyDescent="0.2">
      <c r="C728" s="2056"/>
      <c r="E728" s="2058"/>
      <c r="N728" s="2056"/>
    </row>
    <row r="729" spans="3:14" s="1670" customFormat="1" x14ac:dyDescent="0.2">
      <c r="C729" s="2056"/>
      <c r="E729" s="2058"/>
      <c r="N729" s="2056"/>
    </row>
    <row r="730" spans="3:14" s="1670" customFormat="1" x14ac:dyDescent="0.2">
      <c r="C730" s="2056"/>
      <c r="E730" s="2058"/>
      <c r="N730" s="2056"/>
    </row>
    <row r="731" spans="3:14" s="1670" customFormat="1" x14ac:dyDescent="0.2">
      <c r="C731" s="2056"/>
      <c r="E731" s="2058"/>
      <c r="N731" s="2056"/>
    </row>
    <row r="732" spans="3:14" s="1670" customFormat="1" x14ac:dyDescent="0.2">
      <c r="C732" s="2056"/>
      <c r="E732" s="2058"/>
      <c r="N732" s="2056"/>
    </row>
    <row r="733" spans="3:14" s="1670" customFormat="1" x14ac:dyDescent="0.2">
      <c r="C733" s="2056"/>
      <c r="E733" s="2058"/>
      <c r="N733" s="2056"/>
    </row>
    <row r="734" spans="3:14" s="1670" customFormat="1" x14ac:dyDescent="0.2">
      <c r="C734" s="2056"/>
      <c r="E734" s="2058"/>
      <c r="N734" s="2056"/>
    </row>
    <row r="735" spans="3:14" s="1670" customFormat="1" x14ac:dyDescent="0.2">
      <c r="C735" s="2056"/>
      <c r="E735" s="2058"/>
      <c r="N735" s="2056"/>
    </row>
    <row r="736" spans="3:14" s="1670" customFormat="1" x14ac:dyDescent="0.2">
      <c r="C736" s="2056"/>
      <c r="E736" s="2058"/>
      <c r="N736" s="2056"/>
    </row>
    <row r="737" spans="3:14" s="1670" customFormat="1" x14ac:dyDescent="0.2">
      <c r="C737" s="2056"/>
      <c r="E737" s="2058"/>
      <c r="N737" s="2056"/>
    </row>
    <row r="738" spans="3:14" s="1670" customFormat="1" x14ac:dyDescent="0.2">
      <c r="C738" s="2056"/>
      <c r="E738" s="2058"/>
      <c r="N738" s="2056"/>
    </row>
    <row r="739" spans="3:14" s="1670" customFormat="1" x14ac:dyDescent="0.2">
      <c r="C739" s="2056"/>
      <c r="E739" s="2058"/>
      <c r="N739" s="2056"/>
    </row>
    <row r="740" spans="3:14" s="1670" customFormat="1" x14ac:dyDescent="0.2">
      <c r="C740" s="2056"/>
      <c r="E740" s="2058"/>
      <c r="N740" s="2056"/>
    </row>
    <row r="741" spans="3:14" s="1670" customFormat="1" x14ac:dyDescent="0.2">
      <c r="C741" s="2056"/>
      <c r="E741" s="2058"/>
      <c r="N741" s="2056"/>
    </row>
    <row r="742" spans="3:14" s="1670" customFormat="1" x14ac:dyDescent="0.2">
      <c r="C742" s="2056"/>
      <c r="E742" s="2058"/>
      <c r="N742" s="2056"/>
    </row>
    <row r="743" spans="3:14" s="1670" customFormat="1" x14ac:dyDescent="0.2">
      <c r="C743" s="2056"/>
      <c r="E743" s="2058"/>
      <c r="N743" s="2056"/>
    </row>
    <row r="744" spans="3:14" s="1670" customFormat="1" x14ac:dyDescent="0.2">
      <c r="C744" s="2056"/>
      <c r="E744" s="2058"/>
      <c r="N744" s="2056"/>
    </row>
    <row r="745" spans="3:14" s="1670" customFormat="1" x14ac:dyDescent="0.2">
      <c r="C745" s="2056"/>
      <c r="E745" s="2058"/>
      <c r="N745" s="2056"/>
    </row>
    <row r="746" spans="3:14" s="1670" customFormat="1" x14ac:dyDescent="0.2">
      <c r="C746" s="2056"/>
      <c r="E746" s="2058"/>
      <c r="N746" s="2056"/>
    </row>
    <row r="747" spans="3:14" s="1670" customFormat="1" x14ac:dyDescent="0.2">
      <c r="C747" s="2056"/>
      <c r="E747" s="2058"/>
      <c r="N747" s="2056"/>
    </row>
    <row r="748" spans="3:14" s="1670" customFormat="1" x14ac:dyDescent="0.2">
      <c r="C748" s="2056"/>
      <c r="E748" s="2058"/>
      <c r="N748" s="2056"/>
    </row>
    <row r="749" spans="3:14" s="1670" customFormat="1" x14ac:dyDescent="0.2">
      <c r="C749" s="2056"/>
      <c r="E749" s="2058"/>
      <c r="N749" s="2056"/>
    </row>
    <row r="750" spans="3:14" s="1670" customFormat="1" x14ac:dyDescent="0.2">
      <c r="C750" s="2056"/>
      <c r="E750" s="2058"/>
      <c r="N750" s="2056"/>
    </row>
    <row r="751" spans="3:14" s="1670" customFormat="1" x14ac:dyDescent="0.2">
      <c r="C751" s="2056"/>
      <c r="E751" s="2058"/>
      <c r="N751" s="2056"/>
    </row>
    <row r="752" spans="3:14" s="1670" customFormat="1" x14ac:dyDescent="0.2">
      <c r="C752" s="2056"/>
      <c r="E752" s="2058"/>
      <c r="N752" s="2056"/>
    </row>
    <row r="753" spans="3:14" s="1670" customFormat="1" x14ac:dyDescent="0.2">
      <c r="C753" s="2056"/>
      <c r="E753" s="2058"/>
      <c r="N753" s="2056"/>
    </row>
    <row r="754" spans="3:14" s="1670" customFormat="1" x14ac:dyDescent="0.2">
      <c r="C754" s="2056"/>
      <c r="E754" s="2058"/>
      <c r="N754" s="2056"/>
    </row>
    <row r="755" spans="3:14" s="1670" customFormat="1" x14ac:dyDescent="0.2">
      <c r="C755" s="2056"/>
      <c r="E755" s="2058"/>
      <c r="N755" s="2056"/>
    </row>
    <row r="756" spans="3:14" s="1670" customFormat="1" x14ac:dyDescent="0.2">
      <c r="C756" s="2056"/>
      <c r="E756" s="2058"/>
      <c r="N756" s="2056"/>
    </row>
    <row r="757" spans="3:14" s="1670" customFormat="1" x14ac:dyDescent="0.2">
      <c r="C757" s="2056"/>
      <c r="E757" s="2058"/>
      <c r="N757" s="2056"/>
    </row>
    <row r="758" spans="3:14" s="1670" customFormat="1" x14ac:dyDescent="0.2">
      <c r="C758" s="2056"/>
      <c r="E758" s="2058"/>
      <c r="N758" s="2056"/>
    </row>
    <row r="759" spans="3:14" s="1670" customFormat="1" x14ac:dyDescent="0.2">
      <c r="C759" s="2056"/>
      <c r="E759" s="2058"/>
      <c r="N759" s="2056"/>
    </row>
    <row r="760" spans="3:14" s="1670" customFormat="1" x14ac:dyDescent="0.2">
      <c r="C760" s="2056"/>
      <c r="E760" s="2058"/>
      <c r="N760" s="2056"/>
    </row>
    <row r="761" spans="3:14" s="1670" customFormat="1" x14ac:dyDescent="0.2">
      <c r="C761" s="2056"/>
      <c r="E761" s="2058"/>
      <c r="N761" s="2056"/>
    </row>
    <row r="762" spans="3:14" s="1670" customFormat="1" x14ac:dyDescent="0.2">
      <c r="C762" s="2056"/>
      <c r="E762" s="2058"/>
      <c r="N762" s="2056"/>
    </row>
    <row r="763" spans="3:14" s="1670" customFormat="1" x14ac:dyDescent="0.2">
      <c r="C763" s="2056"/>
      <c r="E763" s="2058"/>
      <c r="N763" s="2056"/>
    </row>
    <row r="764" spans="3:14" s="1670" customFormat="1" x14ac:dyDescent="0.2">
      <c r="C764" s="2056"/>
      <c r="E764" s="2058"/>
      <c r="N764" s="2056"/>
    </row>
    <row r="765" spans="3:14" s="1670" customFormat="1" x14ac:dyDescent="0.2">
      <c r="C765" s="2056"/>
      <c r="E765" s="2058"/>
      <c r="N765" s="2056"/>
    </row>
    <row r="766" spans="3:14" s="1670" customFormat="1" x14ac:dyDescent="0.2">
      <c r="C766" s="2056"/>
      <c r="E766" s="2058"/>
      <c r="N766" s="2056"/>
    </row>
    <row r="767" spans="3:14" s="1670" customFormat="1" x14ac:dyDescent="0.2">
      <c r="C767" s="2056"/>
      <c r="E767" s="2058"/>
      <c r="N767" s="2056"/>
    </row>
    <row r="768" spans="3:14" s="1670" customFormat="1" x14ac:dyDescent="0.2">
      <c r="C768" s="2056"/>
      <c r="E768" s="2058"/>
      <c r="N768" s="2056"/>
    </row>
    <row r="769" spans="3:14" s="1670" customFormat="1" x14ac:dyDescent="0.2">
      <c r="C769" s="2056"/>
      <c r="E769" s="2058"/>
      <c r="N769" s="2056"/>
    </row>
    <row r="770" spans="3:14" s="1670" customFormat="1" x14ac:dyDescent="0.2">
      <c r="C770" s="2056"/>
      <c r="E770" s="2058"/>
      <c r="N770" s="2056"/>
    </row>
    <row r="771" spans="3:14" s="1670" customFormat="1" x14ac:dyDescent="0.2">
      <c r="C771" s="2056"/>
      <c r="E771" s="2058"/>
      <c r="N771" s="2056"/>
    </row>
    <row r="772" spans="3:14" s="1670" customFormat="1" x14ac:dyDescent="0.2">
      <c r="C772" s="2056"/>
      <c r="E772" s="2058"/>
      <c r="N772" s="2056"/>
    </row>
    <row r="773" spans="3:14" s="1670" customFormat="1" x14ac:dyDescent="0.2">
      <c r="C773" s="2056"/>
      <c r="E773" s="2058"/>
      <c r="N773" s="2056"/>
    </row>
    <row r="774" spans="3:14" s="1670" customFormat="1" x14ac:dyDescent="0.2">
      <c r="C774" s="2056"/>
      <c r="E774" s="2058"/>
      <c r="N774" s="2056"/>
    </row>
    <row r="775" spans="3:14" s="1670" customFormat="1" x14ac:dyDescent="0.2">
      <c r="C775" s="2056"/>
      <c r="E775" s="2058"/>
      <c r="N775" s="2056"/>
    </row>
    <row r="776" spans="3:14" s="1670" customFormat="1" x14ac:dyDescent="0.2">
      <c r="C776" s="2056"/>
      <c r="E776" s="2058"/>
      <c r="N776" s="2056"/>
    </row>
    <row r="777" spans="3:14" s="1670" customFormat="1" x14ac:dyDescent="0.2">
      <c r="C777" s="2056"/>
      <c r="E777" s="2058"/>
      <c r="N777" s="2056"/>
    </row>
    <row r="778" spans="3:14" s="1670" customFormat="1" x14ac:dyDescent="0.2">
      <c r="C778" s="2056"/>
      <c r="E778" s="2058"/>
      <c r="N778" s="2056"/>
    </row>
    <row r="779" spans="3:14" s="1670" customFormat="1" x14ac:dyDescent="0.2">
      <c r="C779" s="2056"/>
      <c r="E779" s="2058"/>
      <c r="N779" s="2056"/>
    </row>
    <row r="780" spans="3:14" s="1670" customFormat="1" x14ac:dyDescent="0.2">
      <c r="C780" s="2056"/>
      <c r="E780" s="2058"/>
      <c r="N780" s="2056"/>
    </row>
    <row r="781" spans="3:14" s="1670" customFormat="1" x14ac:dyDescent="0.2">
      <c r="C781" s="2056"/>
      <c r="E781" s="2058"/>
      <c r="N781" s="2056"/>
    </row>
    <row r="782" spans="3:14" s="1670" customFormat="1" x14ac:dyDescent="0.2">
      <c r="C782" s="2056"/>
      <c r="E782" s="2058"/>
      <c r="N782" s="2056"/>
    </row>
    <row r="783" spans="3:14" s="1670" customFormat="1" x14ac:dyDescent="0.2">
      <c r="C783" s="2056"/>
      <c r="E783" s="2058"/>
      <c r="N783" s="2056"/>
    </row>
    <row r="784" spans="3:14" s="1670" customFormat="1" x14ac:dyDescent="0.2">
      <c r="C784" s="2056"/>
      <c r="E784" s="2058"/>
      <c r="N784" s="2056"/>
    </row>
    <row r="785" spans="3:14" s="1670" customFormat="1" x14ac:dyDescent="0.2">
      <c r="C785" s="2056"/>
      <c r="E785" s="2058"/>
      <c r="N785" s="2056"/>
    </row>
    <row r="786" spans="3:14" s="1670" customFormat="1" x14ac:dyDescent="0.2">
      <c r="C786" s="2056"/>
      <c r="E786" s="2058"/>
      <c r="N786" s="2056"/>
    </row>
    <row r="787" spans="3:14" s="1670" customFormat="1" x14ac:dyDescent="0.2">
      <c r="C787" s="2056"/>
      <c r="E787" s="2058"/>
      <c r="N787" s="2056"/>
    </row>
    <row r="788" spans="3:14" s="1670" customFormat="1" x14ac:dyDescent="0.2">
      <c r="C788" s="2056"/>
      <c r="E788" s="2058"/>
      <c r="N788" s="2056"/>
    </row>
    <row r="789" spans="3:14" s="1670" customFormat="1" x14ac:dyDescent="0.2">
      <c r="C789" s="2056"/>
      <c r="E789" s="2058"/>
      <c r="N789" s="2056"/>
    </row>
    <row r="790" spans="3:14" s="1670" customFormat="1" x14ac:dyDescent="0.2">
      <c r="C790" s="2056"/>
      <c r="E790" s="2058"/>
      <c r="N790" s="2056"/>
    </row>
    <row r="791" spans="3:14" s="1670" customFormat="1" x14ac:dyDescent="0.2">
      <c r="C791" s="2056"/>
      <c r="E791" s="2058"/>
      <c r="N791" s="2056"/>
    </row>
    <row r="792" spans="3:14" s="1670" customFormat="1" x14ac:dyDescent="0.2">
      <c r="C792" s="2056"/>
      <c r="E792" s="2058"/>
      <c r="N792" s="2056"/>
    </row>
    <row r="793" spans="3:14" s="1670" customFormat="1" x14ac:dyDescent="0.2">
      <c r="C793" s="2056"/>
      <c r="E793" s="2058"/>
      <c r="N793" s="2056"/>
    </row>
    <row r="794" spans="3:14" s="1670" customFormat="1" x14ac:dyDescent="0.2">
      <c r="C794" s="2056"/>
      <c r="E794" s="2058"/>
      <c r="N794" s="2056"/>
    </row>
    <row r="795" spans="3:14" s="1670" customFormat="1" x14ac:dyDescent="0.2">
      <c r="C795" s="2056"/>
      <c r="E795" s="2058"/>
      <c r="N795" s="2056"/>
    </row>
    <row r="796" spans="3:14" s="1670" customFormat="1" x14ac:dyDescent="0.2">
      <c r="C796" s="2056"/>
      <c r="E796" s="2058"/>
      <c r="N796" s="2056"/>
    </row>
    <row r="797" spans="3:14" s="1670" customFormat="1" x14ac:dyDescent="0.2">
      <c r="C797" s="2056"/>
      <c r="E797" s="2058"/>
      <c r="N797" s="2056"/>
    </row>
    <row r="798" spans="3:14" s="1670" customFormat="1" x14ac:dyDescent="0.2">
      <c r="C798" s="2056"/>
      <c r="E798" s="2058"/>
      <c r="N798" s="2056"/>
    </row>
    <row r="799" spans="3:14" s="1670" customFormat="1" x14ac:dyDescent="0.2">
      <c r="C799" s="2056"/>
      <c r="E799" s="2058"/>
      <c r="N799" s="2056"/>
    </row>
    <row r="800" spans="3:14" s="1670" customFormat="1" x14ac:dyDescent="0.2">
      <c r="C800" s="2056"/>
      <c r="E800" s="2058"/>
      <c r="N800" s="2056"/>
    </row>
    <row r="801" spans="1:14" s="1670" customFormat="1" x14ac:dyDescent="0.2">
      <c r="C801" s="2056"/>
      <c r="E801" s="2058"/>
      <c r="N801" s="2056"/>
    </row>
    <row r="802" spans="1:14" s="1670" customFormat="1" x14ac:dyDescent="0.2">
      <c r="C802" s="2056"/>
      <c r="E802" s="2058"/>
      <c r="N802" s="2056"/>
    </row>
    <row r="803" spans="1:14" s="1670" customFormat="1" x14ac:dyDescent="0.2">
      <c r="C803" s="2056"/>
      <c r="E803" s="2058"/>
      <c r="N803" s="2056"/>
    </row>
    <row r="804" spans="1:14" s="1670" customFormat="1" x14ac:dyDescent="0.2">
      <c r="A804" s="2061"/>
      <c r="C804" s="2056"/>
      <c r="N804" s="2062"/>
    </row>
    <row r="805" spans="1:14" s="1670" customFormat="1" x14ac:dyDescent="0.2">
      <c r="A805" s="2061"/>
      <c r="C805" s="2056"/>
      <c r="N805" s="2062"/>
    </row>
    <row r="806" spans="1:14" s="1670" customFormat="1" x14ac:dyDescent="0.2">
      <c r="A806" s="2061"/>
      <c r="C806" s="2056"/>
      <c r="N806" s="2062"/>
    </row>
    <row r="807" spans="1:14" s="1670" customFormat="1" x14ac:dyDescent="0.2">
      <c r="A807" s="2061"/>
      <c r="C807" s="2056"/>
      <c r="N807" s="2062"/>
    </row>
    <row r="808" spans="1:14" s="1670" customFormat="1" x14ac:dyDescent="0.2">
      <c r="A808" s="2061"/>
      <c r="C808" s="2056"/>
      <c r="N808" s="2062"/>
    </row>
    <row r="809" spans="1:14" s="1670" customFormat="1" x14ac:dyDescent="0.2">
      <c r="A809" s="2061"/>
      <c r="C809" s="2056"/>
      <c r="N809" s="2062"/>
    </row>
    <row r="810" spans="1:14" s="1670" customFormat="1" x14ac:dyDescent="0.2">
      <c r="A810" s="2061"/>
      <c r="C810" s="2056"/>
      <c r="N810" s="2062"/>
    </row>
    <row r="811" spans="1:14" s="1670" customFormat="1" x14ac:dyDescent="0.2">
      <c r="A811" s="2061"/>
      <c r="C811" s="2056"/>
      <c r="N811" s="2062"/>
    </row>
    <row r="812" spans="1:14" s="1670" customFormat="1" x14ac:dyDescent="0.2">
      <c r="A812" s="2061"/>
      <c r="C812" s="2056"/>
      <c r="N812" s="2062"/>
    </row>
    <row r="813" spans="1:14" s="1670" customFormat="1" x14ac:dyDescent="0.2">
      <c r="A813" s="2061"/>
      <c r="C813" s="2056"/>
      <c r="N813" s="2062"/>
    </row>
  </sheetData>
  <mergeCells count="79">
    <mergeCell ref="I5:M5"/>
    <mergeCell ref="N5:N8"/>
    <mergeCell ref="N13:N23"/>
    <mergeCell ref="A24:A34"/>
    <mergeCell ref="N24:N34"/>
    <mergeCell ref="C26:C29"/>
    <mergeCell ref="C31:C34"/>
    <mergeCell ref="H7:H8"/>
    <mergeCell ref="A13:A23"/>
    <mergeCell ref="C14:C18"/>
    <mergeCell ref="C20:C23"/>
    <mergeCell ref="M7:M8"/>
    <mergeCell ref="J6:J8"/>
    <mergeCell ref="K6:M6"/>
    <mergeCell ref="A9:B9"/>
    <mergeCell ref="N82:N92"/>
    <mergeCell ref="C84:C87"/>
    <mergeCell ref="C89:C92"/>
    <mergeCell ref="A68:A74"/>
    <mergeCell ref="N68:N74"/>
    <mergeCell ref="C70:C71"/>
    <mergeCell ref="C73:C74"/>
    <mergeCell ref="A75:A81"/>
    <mergeCell ref="N75:N81"/>
    <mergeCell ref="C77:C78"/>
    <mergeCell ref="C80:C81"/>
    <mergeCell ref="A82:A92"/>
    <mergeCell ref="A93:A101"/>
    <mergeCell ref="N93:N101"/>
    <mergeCell ref="C95:C98"/>
    <mergeCell ref="C100:C101"/>
    <mergeCell ref="A117:A120"/>
    <mergeCell ref="N117:N120"/>
    <mergeCell ref="C119:C120"/>
    <mergeCell ref="A113:A116"/>
    <mergeCell ref="N113:N116"/>
    <mergeCell ref="C115:C116"/>
    <mergeCell ref="A102:N105"/>
    <mergeCell ref="A121:A124"/>
    <mergeCell ref="N121:N124"/>
    <mergeCell ref="C123:C124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L7:L8"/>
    <mergeCell ref="G6:H6"/>
    <mergeCell ref="G7:G8"/>
    <mergeCell ref="A57:A67"/>
    <mergeCell ref="N57:N67"/>
    <mergeCell ref="C59:C62"/>
    <mergeCell ref="C64:C67"/>
    <mergeCell ref="A35:A45"/>
    <mergeCell ref="N35:N45"/>
    <mergeCell ref="C37:C40"/>
    <mergeCell ref="C42:C45"/>
    <mergeCell ref="C48:C51"/>
    <mergeCell ref="A133:A136"/>
    <mergeCell ref="N133:N136"/>
    <mergeCell ref="C135:C136"/>
    <mergeCell ref="K1:L1"/>
    <mergeCell ref="A129:A132"/>
    <mergeCell ref="N129:N132"/>
    <mergeCell ref="C131:C132"/>
    <mergeCell ref="A110:A112"/>
    <mergeCell ref="N110:N112"/>
    <mergeCell ref="C111:C112"/>
    <mergeCell ref="A125:A128"/>
    <mergeCell ref="N125:N128"/>
    <mergeCell ref="C127:C128"/>
    <mergeCell ref="A46:A56"/>
    <mergeCell ref="N46:N56"/>
    <mergeCell ref="C53:C5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05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101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O91"/>
  <sheetViews>
    <sheetView showGridLines="0" view="pageBreakPreview" zoomScaleNormal="100" zoomScaleSheetLayoutView="100" workbookViewId="0">
      <selection activeCell="N92" sqref="N92"/>
    </sheetView>
  </sheetViews>
  <sheetFormatPr defaultRowHeight="11.25" x14ac:dyDescent="0.2"/>
  <cols>
    <col min="1" max="1" width="4.140625" style="2249" customWidth="1"/>
    <col min="2" max="2" width="46.5703125" style="274" customWidth="1"/>
    <col min="3" max="3" width="10.7109375" style="274" customWidth="1"/>
    <col min="4" max="4" width="13.42578125" style="274" customWidth="1"/>
    <col min="5" max="6" width="12.5703125" style="274" hidden="1" customWidth="1"/>
    <col min="7" max="7" width="12.7109375" style="274" customWidth="1"/>
    <col min="8" max="8" width="13.7109375" style="274" customWidth="1"/>
    <col min="9" max="9" width="12.140625" style="1582" customWidth="1"/>
    <col min="10" max="10" width="11" style="1582" customWidth="1"/>
    <col min="11" max="11" width="12.28515625" style="1582" customWidth="1"/>
    <col min="12" max="12" width="11.28515625" style="1582" customWidth="1"/>
    <col min="13" max="13" width="14" style="1582" customWidth="1"/>
    <col min="14" max="14" width="13.7109375" style="2253" customWidth="1"/>
    <col min="15" max="24" width="18.28515625" style="274" customWidth="1"/>
    <col min="25" max="66" width="3.28515625" style="274" customWidth="1"/>
    <col min="67" max="16384" width="9.140625" style="274"/>
  </cols>
  <sheetData>
    <row r="1" spans="1:67" s="2079" customFormat="1" ht="25.5" customHeight="1" x14ac:dyDescent="0.3">
      <c r="A1" s="2080"/>
      <c r="B1" s="2074"/>
      <c r="C1" s="2075"/>
      <c r="D1" s="2076"/>
      <c r="E1" s="2077"/>
      <c r="F1" s="2076"/>
      <c r="G1" s="2076"/>
      <c r="H1" s="2076"/>
      <c r="I1" s="43"/>
      <c r="J1" s="2076"/>
      <c r="K1" s="3038" t="s">
        <v>376</v>
      </c>
      <c r="L1" s="3038"/>
      <c r="M1" s="2081"/>
      <c r="N1" s="2081"/>
      <c r="O1" s="2078"/>
      <c r="P1" s="2078"/>
      <c r="Q1" s="2078"/>
      <c r="R1" s="2078"/>
      <c r="S1" s="2078"/>
      <c r="T1" s="2078"/>
      <c r="U1" s="2078"/>
      <c r="V1" s="2078"/>
      <c r="W1" s="2078"/>
      <c r="X1" s="2078"/>
      <c r="Y1" s="2078"/>
      <c r="Z1" s="2078"/>
      <c r="AA1" s="2078"/>
      <c r="AB1" s="2078"/>
      <c r="AC1" s="2078"/>
      <c r="AD1" s="2078"/>
      <c r="AE1" s="2078"/>
      <c r="AF1" s="2078"/>
      <c r="AG1" s="2078"/>
      <c r="AH1" s="2078"/>
      <c r="AI1" s="2078"/>
      <c r="AJ1" s="2078"/>
      <c r="AK1" s="2078"/>
      <c r="AL1" s="2078"/>
      <c r="AM1" s="2078"/>
      <c r="AN1" s="2078"/>
      <c r="AO1" s="2078"/>
      <c r="AP1" s="2078"/>
      <c r="AQ1" s="2078"/>
      <c r="AR1" s="2078"/>
      <c r="AS1" s="2078"/>
      <c r="AT1" s="2078"/>
      <c r="AU1" s="2078"/>
      <c r="AV1" s="2078"/>
      <c r="AW1" s="2078"/>
      <c r="AX1" s="2078"/>
      <c r="AY1" s="2078"/>
      <c r="AZ1" s="2078"/>
      <c r="BA1" s="2078"/>
      <c r="BB1" s="2078"/>
      <c r="BC1" s="2078"/>
      <c r="BD1" s="2078"/>
      <c r="BE1" s="2078"/>
      <c r="BF1" s="2078"/>
      <c r="BG1" s="2078"/>
      <c r="BH1" s="2078"/>
      <c r="BI1" s="2078"/>
      <c r="BJ1" s="2078"/>
      <c r="BK1" s="2078"/>
      <c r="BL1" s="2078"/>
      <c r="BM1" s="2078"/>
      <c r="BN1" s="2078"/>
      <c r="BO1" s="273"/>
    </row>
    <row r="2" spans="1:67" s="2079" customFormat="1" ht="10.5" customHeight="1" thickBot="1" x14ac:dyDescent="0.3">
      <c r="A2" s="2073"/>
      <c r="B2" s="2074"/>
      <c r="C2" s="2075"/>
      <c r="D2" s="2076"/>
      <c r="E2" s="2077"/>
      <c r="F2" s="2076"/>
      <c r="G2" s="2076"/>
      <c r="H2" s="2076"/>
      <c r="I2" s="1079"/>
      <c r="J2" s="2076"/>
      <c r="K2" s="2076"/>
      <c r="L2" s="2076"/>
      <c r="M2" s="2076"/>
      <c r="N2" s="1080"/>
      <c r="O2" s="2078"/>
      <c r="P2" s="2078"/>
      <c r="Q2" s="2078"/>
      <c r="R2" s="2078"/>
      <c r="S2" s="2078"/>
      <c r="T2" s="2078"/>
      <c r="U2" s="2078"/>
      <c r="V2" s="2078"/>
      <c r="W2" s="2078"/>
      <c r="X2" s="2078"/>
      <c r="Y2" s="2078"/>
      <c r="Z2" s="2078"/>
      <c r="AA2" s="2078"/>
      <c r="AB2" s="2078"/>
      <c r="AC2" s="2078"/>
      <c r="AD2" s="2078"/>
      <c r="AE2" s="2078"/>
      <c r="AF2" s="2078"/>
      <c r="AG2" s="2078"/>
      <c r="AH2" s="2078"/>
      <c r="AI2" s="2078"/>
      <c r="AJ2" s="2078"/>
      <c r="AK2" s="2078"/>
      <c r="AL2" s="2078"/>
      <c r="AM2" s="2078"/>
      <c r="AN2" s="2078"/>
      <c r="AO2" s="2078"/>
      <c r="AP2" s="2078"/>
      <c r="AQ2" s="2078"/>
      <c r="AR2" s="2078"/>
      <c r="AS2" s="2078"/>
      <c r="AT2" s="2078"/>
      <c r="AU2" s="2078"/>
      <c r="AV2" s="2078"/>
      <c r="AW2" s="2078"/>
      <c r="AX2" s="2078"/>
      <c r="AY2" s="2078"/>
      <c r="AZ2" s="2078"/>
      <c r="BA2" s="2078"/>
      <c r="BB2" s="2078"/>
      <c r="BC2" s="2078"/>
      <c r="BD2" s="2078"/>
      <c r="BE2" s="2078"/>
      <c r="BF2" s="2078"/>
      <c r="BG2" s="2078"/>
      <c r="BH2" s="2078"/>
      <c r="BI2" s="2078"/>
      <c r="BJ2" s="2078"/>
      <c r="BK2" s="2078"/>
      <c r="BL2" s="2078"/>
      <c r="BM2" s="2078"/>
      <c r="BN2" s="2078"/>
      <c r="BO2" s="273"/>
    </row>
    <row r="3" spans="1:67" s="2088" customFormat="1" ht="40.5" customHeight="1" thickBot="1" x14ac:dyDescent="0.25">
      <c r="A3" s="2082" t="s">
        <v>205</v>
      </c>
      <c r="B3" s="2083"/>
      <c r="C3" s="2084"/>
      <c r="D3" s="2083"/>
      <c r="E3" s="2085"/>
      <c r="F3" s="2083"/>
      <c r="G3" s="2083"/>
      <c r="H3" s="2083"/>
      <c r="I3" s="2083"/>
      <c r="J3" s="2083"/>
      <c r="K3" s="2083"/>
      <c r="L3" s="2083"/>
      <c r="M3" s="2083"/>
      <c r="N3" s="2086"/>
      <c r="O3" s="2087"/>
      <c r="P3" s="2087"/>
      <c r="Q3" s="2087"/>
      <c r="R3" s="2087"/>
      <c r="S3" s="2087"/>
      <c r="T3" s="2087"/>
      <c r="U3" s="2087"/>
      <c r="V3" s="2087"/>
      <c r="W3" s="2087"/>
      <c r="X3" s="2087"/>
      <c r="Y3" s="2087"/>
      <c r="Z3" s="2087"/>
      <c r="AA3" s="2087"/>
      <c r="AB3" s="2087"/>
      <c r="AC3" s="2087"/>
      <c r="AD3" s="2087"/>
      <c r="AE3" s="2087"/>
      <c r="AF3" s="2087"/>
      <c r="AG3" s="2087"/>
      <c r="AH3" s="2087"/>
      <c r="AI3" s="2087"/>
      <c r="AJ3" s="2087"/>
      <c r="AK3" s="2087"/>
      <c r="AL3" s="2087"/>
      <c r="AM3" s="2087"/>
      <c r="AN3" s="2087"/>
      <c r="AO3" s="2087"/>
      <c r="AP3" s="2087"/>
      <c r="AQ3" s="2087"/>
      <c r="AR3" s="2087"/>
      <c r="AS3" s="2087"/>
      <c r="AT3" s="2087"/>
      <c r="AU3" s="2087"/>
      <c r="AV3" s="2087"/>
      <c r="AW3" s="2087"/>
      <c r="AX3" s="2087"/>
      <c r="AY3" s="2087"/>
      <c r="AZ3" s="2087"/>
      <c r="BA3" s="2087"/>
      <c r="BB3" s="2087"/>
      <c r="BC3" s="2087"/>
      <c r="BD3" s="2087"/>
      <c r="BE3" s="2087"/>
      <c r="BF3" s="2087"/>
      <c r="BG3" s="2087"/>
      <c r="BH3" s="2087"/>
      <c r="BI3" s="2087"/>
      <c r="BJ3" s="2087"/>
      <c r="BK3" s="2087"/>
      <c r="BL3" s="2087"/>
      <c r="BM3" s="2087"/>
      <c r="BN3" s="2087"/>
      <c r="BO3" s="284"/>
    </row>
    <row r="4" spans="1:67" s="472" customFormat="1" ht="44.25" customHeight="1" x14ac:dyDescent="0.2">
      <c r="A4" s="3588" t="s">
        <v>24</v>
      </c>
      <c r="B4" s="3591" t="s">
        <v>25</v>
      </c>
      <c r="C4" s="3594" t="s">
        <v>26</v>
      </c>
      <c r="D4" s="3010" t="s">
        <v>334</v>
      </c>
      <c r="E4" s="3011"/>
      <c r="F4" s="3011"/>
      <c r="G4" s="3011"/>
      <c r="H4" s="3012"/>
      <c r="I4" s="3010" t="s">
        <v>314</v>
      </c>
      <c r="J4" s="3011"/>
      <c r="K4" s="3011"/>
      <c r="L4" s="3011"/>
      <c r="M4" s="3613"/>
      <c r="N4" s="3317" t="s">
        <v>27</v>
      </c>
    </row>
    <row r="5" spans="1:67" s="273" customFormat="1" ht="38.25" customHeight="1" x14ac:dyDescent="0.2">
      <c r="A5" s="3589"/>
      <c r="B5" s="3592"/>
      <c r="C5" s="3595"/>
      <c r="D5" s="3508" t="s">
        <v>0</v>
      </c>
      <c r="E5" s="3511" t="s">
        <v>163</v>
      </c>
      <c r="F5" s="3514" t="s">
        <v>286</v>
      </c>
      <c r="G5" s="3517" t="s">
        <v>260</v>
      </c>
      <c r="H5" s="3518"/>
      <c r="I5" s="3606" t="s">
        <v>311</v>
      </c>
      <c r="J5" s="3600" t="s">
        <v>309</v>
      </c>
      <c r="K5" s="3603" t="s">
        <v>338</v>
      </c>
      <c r="L5" s="3604"/>
      <c r="M5" s="3605"/>
      <c r="N5" s="3318"/>
    </row>
    <row r="6" spans="1:67" s="273" customFormat="1" ht="41.25" customHeight="1" x14ac:dyDescent="0.2">
      <c r="A6" s="3589"/>
      <c r="B6" s="3592"/>
      <c r="C6" s="3595"/>
      <c r="D6" s="3509"/>
      <c r="E6" s="3512"/>
      <c r="F6" s="3515"/>
      <c r="G6" s="3511" t="s">
        <v>318</v>
      </c>
      <c r="H6" s="3542" t="s">
        <v>221</v>
      </c>
      <c r="I6" s="3607"/>
      <c r="J6" s="3601"/>
      <c r="K6" s="3514" t="s">
        <v>319</v>
      </c>
      <c r="L6" s="3609" t="s">
        <v>310</v>
      </c>
      <c r="M6" s="3611" t="s">
        <v>355</v>
      </c>
      <c r="N6" s="3318"/>
    </row>
    <row r="7" spans="1:67" s="273" customFormat="1" ht="72" customHeight="1" thickBot="1" x14ac:dyDescent="0.25">
      <c r="A7" s="3590"/>
      <c r="B7" s="3593"/>
      <c r="C7" s="3596"/>
      <c r="D7" s="3510"/>
      <c r="E7" s="3513"/>
      <c r="F7" s="3516"/>
      <c r="G7" s="3513"/>
      <c r="H7" s="3543"/>
      <c r="I7" s="3608"/>
      <c r="J7" s="3602"/>
      <c r="K7" s="3516"/>
      <c r="L7" s="3610"/>
      <c r="M7" s="3612"/>
      <c r="N7" s="3319"/>
    </row>
    <row r="8" spans="1:67" s="2091" customFormat="1" ht="14.25" customHeight="1" thickBot="1" x14ac:dyDescent="0.25">
      <c r="A8" s="3598">
        <v>1</v>
      </c>
      <c r="B8" s="3599"/>
      <c r="C8" s="2089">
        <v>2</v>
      </c>
      <c r="D8" s="1589">
        <v>3</v>
      </c>
      <c r="E8" s="1590">
        <v>4</v>
      </c>
      <c r="F8" s="1590">
        <v>5</v>
      </c>
      <c r="G8" s="1590">
        <v>4</v>
      </c>
      <c r="H8" s="1591">
        <v>5</v>
      </c>
      <c r="I8" s="1589">
        <v>6</v>
      </c>
      <c r="J8" s="1801">
        <v>7</v>
      </c>
      <c r="K8" s="1801">
        <v>8</v>
      </c>
      <c r="L8" s="1802">
        <v>9</v>
      </c>
      <c r="M8" s="1801">
        <v>10</v>
      </c>
      <c r="N8" s="1593">
        <v>11</v>
      </c>
      <c r="O8" s="2090"/>
      <c r="P8" s="2090"/>
      <c r="Q8" s="2090"/>
      <c r="R8" s="2090"/>
      <c r="S8" s="2090"/>
      <c r="T8" s="2090"/>
      <c r="U8" s="2090"/>
      <c r="V8" s="2090"/>
      <c r="W8" s="2090"/>
      <c r="X8" s="2090"/>
      <c r="Y8" s="2090"/>
      <c r="Z8" s="2090"/>
      <c r="AA8" s="2090"/>
      <c r="AB8" s="2090"/>
      <c r="AC8" s="2090"/>
      <c r="AD8" s="2090"/>
      <c r="AE8" s="2090"/>
      <c r="AF8" s="2090"/>
      <c r="AG8" s="2090"/>
      <c r="AH8" s="2090"/>
      <c r="AI8" s="2090"/>
      <c r="AJ8" s="2090"/>
      <c r="AK8" s="2090"/>
      <c r="AL8" s="2090"/>
      <c r="AM8" s="2090"/>
      <c r="AN8" s="2090"/>
      <c r="AO8" s="2090"/>
      <c r="AP8" s="2090"/>
      <c r="AQ8" s="2090"/>
      <c r="AR8" s="2090"/>
      <c r="AS8" s="2090"/>
      <c r="AT8" s="2090"/>
      <c r="AU8" s="2090"/>
      <c r="AV8" s="2090"/>
      <c r="AW8" s="2090"/>
      <c r="AX8" s="2090"/>
      <c r="AY8" s="2090"/>
      <c r="AZ8" s="2090"/>
      <c r="BA8" s="2090"/>
      <c r="BB8" s="2090"/>
      <c r="BC8" s="2090"/>
      <c r="BD8" s="2090"/>
      <c r="BE8" s="2090"/>
      <c r="BF8" s="2090"/>
      <c r="BG8" s="2090"/>
      <c r="BH8" s="2090"/>
      <c r="BI8" s="2090"/>
      <c r="BJ8" s="2090"/>
      <c r="BK8" s="2090"/>
      <c r="BL8" s="2090"/>
      <c r="BM8" s="2090"/>
      <c r="BN8" s="2090"/>
      <c r="BO8" s="2090"/>
    </row>
    <row r="9" spans="1:67" ht="19.5" customHeight="1" thickBot="1" x14ac:dyDescent="0.25">
      <c r="A9" s="266"/>
      <c r="B9" s="267" t="s">
        <v>164</v>
      </c>
      <c r="C9" s="2092"/>
      <c r="D9" s="52">
        <f>D10+D11</f>
        <v>52503709</v>
      </c>
      <c r="E9" s="51">
        <f t="shared" ref="E9:H9" si="0">E10+E11</f>
        <v>4495363</v>
      </c>
      <c r="F9" s="51">
        <f t="shared" si="0"/>
        <v>5779854</v>
      </c>
      <c r="G9" s="51">
        <f t="shared" si="0"/>
        <v>3742389</v>
      </c>
      <c r="H9" s="55">
        <f t="shared" si="0"/>
        <v>38486103</v>
      </c>
      <c r="I9" s="50">
        <f>I10+I11</f>
        <v>14017606</v>
      </c>
      <c r="J9" s="270">
        <f>I9/D9*100</f>
        <v>26.698315732322836</v>
      </c>
      <c r="K9" s="51">
        <f>K10+K11</f>
        <v>3742389</v>
      </c>
      <c r="L9" s="270">
        <f>K9/G9*100</f>
        <v>100</v>
      </c>
      <c r="M9" s="51">
        <f t="shared" ref="M9:M22" si="1">+K9-G9</f>
        <v>0</v>
      </c>
      <c r="N9" s="1244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</row>
    <row r="10" spans="1:67" ht="14.25" customHeight="1" thickTop="1" x14ac:dyDescent="0.2">
      <c r="A10" s="286"/>
      <c r="B10" s="2093" t="s">
        <v>165</v>
      </c>
      <c r="C10" s="1695"/>
      <c r="D10" s="1696">
        <v>0</v>
      </c>
      <c r="E10" s="1699">
        <v>0</v>
      </c>
      <c r="F10" s="1697">
        <v>0</v>
      </c>
      <c r="G10" s="1697">
        <v>0</v>
      </c>
      <c r="H10" s="1698">
        <v>0</v>
      </c>
      <c r="I10" s="2094">
        <v>0</v>
      </c>
      <c r="J10" s="280">
        <v>0</v>
      </c>
      <c r="K10" s="2095">
        <v>0</v>
      </c>
      <c r="L10" s="280">
        <v>0</v>
      </c>
      <c r="M10" s="1697">
        <f t="shared" si="1"/>
        <v>0</v>
      </c>
      <c r="N10" s="1244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</row>
    <row r="11" spans="1:67" ht="14.25" customHeight="1" thickBot="1" x14ac:dyDescent="0.25">
      <c r="A11" s="2096"/>
      <c r="B11" s="938" t="s">
        <v>166</v>
      </c>
      <c r="C11" s="2097"/>
      <c r="D11" s="293">
        <f>D26+D36+D47+D59+D72+D84</f>
        <v>52503709</v>
      </c>
      <c r="E11" s="291">
        <f t="shared" ref="E11:I11" si="2">E26+E36+E47+E59+E72+E84</f>
        <v>4495363</v>
      </c>
      <c r="F11" s="291">
        <f t="shared" si="2"/>
        <v>5779854</v>
      </c>
      <c r="G11" s="291">
        <f>G26+G36+G47+G59+G72+G84</f>
        <v>3742389</v>
      </c>
      <c r="H11" s="292">
        <f t="shared" si="2"/>
        <v>38486103</v>
      </c>
      <c r="I11" s="289">
        <f t="shared" si="2"/>
        <v>14017606</v>
      </c>
      <c r="J11" s="67">
        <f t="shared" ref="J11:J22" si="3">I11/D11*100</f>
        <v>26.698315732322836</v>
      </c>
      <c r="K11" s="295">
        <f>K26+K36+K47+K59+K72+K84</f>
        <v>3742389</v>
      </c>
      <c r="L11" s="294">
        <f>K11/G11*100</f>
        <v>100</v>
      </c>
      <c r="M11" s="1267">
        <f t="shared" si="1"/>
        <v>0</v>
      </c>
      <c r="N11" s="1244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</row>
    <row r="12" spans="1:67" s="2102" customFormat="1" ht="15" customHeight="1" x14ac:dyDescent="0.2">
      <c r="A12" s="3586"/>
      <c r="B12" s="297" t="s">
        <v>2</v>
      </c>
      <c r="C12" s="2098"/>
      <c r="D12" s="1707">
        <f>+D13+D16</f>
        <v>126716775</v>
      </c>
      <c r="E12" s="2099">
        <f t="shared" ref="E12:H12" si="4">+E13+E16</f>
        <v>5743059</v>
      </c>
      <c r="F12" s="2099">
        <f t="shared" si="4"/>
        <v>11870025</v>
      </c>
      <c r="G12" s="2099">
        <f t="shared" si="4"/>
        <v>9839843</v>
      </c>
      <c r="H12" s="2100">
        <f t="shared" si="4"/>
        <v>99263848</v>
      </c>
      <c r="I12" s="2101">
        <f>+I13+I16</f>
        <v>27366499</v>
      </c>
      <c r="J12" s="1710">
        <f t="shared" si="3"/>
        <v>21.596587350017391</v>
      </c>
      <c r="K12" s="1708">
        <f>+K13+K16</f>
        <v>9753415</v>
      </c>
      <c r="L12" s="1710">
        <f>K12/G12*100</f>
        <v>99.121652652384796</v>
      </c>
      <c r="M12" s="2099">
        <f t="shared" si="1"/>
        <v>-86428</v>
      </c>
      <c r="N12" s="3571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</row>
    <row r="13" spans="1:67" s="2102" customFormat="1" ht="14.1" customHeight="1" x14ac:dyDescent="0.2">
      <c r="A13" s="3586"/>
      <c r="B13" s="1278" t="s">
        <v>3</v>
      </c>
      <c r="C13" s="3587" t="s">
        <v>78</v>
      </c>
      <c r="D13" s="2103">
        <f t="shared" ref="D13:H13" si="5">+D15+D14</f>
        <v>53185846</v>
      </c>
      <c r="E13" s="2104">
        <f t="shared" si="5"/>
        <v>4854271</v>
      </c>
      <c r="F13" s="2104">
        <f t="shared" si="5"/>
        <v>5786454</v>
      </c>
      <c r="G13" s="2104">
        <f t="shared" si="5"/>
        <v>3783370</v>
      </c>
      <c r="H13" s="2105">
        <f t="shared" si="5"/>
        <v>38761751</v>
      </c>
      <c r="I13" s="2106">
        <f t="shared" ref="I13" si="6">+I15+I14</f>
        <v>14490804</v>
      </c>
      <c r="J13" s="2107">
        <f t="shared" si="3"/>
        <v>27.24560214760897</v>
      </c>
      <c r="K13" s="2108">
        <f>+K15+K14</f>
        <v>3850079</v>
      </c>
      <c r="L13" s="2107">
        <f>K13/G13*100</f>
        <v>101.7632163917354</v>
      </c>
      <c r="M13" s="2104">
        <f t="shared" si="1"/>
        <v>66709</v>
      </c>
      <c r="N13" s="3571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</row>
    <row r="14" spans="1:67" s="2102" customFormat="1" ht="14.1" customHeight="1" x14ac:dyDescent="0.2">
      <c r="A14" s="3586"/>
      <c r="B14" s="1285" t="s">
        <v>6</v>
      </c>
      <c r="C14" s="3587"/>
      <c r="D14" s="1307">
        <f>+D71+D35+D83+D48</f>
        <v>682137</v>
      </c>
      <c r="E14" s="2109">
        <f t="shared" ref="E14:F14" si="7">+E71+E35+E83</f>
        <v>358908</v>
      </c>
      <c r="F14" s="2109">
        <f t="shared" si="7"/>
        <v>6600</v>
      </c>
      <c r="G14" s="1309">
        <f t="shared" ref="G14:H14" si="8">+G71+G35+G83+G48</f>
        <v>40981</v>
      </c>
      <c r="H14" s="2110">
        <f t="shared" si="8"/>
        <v>275648</v>
      </c>
      <c r="I14" s="2111">
        <f>+I71+I35+I83+I48</f>
        <v>473198</v>
      </c>
      <c r="J14" s="2107">
        <f t="shared" si="3"/>
        <v>69.369935951282514</v>
      </c>
      <c r="K14" s="1309">
        <f>+K71+K35+K83+K48</f>
        <v>107690</v>
      </c>
      <c r="L14" s="2112">
        <f>K14/G14*100</f>
        <v>262.78031282789584</v>
      </c>
      <c r="M14" s="2109">
        <f t="shared" si="1"/>
        <v>66709</v>
      </c>
      <c r="N14" s="3571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</row>
    <row r="15" spans="1:67" s="2102" customFormat="1" ht="14.1" customHeight="1" x14ac:dyDescent="0.2">
      <c r="A15" s="3586"/>
      <c r="B15" s="1291" t="s">
        <v>150</v>
      </c>
      <c r="C15" s="3587"/>
      <c r="D15" s="1307">
        <f t="shared" ref="D15:G15" si="9">+D26+D36+D47+D59+D84+D72</f>
        <v>52503709</v>
      </c>
      <c r="E15" s="1309">
        <f t="shared" si="9"/>
        <v>4495363</v>
      </c>
      <c r="F15" s="1309">
        <f t="shared" si="9"/>
        <v>5779854</v>
      </c>
      <c r="G15" s="1309">
        <f t="shared" si="9"/>
        <v>3742389</v>
      </c>
      <c r="H15" s="2110">
        <f>+H26+H36+H47+H59+H84+H72</f>
        <v>38486103</v>
      </c>
      <c r="I15" s="1307">
        <f>+I26+I36+I47+I59+I84+I72</f>
        <v>14017606</v>
      </c>
      <c r="J15" s="2113">
        <f t="shared" si="3"/>
        <v>26.698315732322836</v>
      </c>
      <c r="K15" s="1309">
        <f>+K26+K36+K47+K59+K84+K72</f>
        <v>3742389</v>
      </c>
      <c r="L15" s="2113">
        <f t="shared" ref="L15:L22" si="10">K15/G15*100</f>
        <v>100</v>
      </c>
      <c r="M15" s="1309">
        <f t="shared" si="1"/>
        <v>0</v>
      </c>
      <c r="N15" s="3571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</row>
    <row r="16" spans="1:67" s="2102" customFormat="1" ht="14.1" customHeight="1" x14ac:dyDescent="0.2">
      <c r="A16" s="3586"/>
      <c r="B16" s="1278" t="s">
        <v>12</v>
      </c>
      <c r="C16" s="3587"/>
      <c r="D16" s="2103">
        <f t="shared" ref="D16:K16" si="11">+D17</f>
        <v>73530929</v>
      </c>
      <c r="E16" s="2104">
        <f t="shared" si="11"/>
        <v>888788</v>
      </c>
      <c r="F16" s="2104">
        <f t="shared" si="11"/>
        <v>6083571</v>
      </c>
      <c r="G16" s="2104">
        <f t="shared" si="11"/>
        <v>6056473</v>
      </c>
      <c r="H16" s="2104">
        <f t="shared" si="11"/>
        <v>60502097</v>
      </c>
      <c r="I16" s="2106">
        <f t="shared" si="11"/>
        <v>12875695</v>
      </c>
      <c r="J16" s="2107">
        <f t="shared" si="3"/>
        <v>17.510583879607992</v>
      </c>
      <c r="K16" s="2108">
        <f t="shared" si="11"/>
        <v>5903336</v>
      </c>
      <c r="L16" s="2107">
        <f t="shared" si="10"/>
        <v>97.471515187139445</v>
      </c>
      <c r="M16" s="2104">
        <f t="shared" si="1"/>
        <v>-153137</v>
      </c>
      <c r="N16" s="3571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</row>
    <row r="17" spans="1:67" s="2102" customFormat="1" ht="14.1" customHeight="1" x14ac:dyDescent="0.2">
      <c r="A17" s="3586"/>
      <c r="B17" s="1285" t="s">
        <v>15</v>
      </c>
      <c r="C17" s="3587"/>
      <c r="D17" s="1307">
        <f>D28+D38+D50+D74+D86+D62</f>
        <v>73530929</v>
      </c>
      <c r="E17" s="2109">
        <f t="shared" ref="E17:G17" si="12">E28+E38+E50+E74+E86+E62</f>
        <v>888788</v>
      </c>
      <c r="F17" s="2109">
        <f t="shared" si="12"/>
        <v>6083571</v>
      </c>
      <c r="G17" s="2109">
        <f t="shared" si="12"/>
        <v>6056473</v>
      </c>
      <c r="H17" s="2109">
        <f>H28+H38+H50+H74+H86+H62</f>
        <v>60502097</v>
      </c>
      <c r="I17" s="2111">
        <f t="shared" ref="I17" si="13">I28+I38+I50+I74+I86</f>
        <v>12875695</v>
      </c>
      <c r="J17" s="2113">
        <f t="shared" si="3"/>
        <v>17.510583879607992</v>
      </c>
      <c r="K17" s="1309">
        <f>K28+K38+K50+K74+K86+K62</f>
        <v>5903336</v>
      </c>
      <c r="L17" s="2113">
        <f t="shared" si="10"/>
        <v>97.471515187139445</v>
      </c>
      <c r="M17" s="2109">
        <f t="shared" si="1"/>
        <v>-153137</v>
      </c>
      <c r="N17" s="3571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</row>
    <row r="18" spans="1:67" s="2102" customFormat="1" ht="14.25" customHeight="1" x14ac:dyDescent="0.2">
      <c r="A18" s="3586"/>
      <c r="B18" s="334" t="s">
        <v>16</v>
      </c>
      <c r="C18" s="2114"/>
      <c r="D18" s="1722">
        <f t="shared" ref="D18:H18" si="14">+D21+D19</f>
        <v>95771151</v>
      </c>
      <c r="E18" s="1320">
        <f t="shared" si="14"/>
        <v>446562</v>
      </c>
      <c r="F18" s="1320">
        <f t="shared" si="14"/>
        <v>9937033</v>
      </c>
      <c r="G18" s="1320">
        <f t="shared" si="14"/>
        <v>6906823</v>
      </c>
      <c r="H18" s="1317">
        <f t="shared" si="14"/>
        <v>78480733</v>
      </c>
      <c r="I18" s="1629">
        <f t="shared" ref="I18" si="15">+I21+I19</f>
        <v>17184818</v>
      </c>
      <c r="J18" s="1723">
        <f t="shared" si="3"/>
        <v>17.943626886138187</v>
      </c>
      <c r="K18" s="1320">
        <f>+K21+K19</f>
        <v>6801223</v>
      </c>
      <c r="L18" s="1723">
        <f t="shared" si="10"/>
        <v>98.471077078419412</v>
      </c>
      <c r="M18" s="1320">
        <f t="shared" si="1"/>
        <v>-105600</v>
      </c>
      <c r="N18" s="3571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</row>
    <row r="19" spans="1:67" s="2102" customFormat="1" ht="14.25" customHeight="1" x14ac:dyDescent="0.2">
      <c r="A19" s="3586"/>
      <c r="B19" s="1278" t="s">
        <v>17</v>
      </c>
      <c r="C19" s="3587"/>
      <c r="D19" s="2103">
        <f t="shared" ref="D19:K19" si="16">+D20</f>
        <v>22240222</v>
      </c>
      <c r="E19" s="2104">
        <f t="shared" si="16"/>
        <v>322267</v>
      </c>
      <c r="F19" s="2104">
        <f t="shared" si="16"/>
        <v>1345053</v>
      </c>
      <c r="G19" s="2104">
        <f t="shared" si="16"/>
        <v>2037072</v>
      </c>
      <c r="H19" s="2105">
        <f t="shared" si="16"/>
        <v>18535830</v>
      </c>
      <c r="I19" s="2106">
        <f t="shared" si="16"/>
        <v>3704392</v>
      </c>
      <c r="J19" s="2107">
        <f t="shared" si="3"/>
        <v>16.656272585768253</v>
      </c>
      <c r="K19" s="2108">
        <f t="shared" si="16"/>
        <v>2037072</v>
      </c>
      <c r="L19" s="2107">
        <f t="shared" si="10"/>
        <v>100</v>
      </c>
      <c r="M19" s="2104">
        <f t="shared" si="1"/>
        <v>0</v>
      </c>
      <c r="N19" s="3571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</row>
    <row r="20" spans="1:67" s="2102" customFormat="1" ht="14.25" customHeight="1" x14ac:dyDescent="0.2">
      <c r="A20" s="3586"/>
      <c r="B20" s="1285" t="s">
        <v>151</v>
      </c>
      <c r="C20" s="3587"/>
      <c r="D20" s="1307">
        <f t="shared" ref="D20:I20" si="17">+D41+D53+D77+D89+D65</f>
        <v>22240222</v>
      </c>
      <c r="E20" s="2109">
        <f t="shared" si="17"/>
        <v>322267</v>
      </c>
      <c r="F20" s="2109">
        <f t="shared" si="17"/>
        <v>1345053</v>
      </c>
      <c r="G20" s="2109">
        <f t="shared" si="17"/>
        <v>2037072</v>
      </c>
      <c r="H20" s="2110">
        <f>+H41+H53+H77+H89+H65</f>
        <v>18535830</v>
      </c>
      <c r="I20" s="2111">
        <f t="shared" si="17"/>
        <v>3704392</v>
      </c>
      <c r="J20" s="2113">
        <f t="shared" si="3"/>
        <v>16.656272585768253</v>
      </c>
      <c r="K20" s="1309">
        <f>+K41+K53+K77+K89+K65</f>
        <v>2037072</v>
      </c>
      <c r="L20" s="2113">
        <f t="shared" si="10"/>
        <v>100</v>
      </c>
      <c r="M20" s="2109">
        <f t="shared" si="1"/>
        <v>0</v>
      </c>
      <c r="N20" s="3571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</row>
    <row r="21" spans="1:67" s="2102" customFormat="1" ht="14.1" customHeight="1" x14ac:dyDescent="0.2">
      <c r="A21" s="3586"/>
      <c r="B21" s="1278" t="s">
        <v>12</v>
      </c>
      <c r="C21" s="3587" t="s">
        <v>78</v>
      </c>
      <c r="D21" s="2103">
        <f t="shared" ref="D21:I21" si="18">+D22</f>
        <v>73530929</v>
      </c>
      <c r="E21" s="2108">
        <f t="shared" si="18"/>
        <v>124295</v>
      </c>
      <c r="F21" s="2108">
        <f t="shared" si="18"/>
        <v>8591980</v>
      </c>
      <c r="G21" s="2108">
        <f t="shared" si="18"/>
        <v>4869751</v>
      </c>
      <c r="H21" s="2105">
        <f t="shared" si="18"/>
        <v>59944903</v>
      </c>
      <c r="I21" s="2106">
        <f t="shared" si="18"/>
        <v>13480426</v>
      </c>
      <c r="J21" s="2107">
        <f t="shared" si="3"/>
        <v>18.33300106952273</v>
      </c>
      <c r="K21" s="2108">
        <f>+K22</f>
        <v>4764151</v>
      </c>
      <c r="L21" s="2107">
        <f t="shared" si="10"/>
        <v>97.831511303144651</v>
      </c>
      <c r="M21" s="2104">
        <f t="shared" si="1"/>
        <v>-105600</v>
      </c>
      <c r="N21" s="3571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</row>
    <row r="22" spans="1:67" s="2102" customFormat="1" ht="14.1" customHeight="1" thickBot="1" x14ac:dyDescent="0.25">
      <c r="A22" s="3586"/>
      <c r="B22" s="2115" t="s">
        <v>15</v>
      </c>
      <c r="C22" s="3597"/>
      <c r="D22" s="2116">
        <f>D31+D43+D55+D79+D91+D67</f>
        <v>73530929</v>
      </c>
      <c r="E22" s="2117">
        <f t="shared" ref="E22:G22" si="19">E31+E43+E55+E79+E91+E67</f>
        <v>124295</v>
      </c>
      <c r="F22" s="2117">
        <f t="shared" si="19"/>
        <v>8591980</v>
      </c>
      <c r="G22" s="2117">
        <f t="shared" si="19"/>
        <v>4869751</v>
      </c>
      <c r="H22" s="2118">
        <f>H31+H43+H55+H79+H91+H67</f>
        <v>59944903</v>
      </c>
      <c r="I22" s="2119">
        <f t="shared" ref="I22" si="20">I31+I43+I55+I79+I91</f>
        <v>13480426</v>
      </c>
      <c r="J22" s="2120">
        <f t="shared" si="3"/>
        <v>18.33300106952273</v>
      </c>
      <c r="K22" s="2121">
        <f>K31+K43+K55+K79+K91+K67</f>
        <v>4764151</v>
      </c>
      <c r="L22" s="2120">
        <f t="shared" si="10"/>
        <v>97.831511303144651</v>
      </c>
      <c r="M22" s="2117">
        <f t="shared" si="1"/>
        <v>-105600</v>
      </c>
      <c r="N22" s="3572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</row>
    <row r="23" spans="1:67" s="273" customFormat="1" ht="26.25" customHeight="1" x14ac:dyDescent="0.2">
      <c r="A23" s="3565" t="s">
        <v>32</v>
      </c>
      <c r="B23" s="2122" t="s">
        <v>335</v>
      </c>
      <c r="C23" s="1501" t="s">
        <v>206</v>
      </c>
      <c r="D23" s="2123"/>
      <c r="E23" s="2124"/>
      <c r="F23" s="2124"/>
      <c r="G23" s="2125"/>
      <c r="H23" s="2126"/>
      <c r="I23" s="2123"/>
      <c r="J23" s="2127"/>
      <c r="K23" s="2125"/>
      <c r="L23" s="2127"/>
      <c r="M23" s="2125"/>
      <c r="N23" s="3581" t="s">
        <v>152</v>
      </c>
      <c r="O23" s="1277"/>
      <c r="P23" s="1277"/>
      <c r="Q23" s="1277"/>
      <c r="R23" s="1277"/>
      <c r="S23" s="1277"/>
      <c r="T23" s="1277"/>
      <c r="U23" s="1277"/>
      <c r="V23" s="1277"/>
      <c r="W23" s="1277"/>
      <c r="X23" s="1277"/>
      <c r="Y23" s="1277"/>
      <c r="Z23" s="1277"/>
      <c r="AA23" s="1277"/>
      <c r="AB23" s="1277"/>
      <c r="AC23" s="1277"/>
      <c r="AD23" s="1277"/>
      <c r="AE23" s="1277"/>
      <c r="AF23" s="1277"/>
      <c r="AG23" s="1277"/>
      <c r="AH23" s="1277"/>
      <c r="AI23" s="1277"/>
      <c r="AJ23" s="1277"/>
      <c r="AK23" s="1277"/>
      <c r="AL23" s="1277"/>
      <c r="AM23" s="1277"/>
      <c r="AN23" s="1277"/>
      <c r="AO23" s="1277"/>
      <c r="AP23" s="1277"/>
      <c r="AQ23" s="1277"/>
      <c r="AR23" s="1277"/>
      <c r="AS23" s="1277"/>
      <c r="AT23" s="1277"/>
      <c r="AU23" s="1277"/>
      <c r="AV23" s="1277"/>
      <c r="AW23" s="1277"/>
      <c r="AX23" s="1277"/>
      <c r="AY23" s="1277"/>
      <c r="AZ23" s="1277"/>
      <c r="BA23" s="1277"/>
      <c r="BB23" s="1277"/>
      <c r="BC23" s="1277"/>
      <c r="BD23" s="1277"/>
      <c r="BE23" s="1277"/>
      <c r="BF23" s="1277"/>
      <c r="BG23" s="1277"/>
      <c r="BH23" s="1277"/>
      <c r="BI23" s="1277"/>
      <c r="BJ23" s="1277"/>
      <c r="BK23" s="1277"/>
      <c r="BL23" s="1277"/>
      <c r="BM23" s="1277"/>
      <c r="BN23" s="1277"/>
    </row>
    <row r="24" spans="1:67" s="273" customFormat="1" ht="14.1" customHeight="1" x14ac:dyDescent="0.2">
      <c r="A24" s="3566"/>
      <c r="B24" s="334" t="s">
        <v>2</v>
      </c>
      <c r="C24" s="2114"/>
      <c r="D24" s="1722">
        <f>+D25+D27</f>
        <v>2536207</v>
      </c>
      <c r="E24" s="1320">
        <f>+E25+E27</f>
        <v>256207</v>
      </c>
      <c r="F24" s="1743">
        <f t="shared" ref="F24" si="21">+F25+F27</f>
        <v>0</v>
      </c>
      <c r="G24" s="1320">
        <f>+G25+G27</f>
        <v>0</v>
      </c>
      <c r="H24" s="1320">
        <f t="shared" ref="H24" si="22">+H25+H27</f>
        <v>2280000</v>
      </c>
      <c r="I24" s="1722">
        <f t="shared" ref="I24:I25" si="23">K24+E24+F24</f>
        <v>256207</v>
      </c>
      <c r="J24" s="1723">
        <f>I24/D24*100</f>
        <v>10.101975114807269</v>
      </c>
      <c r="K24" s="1320">
        <f>+K25+K27</f>
        <v>0</v>
      </c>
      <c r="L24" s="1743">
        <v>0</v>
      </c>
      <c r="M24" s="1320">
        <f>+K24-G24</f>
        <v>0</v>
      </c>
      <c r="N24" s="3582"/>
      <c r="O24" s="1277"/>
      <c r="P24" s="1277"/>
      <c r="Q24" s="1277"/>
      <c r="R24" s="1277"/>
      <c r="S24" s="1277"/>
      <c r="T24" s="1277"/>
      <c r="U24" s="1277"/>
      <c r="V24" s="1277"/>
      <c r="W24" s="1277"/>
      <c r="X24" s="1277"/>
      <c r="Y24" s="1277"/>
      <c r="Z24" s="1277"/>
      <c r="AA24" s="1277"/>
      <c r="AB24" s="1277"/>
      <c r="AC24" s="1277"/>
      <c r="AD24" s="1277"/>
      <c r="AE24" s="1277"/>
      <c r="AF24" s="1277"/>
      <c r="AG24" s="1277"/>
      <c r="AH24" s="1277"/>
      <c r="AI24" s="1277"/>
      <c r="AJ24" s="1277"/>
      <c r="AK24" s="1277"/>
      <c r="AL24" s="1277"/>
      <c r="AM24" s="1277"/>
      <c r="AN24" s="1277"/>
      <c r="AO24" s="1277"/>
      <c r="AP24" s="1277"/>
      <c r="AQ24" s="1277"/>
      <c r="AR24" s="1277"/>
      <c r="AS24" s="1277"/>
      <c r="AT24" s="1277"/>
      <c r="AU24" s="1277"/>
      <c r="AV24" s="1277"/>
      <c r="AW24" s="1277"/>
      <c r="AX24" s="1277"/>
      <c r="AY24" s="1277"/>
      <c r="AZ24" s="1277"/>
      <c r="BA24" s="1277"/>
      <c r="BB24" s="1277"/>
      <c r="BC24" s="1277"/>
      <c r="BD24" s="1277"/>
      <c r="BE24" s="1277"/>
      <c r="BF24" s="1277"/>
      <c r="BG24" s="1277"/>
      <c r="BH24" s="1277"/>
      <c r="BI24" s="1277"/>
      <c r="BJ24" s="1277"/>
      <c r="BK24" s="1277"/>
      <c r="BL24" s="1277"/>
      <c r="BM24" s="1277"/>
      <c r="BN24" s="1277"/>
    </row>
    <row r="25" spans="1:67" s="273" customFormat="1" ht="14.1" customHeight="1" x14ac:dyDescent="0.2">
      <c r="A25" s="3566"/>
      <c r="B25" s="454" t="s">
        <v>17</v>
      </c>
      <c r="C25" s="3200" t="s">
        <v>153</v>
      </c>
      <c r="D25" s="1385">
        <f t="shared" ref="D25:H25" si="24">D26</f>
        <v>2536207</v>
      </c>
      <c r="E25" s="1386">
        <f t="shared" si="24"/>
        <v>256207</v>
      </c>
      <c r="F25" s="1442">
        <f t="shared" si="24"/>
        <v>0</v>
      </c>
      <c r="G25" s="1386">
        <f t="shared" si="24"/>
        <v>0</v>
      </c>
      <c r="H25" s="1386">
        <f t="shared" si="24"/>
        <v>2280000</v>
      </c>
      <c r="I25" s="1385">
        <f t="shared" si="23"/>
        <v>256207</v>
      </c>
      <c r="J25" s="1388">
        <f>I25/D25*100</f>
        <v>10.101975114807269</v>
      </c>
      <c r="K25" s="1386">
        <f>K26</f>
        <v>0</v>
      </c>
      <c r="L25" s="1442">
        <v>0</v>
      </c>
      <c r="M25" s="1386">
        <f>+K25-G25</f>
        <v>0</v>
      </c>
      <c r="N25" s="3582"/>
      <c r="O25" s="1277"/>
      <c r="P25" s="1277"/>
      <c r="Q25" s="1277"/>
      <c r="R25" s="1277"/>
      <c r="S25" s="1277"/>
      <c r="T25" s="1277"/>
      <c r="U25" s="1277"/>
      <c r="V25" s="1277"/>
      <c r="W25" s="1277"/>
      <c r="X25" s="1277"/>
      <c r="Y25" s="1277"/>
      <c r="Z25" s="1277"/>
      <c r="AA25" s="1277"/>
      <c r="AB25" s="1277"/>
      <c r="AC25" s="1277"/>
      <c r="AD25" s="1277"/>
      <c r="AE25" s="1277"/>
      <c r="AF25" s="1277"/>
      <c r="AG25" s="1277"/>
      <c r="AH25" s="1277"/>
      <c r="AI25" s="1277"/>
      <c r="AJ25" s="1277"/>
      <c r="AK25" s="1277"/>
      <c r="AL25" s="1277"/>
      <c r="AM25" s="1277"/>
      <c r="AN25" s="1277"/>
      <c r="AO25" s="1277"/>
      <c r="AP25" s="1277"/>
      <c r="AQ25" s="1277"/>
      <c r="AR25" s="1277"/>
      <c r="AS25" s="1277"/>
      <c r="AT25" s="1277"/>
      <c r="AU25" s="1277"/>
      <c r="AV25" s="1277"/>
      <c r="AW25" s="1277"/>
      <c r="AX25" s="1277"/>
      <c r="AY25" s="1277"/>
      <c r="AZ25" s="1277"/>
      <c r="BA25" s="1277"/>
      <c r="BB25" s="1277"/>
      <c r="BC25" s="1277"/>
      <c r="BD25" s="1277"/>
      <c r="BE25" s="1277"/>
      <c r="BF25" s="1277"/>
      <c r="BG25" s="1277"/>
      <c r="BH25" s="1277"/>
      <c r="BI25" s="1277"/>
      <c r="BJ25" s="1277"/>
      <c r="BK25" s="1277"/>
      <c r="BL25" s="1277"/>
      <c r="BM25" s="1277"/>
      <c r="BN25" s="1277"/>
    </row>
    <row r="26" spans="1:67" s="273" customFormat="1" ht="18" customHeight="1" thickBot="1" x14ac:dyDescent="0.25">
      <c r="A26" s="3566"/>
      <c r="B26" s="1850" t="s">
        <v>5</v>
      </c>
      <c r="C26" s="3562"/>
      <c r="D26" s="1398">
        <f>+E26+F26+G26+H26</f>
        <v>2536207</v>
      </c>
      <c r="E26" s="1399">
        <v>256207</v>
      </c>
      <c r="F26" s="1448">
        <v>0</v>
      </c>
      <c r="G26" s="1463">
        <v>0</v>
      </c>
      <c r="H26" s="1399">
        <v>2280000</v>
      </c>
      <c r="I26" s="1378">
        <f>K26+E26+F26</f>
        <v>256207</v>
      </c>
      <c r="J26" s="1382">
        <f>I26/D26*100</f>
        <v>10.101975114807269</v>
      </c>
      <c r="K26" s="1463">
        <v>0</v>
      </c>
      <c r="L26" s="1421">
        <v>0</v>
      </c>
      <c r="M26" s="1379">
        <f>+K26-G26</f>
        <v>0</v>
      </c>
      <c r="N26" s="3582"/>
      <c r="O26" s="1277"/>
      <c r="P26" s="1277"/>
      <c r="Q26" s="1277"/>
      <c r="R26" s="1277"/>
      <c r="S26" s="1277"/>
      <c r="T26" s="1277"/>
      <c r="U26" s="1277"/>
      <c r="V26" s="1277"/>
      <c r="W26" s="1277"/>
      <c r="X26" s="1277"/>
      <c r="Y26" s="1277"/>
      <c r="Z26" s="1277"/>
      <c r="AA26" s="1277"/>
      <c r="AB26" s="1277"/>
      <c r="AC26" s="1277"/>
      <c r="AD26" s="1277"/>
      <c r="AE26" s="1277"/>
      <c r="AF26" s="1277"/>
      <c r="AG26" s="1277"/>
      <c r="AH26" s="1277"/>
      <c r="AI26" s="1277"/>
      <c r="AJ26" s="1277"/>
      <c r="AK26" s="1277"/>
      <c r="AL26" s="1277"/>
      <c r="AM26" s="1277"/>
      <c r="AN26" s="1277"/>
      <c r="AO26" s="1277"/>
      <c r="AP26" s="1277"/>
      <c r="AQ26" s="1277"/>
      <c r="AR26" s="1277"/>
      <c r="AS26" s="1277"/>
      <c r="AT26" s="1277"/>
      <c r="AU26" s="1277"/>
      <c r="AV26" s="1277"/>
      <c r="AW26" s="1277"/>
      <c r="AX26" s="1277"/>
      <c r="AY26" s="1277"/>
      <c r="AZ26" s="1277"/>
      <c r="BA26" s="1277"/>
      <c r="BB26" s="1277"/>
      <c r="BC26" s="1277"/>
      <c r="BD26" s="1277"/>
      <c r="BE26" s="1277"/>
      <c r="BF26" s="1277"/>
      <c r="BG26" s="1277"/>
      <c r="BH26" s="1277"/>
      <c r="BI26" s="1277"/>
      <c r="BJ26" s="1277"/>
      <c r="BK26" s="1277"/>
      <c r="BL26" s="1277"/>
      <c r="BM26" s="1277"/>
      <c r="BN26" s="1277"/>
    </row>
    <row r="27" spans="1:67" s="273" customFormat="1" ht="19.5" hidden="1" customHeight="1" x14ac:dyDescent="0.25">
      <c r="A27" s="3566"/>
      <c r="B27" s="473" t="s">
        <v>12</v>
      </c>
      <c r="C27" s="3562"/>
      <c r="D27" s="2128">
        <f t="shared" ref="D27:H27" si="25">+D28</f>
        <v>0</v>
      </c>
      <c r="E27" s="2129">
        <f t="shared" si="25"/>
        <v>0</v>
      </c>
      <c r="F27" s="2129">
        <f t="shared" si="25"/>
        <v>0</v>
      </c>
      <c r="G27" s="2129">
        <f t="shared" si="25"/>
        <v>0</v>
      </c>
      <c r="H27" s="2130">
        <f t="shared" si="25"/>
        <v>0</v>
      </c>
      <c r="I27" s="2131"/>
      <c r="J27" s="1442"/>
      <c r="K27" s="1442"/>
      <c r="L27" s="1442"/>
      <c r="M27" s="1442">
        <f t="shared" ref="M27:M31" si="26">+K27-G27*0.5</f>
        <v>0</v>
      </c>
      <c r="N27" s="3582"/>
      <c r="O27" s="1277"/>
      <c r="P27" s="1277"/>
      <c r="Q27" s="1277"/>
      <c r="R27" s="1277"/>
      <c r="S27" s="1277"/>
      <c r="T27" s="1277"/>
      <c r="U27" s="1277"/>
      <c r="V27" s="1277"/>
      <c r="W27" s="1277"/>
      <c r="X27" s="1277"/>
      <c r="Y27" s="1277"/>
      <c r="Z27" s="1277"/>
      <c r="AA27" s="1277"/>
      <c r="AB27" s="1277"/>
      <c r="AC27" s="1277"/>
      <c r="AD27" s="1277"/>
      <c r="AE27" s="1277"/>
      <c r="AF27" s="1277"/>
      <c r="AG27" s="1277"/>
      <c r="AH27" s="1277"/>
      <c r="AI27" s="1277"/>
      <c r="AJ27" s="1277"/>
      <c r="AK27" s="1277"/>
      <c r="AL27" s="1277"/>
      <c r="AM27" s="1277"/>
      <c r="AN27" s="1277"/>
      <c r="AO27" s="1277"/>
      <c r="AP27" s="1277"/>
      <c r="AQ27" s="1277"/>
      <c r="AR27" s="1277"/>
      <c r="AS27" s="1277"/>
      <c r="AT27" s="1277"/>
      <c r="AU27" s="1277"/>
      <c r="AV27" s="1277"/>
      <c r="AW27" s="1277"/>
      <c r="AX27" s="1277"/>
      <c r="AY27" s="1277"/>
      <c r="AZ27" s="1277"/>
      <c r="BA27" s="1277"/>
      <c r="BB27" s="1277"/>
      <c r="BC27" s="1277"/>
      <c r="BD27" s="1277"/>
      <c r="BE27" s="1277"/>
      <c r="BF27" s="1277"/>
      <c r="BG27" s="1277"/>
      <c r="BH27" s="1277"/>
      <c r="BI27" s="1277"/>
      <c r="BJ27" s="1277"/>
      <c r="BK27" s="1277"/>
      <c r="BL27" s="1277"/>
      <c r="BM27" s="1277"/>
      <c r="BN27" s="1277"/>
    </row>
    <row r="28" spans="1:67" s="273" customFormat="1" ht="17.25" hidden="1" customHeight="1" x14ac:dyDescent="0.25">
      <c r="A28" s="3566"/>
      <c r="B28" s="1854" t="s">
        <v>15</v>
      </c>
      <c r="C28" s="3570"/>
      <c r="D28" s="2132">
        <f>+E28+F28+G28+H28</f>
        <v>0</v>
      </c>
      <c r="E28" s="1448">
        <v>0</v>
      </c>
      <c r="F28" s="1448">
        <v>0</v>
      </c>
      <c r="G28" s="1448">
        <v>0</v>
      </c>
      <c r="H28" s="2133">
        <v>0</v>
      </c>
      <c r="I28" s="2132"/>
      <c r="J28" s="1448"/>
      <c r="K28" s="1448"/>
      <c r="L28" s="1448"/>
      <c r="M28" s="1448">
        <f t="shared" si="26"/>
        <v>0</v>
      </c>
      <c r="N28" s="3582"/>
      <c r="O28" s="1277"/>
      <c r="P28" s="1277"/>
      <c r="Q28" s="1277"/>
      <c r="R28" s="1277"/>
      <c r="S28" s="1277"/>
      <c r="T28" s="1277"/>
      <c r="U28" s="1277"/>
      <c r="V28" s="1277"/>
      <c r="W28" s="1277"/>
      <c r="X28" s="1277"/>
      <c r="Y28" s="1277"/>
      <c r="Z28" s="1277"/>
      <c r="AA28" s="1277"/>
      <c r="AB28" s="1277"/>
      <c r="AC28" s="1277"/>
      <c r="AD28" s="1277"/>
      <c r="AE28" s="1277"/>
      <c r="AF28" s="1277"/>
      <c r="AG28" s="1277"/>
      <c r="AH28" s="1277"/>
      <c r="AI28" s="1277"/>
      <c r="AJ28" s="1277"/>
      <c r="AK28" s="1277"/>
      <c r="AL28" s="1277"/>
      <c r="AM28" s="1277"/>
      <c r="AN28" s="1277"/>
      <c r="AO28" s="1277"/>
      <c r="AP28" s="1277"/>
      <c r="AQ28" s="1277"/>
      <c r="AR28" s="1277"/>
      <c r="AS28" s="1277"/>
      <c r="AT28" s="1277"/>
      <c r="AU28" s="1277"/>
      <c r="AV28" s="1277"/>
      <c r="AW28" s="1277"/>
      <c r="AX28" s="1277"/>
      <c r="AY28" s="1277"/>
      <c r="AZ28" s="1277"/>
      <c r="BA28" s="1277"/>
      <c r="BB28" s="1277"/>
      <c r="BC28" s="1277"/>
      <c r="BD28" s="1277"/>
      <c r="BE28" s="1277"/>
      <c r="BF28" s="1277"/>
      <c r="BG28" s="1277"/>
      <c r="BH28" s="1277"/>
      <c r="BI28" s="1277"/>
      <c r="BJ28" s="1277"/>
      <c r="BK28" s="1277"/>
      <c r="BL28" s="1277"/>
      <c r="BM28" s="1277"/>
      <c r="BN28" s="1277"/>
    </row>
    <row r="29" spans="1:67" s="2140" customFormat="1" ht="18" hidden="1" customHeight="1" x14ac:dyDescent="0.25">
      <c r="A29" s="3566"/>
      <c r="B29" s="2134" t="s">
        <v>16</v>
      </c>
      <c r="C29" s="2135"/>
      <c r="D29" s="2136">
        <f t="shared" ref="D29:H29" si="27">D30</f>
        <v>0</v>
      </c>
      <c r="E29" s="2137">
        <f t="shared" si="27"/>
        <v>0</v>
      </c>
      <c r="F29" s="2137">
        <f t="shared" si="27"/>
        <v>0</v>
      </c>
      <c r="G29" s="2137">
        <f t="shared" si="27"/>
        <v>0</v>
      </c>
      <c r="H29" s="2138">
        <f t="shared" si="27"/>
        <v>0</v>
      </c>
      <c r="I29" s="2136"/>
      <c r="J29" s="2137"/>
      <c r="K29" s="2137"/>
      <c r="L29" s="2137"/>
      <c r="M29" s="2137">
        <f t="shared" si="26"/>
        <v>0</v>
      </c>
      <c r="N29" s="3582"/>
      <c r="O29" s="2139"/>
      <c r="P29" s="2139"/>
      <c r="Q29" s="2139"/>
      <c r="R29" s="2139"/>
      <c r="S29" s="2139"/>
      <c r="T29" s="2139"/>
      <c r="U29" s="2139"/>
      <c r="V29" s="2139"/>
      <c r="W29" s="2139"/>
      <c r="X29" s="2139"/>
      <c r="Y29" s="2139"/>
      <c r="Z29" s="2139"/>
      <c r="AA29" s="2139"/>
      <c r="AB29" s="2139"/>
      <c r="AC29" s="2139"/>
      <c r="AD29" s="2139"/>
      <c r="AE29" s="2139"/>
      <c r="AF29" s="2139"/>
      <c r="AG29" s="2139"/>
      <c r="AH29" s="2139"/>
      <c r="AI29" s="2139"/>
      <c r="AJ29" s="2139"/>
      <c r="AK29" s="2139"/>
      <c r="AL29" s="2139"/>
      <c r="AM29" s="2139"/>
      <c r="AN29" s="2139"/>
      <c r="AO29" s="2139"/>
      <c r="AP29" s="2139"/>
      <c r="AQ29" s="2139"/>
      <c r="AR29" s="2139"/>
      <c r="AS29" s="2139"/>
      <c r="AT29" s="2139"/>
      <c r="AU29" s="2139"/>
      <c r="AV29" s="2139"/>
      <c r="AW29" s="2139"/>
      <c r="AX29" s="2139"/>
      <c r="AY29" s="2139"/>
      <c r="AZ29" s="2139"/>
      <c r="BA29" s="2139"/>
      <c r="BB29" s="2139"/>
      <c r="BC29" s="2139"/>
      <c r="BD29" s="2139"/>
      <c r="BE29" s="2139"/>
      <c r="BF29" s="2139"/>
      <c r="BG29" s="2139"/>
      <c r="BH29" s="2139"/>
      <c r="BI29" s="2139"/>
      <c r="BJ29" s="2139"/>
      <c r="BK29" s="2139"/>
      <c r="BL29" s="2139"/>
      <c r="BM29" s="2139"/>
      <c r="BN29" s="2139"/>
    </row>
    <row r="30" spans="1:67" s="273" customFormat="1" ht="19.5" hidden="1" customHeight="1" x14ac:dyDescent="0.25">
      <c r="A30" s="3566"/>
      <c r="B30" s="2141" t="s">
        <v>12</v>
      </c>
      <c r="C30" s="3584" t="s">
        <v>128</v>
      </c>
      <c r="D30" s="2142">
        <f t="shared" ref="D30:H30" si="28">+D31</f>
        <v>0</v>
      </c>
      <c r="E30" s="2143">
        <f t="shared" si="28"/>
        <v>0</v>
      </c>
      <c r="F30" s="2143">
        <f t="shared" si="28"/>
        <v>0</v>
      </c>
      <c r="G30" s="2143">
        <f t="shared" si="28"/>
        <v>0</v>
      </c>
      <c r="H30" s="2144">
        <f t="shared" si="28"/>
        <v>0</v>
      </c>
      <c r="I30" s="2142"/>
      <c r="J30" s="2143"/>
      <c r="K30" s="2143"/>
      <c r="L30" s="2143"/>
      <c r="M30" s="2143">
        <f t="shared" si="26"/>
        <v>0</v>
      </c>
      <c r="N30" s="3582"/>
      <c r="O30" s="1277"/>
      <c r="P30" s="1277"/>
      <c r="Q30" s="1277"/>
      <c r="R30" s="1277"/>
      <c r="S30" s="1277"/>
      <c r="T30" s="1277"/>
      <c r="U30" s="1277"/>
      <c r="V30" s="1277"/>
      <c r="W30" s="1277"/>
      <c r="X30" s="1277"/>
      <c r="Y30" s="1277"/>
      <c r="Z30" s="1277"/>
      <c r="AA30" s="1277"/>
      <c r="AB30" s="1277"/>
      <c r="AC30" s="1277"/>
      <c r="AD30" s="1277"/>
      <c r="AE30" s="1277"/>
      <c r="AF30" s="1277"/>
      <c r="AG30" s="1277"/>
      <c r="AH30" s="1277"/>
      <c r="AI30" s="1277"/>
      <c r="AJ30" s="1277"/>
      <c r="AK30" s="1277"/>
      <c r="AL30" s="1277"/>
      <c r="AM30" s="1277"/>
      <c r="AN30" s="1277"/>
      <c r="AO30" s="1277"/>
      <c r="AP30" s="1277"/>
      <c r="AQ30" s="1277"/>
      <c r="AR30" s="1277"/>
      <c r="AS30" s="1277"/>
      <c r="AT30" s="1277"/>
      <c r="AU30" s="1277"/>
      <c r="AV30" s="1277"/>
      <c r="AW30" s="1277"/>
      <c r="AX30" s="1277"/>
      <c r="AY30" s="1277"/>
      <c r="AZ30" s="1277"/>
      <c r="BA30" s="1277"/>
      <c r="BB30" s="1277"/>
      <c r="BC30" s="1277"/>
      <c r="BD30" s="1277"/>
      <c r="BE30" s="1277"/>
      <c r="BF30" s="1277"/>
      <c r="BG30" s="1277"/>
      <c r="BH30" s="1277"/>
      <c r="BI30" s="1277"/>
      <c r="BJ30" s="1277"/>
      <c r="BK30" s="1277"/>
      <c r="BL30" s="1277"/>
      <c r="BM30" s="1277"/>
      <c r="BN30" s="1277"/>
    </row>
    <row r="31" spans="1:67" s="273" customFormat="1" ht="20.25" hidden="1" customHeight="1" thickBot="1" x14ac:dyDescent="0.25">
      <c r="A31" s="3567"/>
      <c r="B31" s="2145" t="s">
        <v>15</v>
      </c>
      <c r="C31" s="3585"/>
      <c r="D31" s="2146">
        <f>+E31+F31+G31+H31</f>
        <v>0</v>
      </c>
      <c r="E31" s="2147">
        <v>0</v>
      </c>
      <c r="F31" s="2147">
        <v>0</v>
      </c>
      <c r="G31" s="2147">
        <v>0</v>
      </c>
      <c r="H31" s="2148">
        <v>0</v>
      </c>
      <c r="I31" s="2146"/>
      <c r="J31" s="2147"/>
      <c r="K31" s="2147"/>
      <c r="L31" s="2147"/>
      <c r="M31" s="2147">
        <f t="shared" si="26"/>
        <v>0</v>
      </c>
      <c r="N31" s="3583"/>
      <c r="O31" s="1277"/>
      <c r="P31" s="1277"/>
      <c r="Q31" s="1277"/>
      <c r="R31" s="1277"/>
      <c r="S31" s="1277"/>
      <c r="T31" s="1277"/>
      <c r="U31" s="1277"/>
      <c r="V31" s="1277"/>
      <c r="W31" s="1277"/>
      <c r="X31" s="1277"/>
      <c r="Y31" s="1277"/>
      <c r="Z31" s="1277"/>
      <c r="AA31" s="1277"/>
      <c r="AB31" s="1277"/>
      <c r="AC31" s="1277"/>
      <c r="AD31" s="1277"/>
      <c r="AE31" s="1277"/>
      <c r="AF31" s="1277"/>
      <c r="AG31" s="1277"/>
      <c r="AH31" s="1277"/>
      <c r="AI31" s="1277"/>
      <c r="AJ31" s="1277"/>
      <c r="AK31" s="1277"/>
      <c r="AL31" s="1277"/>
      <c r="AM31" s="1277"/>
      <c r="AN31" s="1277"/>
      <c r="AO31" s="1277"/>
      <c r="AP31" s="1277"/>
      <c r="AQ31" s="1277"/>
      <c r="AR31" s="1277"/>
      <c r="AS31" s="1277"/>
      <c r="AT31" s="1277"/>
      <c r="AU31" s="1277"/>
      <c r="AV31" s="1277"/>
      <c r="AW31" s="1277"/>
      <c r="AX31" s="1277"/>
      <c r="AY31" s="1277"/>
      <c r="AZ31" s="1277"/>
      <c r="BA31" s="1277"/>
      <c r="BB31" s="1277"/>
      <c r="BC31" s="1277"/>
      <c r="BD31" s="1277"/>
      <c r="BE31" s="1277"/>
      <c r="BF31" s="1277"/>
      <c r="BG31" s="1277"/>
      <c r="BH31" s="1277"/>
      <c r="BI31" s="1277"/>
      <c r="BJ31" s="1277"/>
      <c r="BK31" s="1277"/>
      <c r="BL31" s="1277"/>
      <c r="BM31" s="1277"/>
      <c r="BN31" s="1277"/>
    </row>
    <row r="32" spans="1:67" s="273" customFormat="1" ht="57.75" customHeight="1" x14ac:dyDescent="0.2">
      <c r="A32" s="3551" t="s">
        <v>35</v>
      </c>
      <c r="B32" s="1826" t="s">
        <v>154</v>
      </c>
      <c r="C32" s="2149" t="s">
        <v>206</v>
      </c>
      <c r="D32" s="2123"/>
      <c r="E32" s="2125"/>
      <c r="F32" s="2125"/>
      <c r="G32" s="2125"/>
      <c r="H32" s="2150"/>
      <c r="I32" s="2123"/>
      <c r="J32" s="1362"/>
      <c r="K32" s="1360"/>
      <c r="L32" s="1362"/>
      <c r="M32" s="1360"/>
      <c r="N32" s="3576" t="s">
        <v>155</v>
      </c>
      <c r="O32" s="1277"/>
      <c r="P32" s="1277"/>
      <c r="Q32" s="1277"/>
      <c r="R32" s="1277"/>
      <c r="S32" s="1277"/>
      <c r="T32" s="1277"/>
      <c r="U32" s="1277"/>
      <c r="V32" s="1277"/>
      <c r="W32" s="1277"/>
      <c r="X32" s="1277"/>
      <c r="Y32" s="1277"/>
      <c r="Z32" s="1277"/>
      <c r="AA32" s="1277"/>
      <c r="AB32" s="1277"/>
      <c r="AC32" s="1277"/>
      <c r="AD32" s="1277"/>
      <c r="AE32" s="1277"/>
      <c r="AF32" s="1277"/>
      <c r="AG32" s="1277"/>
      <c r="AH32" s="1277"/>
      <c r="AI32" s="1277"/>
      <c r="AJ32" s="1277"/>
      <c r="AK32" s="1277"/>
      <c r="AL32" s="1277"/>
      <c r="AM32" s="1277"/>
      <c r="AN32" s="1277"/>
      <c r="AO32" s="1277"/>
      <c r="AP32" s="1277"/>
      <c r="AQ32" s="1277"/>
      <c r="AR32" s="1277"/>
      <c r="AS32" s="1277"/>
      <c r="AT32" s="1277"/>
      <c r="AU32" s="1277"/>
      <c r="AV32" s="1277"/>
      <c r="AW32" s="1277"/>
      <c r="AX32" s="1277"/>
      <c r="AY32" s="1277"/>
      <c r="AZ32" s="1277"/>
      <c r="BA32" s="1277"/>
      <c r="BB32" s="1277"/>
      <c r="BC32" s="1277"/>
      <c r="BD32" s="1277"/>
      <c r="BE32" s="1277"/>
      <c r="BF32" s="1277"/>
      <c r="BG32" s="1277"/>
      <c r="BH32" s="1277"/>
      <c r="BI32" s="1277"/>
      <c r="BJ32" s="1277"/>
      <c r="BK32" s="1277"/>
      <c r="BL32" s="1277"/>
      <c r="BM32" s="1277"/>
      <c r="BN32" s="1277"/>
    </row>
    <row r="33" spans="1:67" s="273" customFormat="1" ht="13.5" customHeight="1" x14ac:dyDescent="0.2">
      <c r="A33" s="3552"/>
      <c r="B33" s="334" t="s">
        <v>2</v>
      </c>
      <c r="C33" s="2151"/>
      <c r="D33" s="1722">
        <f>+D34+D37</f>
        <v>24586981</v>
      </c>
      <c r="E33" s="1320">
        <f>+E34+E37</f>
        <v>740023</v>
      </c>
      <c r="F33" s="1320">
        <f>F34+F37</f>
        <v>6576172</v>
      </c>
      <c r="G33" s="1320">
        <f>+G34+G37</f>
        <v>5941724</v>
      </c>
      <c r="H33" s="1317">
        <f>+H34+H37</f>
        <v>11329062</v>
      </c>
      <c r="I33" s="1722">
        <f t="shared" ref="I33:I91" si="29">K33+E33+F33</f>
        <v>13141061</v>
      </c>
      <c r="J33" s="1753">
        <f t="shared" ref="J33:J43" si="30">I33/D33*100</f>
        <v>53.447232907529397</v>
      </c>
      <c r="K33" s="35">
        <f>+K34+K37</f>
        <v>5824866</v>
      </c>
      <c r="L33" s="1753">
        <f>K33/G33*100</f>
        <v>98.033264419552296</v>
      </c>
      <c r="M33" s="35">
        <f t="shared" ref="M33:M43" si="31">+K33-G33</f>
        <v>-116858</v>
      </c>
      <c r="N33" s="3577"/>
      <c r="O33" s="1277"/>
      <c r="P33" s="1277"/>
      <c r="Q33" s="1277"/>
      <c r="R33" s="1277"/>
      <c r="S33" s="1277"/>
      <c r="T33" s="1277"/>
      <c r="U33" s="1277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7"/>
      <c r="AF33" s="1277"/>
      <c r="AG33" s="1277"/>
      <c r="AH33" s="1277"/>
      <c r="AI33" s="1277"/>
      <c r="AJ33" s="1277"/>
      <c r="AK33" s="1277"/>
      <c r="AL33" s="1277"/>
      <c r="AM33" s="1277"/>
      <c r="AN33" s="1277"/>
      <c r="AO33" s="1277"/>
      <c r="AP33" s="1277"/>
      <c r="AQ33" s="1277"/>
      <c r="AR33" s="1277"/>
      <c r="AS33" s="1277"/>
      <c r="AT33" s="1277"/>
      <c r="AU33" s="1277"/>
      <c r="AV33" s="1277"/>
      <c r="AW33" s="1277"/>
      <c r="AX33" s="1277"/>
      <c r="AY33" s="1277"/>
      <c r="AZ33" s="1277"/>
      <c r="BA33" s="1277"/>
      <c r="BB33" s="1277"/>
      <c r="BC33" s="1277"/>
      <c r="BD33" s="1277"/>
      <c r="BE33" s="1277"/>
      <c r="BF33" s="1277"/>
      <c r="BG33" s="1277"/>
      <c r="BH33" s="1277"/>
      <c r="BI33" s="1277"/>
      <c r="BJ33" s="1277"/>
      <c r="BK33" s="1277"/>
      <c r="BL33" s="1277"/>
      <c r="BM33" s="1277"/>
      <c r="BN33" s="1277"/>
    </row>
    <row r="34" spans="1:67" s="273" customFormat="1" ht="13.5" customHeight="1" x14ac:dyDescent="0.2">
      <c r="A34" s="3552"/>
      <c r="B34" s="454" t="s">
        <v>17</v>
      </c>
      <c r="C34" s="3313" t="s">
        <v>153</v>
      </c>
      <c r="D34" s="1385">
        <f t="shared" ref="D34" si="32">D36+D35</f>
        <v>9895023</v>
      </c>
      <c r="E34" s="1386">
        <f>E36+E35</f>
        <v>740023</v>
      </c>
      <c r="F34" s="1386">
        <f>F36+F35</f>
        <v>2422410</v>
      </c>
      <c r="G34" s="1386">
        <f t="shared" ref="G34:H34" si="33">G36+G35</f>
        <v>2311492</v>
      </c>
      <c r="H34" s="1489">
        <f t="shared" si="33"/>
        <v>4421098</v>
      </c>
      <c r="I34" s="1385">
        <f t="shared" si="29"/>
        <v>5475257</v>
      </c>
      <c r="J34" s="1430">
        <f t="shared" si="30"/>
        <v>55.333443893965686</v>
      </c>
      <c r="K34" s="1744">
        <f>K36+K35</f>
        <v>2312824</v>
      </c>
      <c r="L34" s="1430">
        <f>K34/G34*100</f>
        <v>100.05762511832184</v>
      </c>
      <c r="M34" s="1744">
        <f t="shared" si="31"/>
        <v>1332</v>
      </c>
      <c r="N34" s="3577"/>
      <c r="O34" s="1277"/>
      <c r="P34" s="1277"/>
      <c r="Q34" s="1277"/>
      <c r="R34" s="1277"/>
      <c r="S34" s="1277"/>
      <c r="T34" s="1277"/>
      <c r="U34" s="1277"/>
      <c r="V34" s="1277"/>
      <c r="W34" s="1277"/>
      <c r="X34" s="1277"/>
      <c r="Y34" s="1277"/>
      <c r="Z34" s="1277"/>
      <c r="AA34" s="1277"/>
      <c r="AB34" s="1277"/>
      <c r="AC34" s="1277"/>
      <c r="AD34" s="1277"/>
      <c r="AE34" s="1277"/>
      <c r="AF34" s="1277"/>
      <c r="AG34" s="1277"/>
      <c r="AH34" s="1277"/>
      <c r="AI34" s="1277"/>
      <c r="AJ34" s="1277"/>
      <c r="AK34" s="1277"/>
      <c r="AL34" s="1277"/>
      <c r="AM34" s="1277"/>
      <c r="AN34" s="1277"/>
      <c r="AO34" s="1277"/>
      <c r="AP34" s="1277"/>
      <c r="AQ34" s="1277"/>
      <c r="AR34" s="1277"/>
      <c r="AS34" s="1277"/>
      <c r="AT34" s="1277"/>
      <c r="AU34" s="1277"/>
      <c r="AV34" s="1277"/>
      <c r="AW34" s="1277"/>
      <c r="AX34" s="1277"/>
      <c r="AY34" s="1277"/>
      <c r="AZ34" s="1277"/>
      <c r="BA34" s="1277"/>
      <c r="BB34" s="1277"/>
      <c r="BC34" s="1277"/>
      <c r="BD34" s="1277"/>
      <c r="BE34" s="1277"/>
      <c r="BF34" s="1277"/>
      <c r="BG34" s="1277"/>
      <c r="BH34" s="1277"/>
      <c r="BI34" s="1277"/>
      <c r="BJ34" s="1277"/>
      <c r="BK34" s="1277"/>
      <c r="BL34" s="1277"/>
      <c r="BM34" s="1277"/>
      <c r="BN34" s="1277"/>
    </row>
    <row r="35" spans="1:67" s="273" customFormat="1" ht="13.5" customHeight="1" x14ac:dyDescent="0.2">
      <c r="A35" s="3552"/>
      <c r="B35" s="2152" t="s">
        <v>6</v>
      </c>
      <c r="C35" s="3313"/>
      <c r="D35" s="1378">
        <f>+E35+F35+G35+H35</f>
        <v>585072</v>
      </c>
      <c r="E35" s="1379">
        <f>27616+211482+59610</f>
        <v>298708</v>
      </c>
      <c r="F35" s="1379">
        <v>4388</v>
      </c>
      <c r="G35" s="1379">
        <v>6328</v>
      </c>
      <c r="H35" s="1379">
        <v>275648</v>
      </c>
      <c r="I35" s="2153">
        <f t="shared" si="29"/>
        <v>310756</v>
      </c>
      <c r="J35" s="1467">
        <f t="shared" si="30"/>
        <v>53.114146634944071</v>
      </c>
      <c r="K35" s="1424">
        <v>7660</v>
      </c>
      <c r="L35" s="1423">
        <f t="shared" ref="L35:L42" si="34">K35/G35*100</f>
        <v>121.04930467762327</v>
      </c>
      <c r="M35" s="1424">
        <f t="shared" si="31"/>
        <v>1332</v>
      </c>
      <c r="N35" s="3577"/>
      <c r="O35" s="1277"/>
      <c r="P35" s="1277"/>
      <c r="Q35" s="1277"/>
      <c r="R35" s="1277"/>
      <c r="S35" s="1277"/>
      <c r="T35" s="1277"/>
      <c r="U35" s="1277"/>
      <c r="V35" s="1277"/>
      <c r="W35" s="1277"/>
      <c r="X35" s="1277"/>
      <c r="Y35" s="1277"/>
      <c r="Z35" s="1277"/>
      <c r="AA35" s="1277"/>
      <c r="AB35" s="1277"/>
      <c r="AC35" s="1277"/>
      <c r="AD35" s="1277"/>
      <c r="AE35" s="1277"/>
      <c r="AF35" s="1277"/>
      <c r="AG35" s="1277"/>
      <c r="AH35" s="1277"/>
      <c r="AI35" s="1277"/>
      <c r="AJ35" s="1277"/>
      <c r="AK35" s="1277"/>
      <c r="AL35" s="1277"/>
      <c r="AM35" s="1277"/>
      <c r="AN35" s="1277"/>
      <c r="AO35" s="1277"/>
      <c r="AP35" s="1277"/>
      <c r="AQ35" s="1277"/>
      <c r="AR35" s="1277"/>
      <c r="AS35" s="1277"/>
      <c r="AT35" s="1277"/>
      <c r="AU35" s="1277"/>
      <c r="AV35" s="1277"/>
      <c r="AW35" s="1277"/>
      <c r="AX35" s="1277"/>
      <c r="AY35" s="1277"/>
      <c r="AZ35" s="1277"/>
      <c r="BA35" s="1277"/>
      <c r="BB35" s="1277"/>
      <c r="BC35" s="1277"/>
      <c r="BD35" s="1277"/>
      <c r="BE35" s="1277"/>
      <c r="BF35" s="1277"/>
      <c r="BG35" s="1277"/>
      <c r="BH35" s="1277"/>
      <c r="BI35" s="1277"/>
      <c r="BJ35" s="1277"/>
      <c r="BK35" s="1277"/>
      <c r="BL35" s="1277"/>
      <c r="BM35" s="1277"/>
      <c r="BN35" s="1277"/>
    </row>
    <row r="36" spans="1:67" s="273" customFormat="1" ht="13.5" customHeight="1" x14ac:dyDescent="0.2">
      <c r="A36" s="3552"/>
      <c r="B36" s="2152" t="s">
        <v>5</v>
      </c>
      <c r="C36" s="3579"/>
      <c r="D36" s="1378">
        <f>+E36+F36+G36+H36</f>
        <v>9309951</v>
      </c>
      <c r="E36" s="1379">
        <f>190000+56315+195000</f>
        <v>441315</v>
      </c>
      <c r="F36" s="1379">
        <v>2418022</v>
      </c>
      <c r="G36" s="1379">
        <v>2305164</v>
      </c>
      <c r="H36" s="1379">
        <v>4145450</v>
      </c>
      <c r="I36" s="1378">
        <f t="shared" si="29"/>
        <v>5164501</v>
      </c>
      <c r="J36" s="1423">
        <f t="shared" si="30"/>
        <v>55.472912800507757</v>
      </c>
      <c r="K36" s="1424">
        <v>2305164</v>
      </c>
      <c r="L36" s="1423">
        <f t="shared" si="34"/>
        <v>100</v>
      </c>
      <c r="M36" s="1424">
        <f t="shared" si="31"/>
        <v>0</v>
      </c>
      <c r="N36" s="3577"/>
      <c r="O36" s="1277"/>
      <c r="P36" s="1277"/>
      <c r="Q36" s="1277"/>
      <c r="R36" s="1277"/>
      <c r="S36" s="1277"/>
      <c r="T36" s="1277"/>
      <c r="U36" s="1277"/>
      <c r="V36" s="1277"/>
      <c r="W36" s="1277"/>
      <c r="X36" s="1277"/>
      <c r="Y36" s="1277"/>
      <c r="Z36" s="1277"/>
      <c r="AA36" s="1277"/>
      <c r="AB36" s="1277"/>
      <c r="AC36" s="1277"/>
      <c r="AD36" s="1277"/>
      <c r="AE36" s="1277"/>
      <c r="AF36" s="1277"/>
      <c r="AG36" s="1277"/>
      <c r="AH36" s="1277"/>
      <c r="AI36" s="1277"/>
      <c r="AJ36" s="1277"/>
      <c r="AK36" s="1277"/>
      <c r="AL36" s="1277"/>
      <c r="AM36" s="1277"/>
      <c r="AN36" s="1277"/>
      <c r="AO36" s="1277"/>
      <c r="AP36" s="1277"/>
      <c r="AQ36" s="1277"/>
      <c r="AR36" s="1277"/>
      <c r="AS36" s="1277"/>
      <c r="AT36" s="1277"/>
      <c r="AU36" s="1277"/>
      <c r="AV36" s="1277"/>
      <c r="AW36" s="1277"/>
      <c r="AX36" s="1277"/>
      <c r="AY36" s="1277"/>
      <c r="AZ36" s="1277"/>
      <c r="BA36" s="1277"/>
      <c r="BB36" s="1277"/>
      <c r="BC36" s="1277"/>
      <c r="BD36" s="1277"/>
      <c r="BE36" s="1277"/>
      <c r="BF36" s="1277"/>
      <c r="BG36" s="1277"/>
      <c r="BH36" s="1277"/>
      <c r="BI36" s="1277"/>
      <c r="BJ36" s="1277"/>
      <c r="BK36" s="1277"/>
      <c r="BL36" s="1277"/>
      <c r="BM36" s="1277"/>
      <c r="BN36" s="1277"/>
    </row>
    <row r="37" spans="1:67" s="273" customFormat="1" ht="13.5" customHeight="1" x14ac:dyDescent="0.2">
      <c r="A37" s="3552"/>
      <c r="B37" s="473" t="s">
        <v>12</v>
      </c>
      <c r="C37" s="3579"/>
      <c r="D37" s="1385">
        <f t="shared" ref="D37:H37" si="35">+D38</f>
        <v>14691958</v>
      </c>
      <c r="E37" s="1386">
        <f t="shared" si="35"/>
        <v>0</v>
      </c>
      <c r="F37" s="1386">
        <f t="shared" si="35"/>
        <v>4153762</v>
      </c>
      <c r="G37" s="1386">
        <f t="shared" si="35"/>
        <v>3630232</v>
      </c>
      <c r="H37" s="1489">
        <f t="shared" si="35"/>
        <v>6907964</v>
      </c>
      <c r="I37" s="1385">
        <f t="shared" si="29"/>
        <v>7665804</v>
      </c>
      <c r="J37" s="1430">
        <f t="shared" si="30"/>
        <v>52.176871183541365</v>
      </c>
      <c r="K37" s="1744">
        <f>+K38</f>
        <v>3512042</v>
      </c>
      <c r="L37" s="1430">
        <f t="shared" si="34"/>
        <v>96.744285213727395</v>
      </c>
      <c r="M37" s="1744">
        <f t="shared" si="31"/>
        <v>-118190</v>
      </c>
      <c r="N37" s="3577"/>
      <c r="O37" s="1277"/>
      <c r="P37" s="1277"/>
      <c r="Q37" s="1277"/>
      <c r="R37" s="1277"/>
      <c r="S37" s="1277"/>
      <c r="T37" s="1277"/>
      <c r="U37" s="1277"/>
      <c r="V37" s="1277"/>
      <c r="W37" s="1277"/>
      <c r="X37" s="1277"/>
      <c r="Y37" s="1277"/>
      <c r="Z37" s="1277"/>
      <c r="AA37" s="1277"/>
      <c r="AB37" s="1277"/>
      <c r="AC37" s="1277"/>
      <c r="AD37" s="1277"/>
      <c r="AE37" s="1277"/>
      <c r="AF37" s="1277"/>
      <c r="AG37" s="1277"/>
      <c r="AH37" s="1277"/>
      <c r="AI37" s="1277"/>
      <c r="AJ37" s="1277"/>
      <c r="AK37" s="1277"/>
      <c r="AL37" s="1277"/>
      <c r="AM37" s="1277"/>
      <c r="AN37" s="1277"/>
      <c r="AO37" s="1277"/>
      <c r="AP37" s="1277"/>
      <c r="AQ37" s="1277"/>
      <c r="AR37" s="1277"/>
      <c r="AS37" s="1277"/>
      <c r="AT37" s="1277"/>
      <c r="AU37" s="1277"/>
      <c r="AV37" s="1277"/>
      <c r="AW37" s="1277"/>
      <c r="AX37" s="1277"/>
      <c r="AY37" s="1277"/>
      <c r="AZ37" s="1277"/>
      <c r="BA37" s="1277"/>
      <c r="BB37" s="1277"/>
      <c r="BC37" s="1277"/>
      <c r="BD37" s="1277"/>
      <c r="BE37" s="1277"/>
      <c r="BF37" s="1277"/>
      <c r="BG37" s="1277"/>
      <c r="BH37" s="1277"/>
      <c r="BI37" s="1277"/>
      <c r="BJ37" s="1277"/>
      <c r="BK37" s="1277"/>
      <c r="BL37" s="1277"/>
      <c r="BM37" s="1277"/>
      <c r="BN37" s="1277"/>
    </row>
    <row r="38" spans="1:67" s="273" customFormat="1" ht="12.75" x14ac:dyDescent="0.2">
      <c r="A38" s="3552"/>
      <c r="B38" s="2154" t="s">
        <v>15</v>
      </c>
      <c r="C38" s="3579"/>
      <c r="D38" s="1378">
        <f>+E38+F38+G38+H38</f>
        <v>14691958</v>
      </c>
      <c r="E38" s="1379">
        <v>0</v>
      </c>
      <c r="F38" s="1379">
        <v>4153762</v>
      </c>
      <c r="G38" s="1379">
        <v>3630232</v>
      </c>
      <c r="H38" s="1465">
        <v>6907964</v>
      </c>
      <c r="I38" s="1378">
        <f t="shared" si="29"/>
        <v>7665804</v>
      </c>
      <c r="J38" s="1423">
        <f t="shared" si="30"/>
        <v>52.176871183541365</v>
      </c>
      <c r="K38" s="2155">
        <v>3512042</v>
      </c>
      <c r="L38" s="1423">
        <f t="shared" si="34"/>
        <v>96.744285213727395</v>
      </c>
      <c r="M38" s="1424">
        <f t="shared" si="31"/>
        <v>-118190</v>
      </c>
      <c r="N38" s="3577"/>
      <c r="O38" s="1277"/>
      <c r="P38" s="1277"/>
      <c r="Q38" s="1277"/>
      <c r="R38" s="1277"/>
      <c r="S38" s="1277"/>
      <c r="T38" s="1277"/>
      <c r="U38" s="1277"/>
      <c r="V38" s="1277"/>
      <c r="W38" s="1277"/>
      <c r="X38" s="1277"/>
      <c r="Y38" s="1277"/>
      <c r="Z38" s="1277"/>
      <c r="AA38" s="1277"/>
      <c r="AB38" s="1277"/>
      <c r="AC38" s="1277"/>
      <c r="AD38" s="1277"/>
      <c r="AE38" s="1277"/>
      <c r="AF38" s="1277"/>
      <c r="AG38" s="1277"/>
      <c r="AH38" s="1277"/>
      <c r="AI38" s="1277"/>
      <c r="AJ38" s="1277"/>
      <c r="AK38" s="1277"/>
      <c r="AL38" s="1277"/>
      <c r="AM38" s="1277"/>
      <c r="AN38" s="1277"/>
      <c r="AO38" s="1277"/>
      <c r="AP38" s="1277"/>
      <c r="AQ38" s="1277"/>
      <c r="AR38" s="1277"/>
      <c r="AS38" s="1277"/>
      <c r="AT38" s="1277"/>
      <c r="AU38" s="1277"/>
      <c r="AV38" s="1277"/>
      <c r="AW38" s="1277"/>
      <c r="AX38" s="1277"/>
      <c r="AY38" s="1277"/>
      <c r="AZ38" s="1277"/>
      <c r="BA38" s="1277"/>
      <c r="BB38" s="1277"/>
      <c r="BC38" s="1277"/>
      <c r="BD38" s="1277"/>
      <c r="BE38" s="1277"/>
      <c r="BF38" s="1277"/>
      <c r="BG38" s="1277"/>
      <c r="BH38" s="1277"/>
      <c r="BI38" s="1277"/>
      <c r="BJ38" s="1277"/>
      <c r="BK38" s="1277"/>
      <c r="BL38" s="1277"/>
      <c r="BM38" s="1277"/>
      <c r="BN38" s="1277"/>
    </row>
    <row r="39" spans="1:67" s="2140" customFormat="1" ht="14.1" customHeight="1" x14ac:dyDescent="0.2">
      <c r="A39" s="3552"/>
      <c r="B39" s="334" t="s">
        <v>16</v>
      </c>
      <c r="C39" s="2156"/>
      <c r="D39" s="1722">
        <f>D42+D40</f>
        <v>19037923</v>
      </c>
      <c r="E39" s="1320">
        <f>E42</f>
        <v>0</v>
      </c>
      <c r="F39" s="1320">
        <f>F42+F40</f>
        <v>6370013</v>
      </c>
      <c r="G39" s="1320">
        <f>G42+G40</f>
        <v>4223167</v>
      </c>
      <c r="H39" s="1317">
        <f>H42+H40</f>
        <v>8444743</v>
      </c>
      <c r="I39" s="1722">
        <f>K39+E39+F39</f>
        <v>10592651</v>
      </c>
      <c r="J39" s="1753">
        <f t="shared" si="30"/>
        <v>55.639740742727028</v>
      </c>
      <c r="K39" s="1320">
        <f>K42+K40</f>
        <v>4222638</v>
      </c>
      <c r="L39" s="1753">
        <f t="shared" si="34"/>
        <v>99.98747385552123</v>
      </c>
      <c r="M39" s="35">
        <f t="shared" si="31"/>
        <v>-529</v>
      </c>
      <c r="N39" s="3577"/>
      <c r="O39" s="2139"/>
      <c r="P39" s="2139"/>
      <c r="Q39" s="2139"/>
      <c r="R39" s="2139"/>
      <c r="S39" s="2139"/>
      <c r="T39" s="2139"/>
      <c r="U39" s="2139"/>
      <c r="V39" s="2139"/>
      <c r="W39" s="2139"/>
      <c r="X39" s="2139"/>
      <c r="Y39" s="2139"/>
      <c r="Z39" s="2139"/>
      <c r="AA39" s="2139"/>
      <c r="AB39" s="2139"/>
      <c r="AC39" s="2139"/>
      <c r="AD39" s="2139"/>
      <c r="AE39" s="2139"/>
      <c r="AF39" s="2139"/>
      <c r="AG39" s="2139"/>
      <c r="AH39" s="2139"/>
      <c r="AI39" s="2139"/>
      <c r="AJ39" s="2139"/>
      <c r="AK39" s="2139"/>
      <c r="AL39" s="2139"/>
      <c r="AM39" s="2139"/>
      <c r="AN39" s="2139"/>
      <c r="AO39" s="2139"/>
      <c r="AP39" s="2139"/>
      <c r="AQ39" s="2139"/>
      <c r="AR39" s="2139"/>
      <c r="AS39" s="2139"/>
      <c r="AT39" s="2139"/>
      <c r="AU39" s="2139"/>
      <c r="AV39" s="2139"/>
      <c r="AW39" s="2139"/>
      <c r="AX39" s="2139"/>
      <c r="AY39" s="2139"/>
      <c r="AZ39" s="2139"/>
      <c r="BA39" s="2139"/>
      <c r="BB39" s="2139"/>
      <c r="BC39" s="2139"/>
      <c r="BD39" s="2139"/>
      <c r="BE39" s="2139"/>
      <c r="BF39" s="2139"/>
      <c r="BG39" s="2139"/>
      <c r="BH39" s="2139"/>
      <c r="BI39" s="2139"/>
      <c r="BJ39" s="2139"/>
      <c r="BK39" s="2139"/>
      <c r="BL39" s="2139"/>
      <c r="BM39" s="2139"/>
      <c r="BN39" s="2139"/>
    </row>
    <row r="40" spans="1:67" s="2140" customFormat="1" ht="14.1" customHeight="1" x14ac:dyDescent="0.2">
      <c r="A40" s="3552"/>
      <c r="B40" s="454" t="s">
        <v>17</v>
      </c>
      <c r="C40" s="2157"/>
      <c r="D40" s="2158">
        <f t="shared" ref="D40:H40" si="36">+D41</f>
        <v>4345965</v>
      </c>
      <c r="E40" s="2159">
        <f t="shared" si="36"/>
        <v>0</v>
      </c>
      <c r="F40" s="2159">
        <f t="shared" si="36"/>
        <v>379212</v>
      </c>
      <c r="G40" s="2159">
        <f t="shared" si="36"/>
        <v>1552364</v>
      </c>
      <c r="H40" s="2160">
        <f t="shared" si="36"/>
        <v>2414389</v>
      </c>
      <c r="I40" s="2158">
        <f t="shared" si="29"/>
        <v>1931576</v>
      </c>
      <c r="J40" s="2161">
        <f t="shared" si="30"/>
        <v>44.445272799021623</v>
      </c>
      <c r="K40" s="2162">
        <f>+K41</f>
        <v>1552364</v>
      </c>
      <c r="L40" s="2161">
        <f t="shared" si="34"/>
        <v>100</v>
      </c>
      <c r="M40" s="2163">
        <f t="shared" si="31"/>
        <v>0</v>
      </c>
      <c r="N40" s="3577"/>
      <c r="O40" s="2139"/>
      <c r="P40" s="2139"/>
      <c r="Q40" s="2139"/>
      <c r="R40" s="2139"/>
      <c r="S40" s="2139"/>
      <c r="T40" s="2139"/>
      <c r="U40" s="2139"/>
      <c r="V40" s="2139"/>
      <c r="W40" s="2139"/>
      <c r="X40" s="2139"/>
      <c r="Y40" s="2139"/>
      <c r="Z40" s="2139"/>
      <c r="AA40" s="2139"/>
      <c r="AB40" s="2139"/>
      <c r="AC40" s="2139"/>
      <c r="AD40" s="2139"/>
      <c r="AE40" s="2139"/>
      <c r="AF40" s="2139"/>
      <c r="AG40" s="2139"/>
      <c r="AH40" s="2139"/>
      <c r="AI40" s="2139"/>
      <c r="AJ40" s="2139"/>
      <c r="AK40" s="2139"/>
      <c r="AL40" s="2139"/>
      <c r="AM40" s="2139"/>
      <c r="AN40" s="2139"/>
      <c r="AO40" s="2139"/>
      <c r="AP40" s="2139"/>
      <c r="AQ40" s="2139"/>
      <c r="AR40" s="2139"/>
      <c r="AS40" s="2139"/>
      <c r="AT40" s="2139"/>
      <c r="AU40" s="2139"/>
      <c r="AV40" s="2139"/>
      <c r="AW40" s="2139"/>
      <c r="AX40" s="2139"/>
      <c r="AY40" s="2139"/>
      <c r="AZ40" s="2139"/>
      <c r="BA40" s="2139"/>
      <c r="BB40" s="2139"/>
      <c r="BC40" s="2139"/>
      <c r="BD40" s="2139"/>
      <c r="BE40" s="2139"/>
      <c r="BF40" s="2139"/>
      <c r="BG40" s="2139"/>
      <c r="BH40" s="2139"/>
      <c r="BI40" s="2139"/>
      <c r="BJ40" s="2139"/>
      <c r="BK40" s="2139"/>
      <c r="BL40" s="2139"/>
      <c r="BM40" s="2139"/>
      <c r="BN40" s="2139"/>
    </row>
    <row r="41" spans="1:67" s="2140" customFormat="1" ht="14.1" customHeight="1" x14ac:dyDescent="0.2">
      <c r="A41" s="3552"/>
      <c r="B41" s="2152" t="s">
        <v>151</v>
      </c>
      <c r="C41" s="2157"/>
      <c r="D41" s="2153">
        <f>+E41+F41+G41+H41</f>
        <v>4345965</v>
      </c>
      <c r="E41" s="1463">
        <v>0</v>
      </c>
      <c r="F41" s="1463">
        <v>379212</v>
      </c>
      <c r="G41" s="1463">
        <v>1552364</v>
      </c>
      <c r="H41" s="1488">
        <v>2414389</v>
      </c>
      <c r="I41" s="2153">
        <f t="shared" si="29"/>
        <v>1931576</v>
      </c>
      <c r="J41" s="1467">
        <f t="shared" si="30"/>
        <v>44.445272799021623</v>
      </c>
      <c r="K41" s="2155">
        <v>1552364</v>
      </c>
      <c r="L41" s="1467">
        <f t="shared" si="34"/>
        <v>100</v>
      </c>
      <c r="M41" s="1468">
        <f t="shared" si="31"/>
        <v>0</v>
      </c>
      <c r="N41" s="3577"/>
      <c r="O41" s="2139"/>
      <c r="P41" s="2139"/>
      <c r="Q41" s="2139"/>
      <c r="R41" s="2139"/>
      <c r="S41" s="2139"/>
      <c r="T41" s="2139"/>
      <c r="U41" s="2139"/>
      <c r="V41" s="2139"/>
      <c r="W41" s="2139"/>
      <c r="X41" s="2139"/>
      <c r="Y41" s="2139"/>
      <c r="Z41" s="2139"/>
      <c r="AA41" s="2139"/>
      <c r="AB41" s="2139"/>
      <c r="AC41" s="2139"/>
      <c r="AD41" s="2139"/>
      <c r="AE41" s="2139"/>
      <c r="AF41" s="2139"/>
      <c r="AG41" s="2139"/>
      <c r="AH41" s="2139"/>
      <c r="AI41" s="2139"/>
      <c r="AJ41" s="2139"/>
      <c r="AK41" s="2139"/>
      <c r="AL41" s="2139"/>
      <c r="AM41" s="2139"/>
      <c r="AN41" s="2139"/>
      <c r="AO41" s="2139"/>
      <c r="AP41" s="2139"/>
      <c r="AQ41" s="2139"/>
      <c r="AR41" s="2139"/>
      <c r="AS41" s="2139"/>
      <c r="AT41" s="2139"/>
      <c r="AU41" s="2139"/>
      <c r="AV41" s="2139"/>
      <c r="AW41" s="2139"/>
      <c r="AX41" s="2139"/>
      <c r="AY41" s="2139"/>
      <c r="AZ41" s="2139"/>
      <c r="BA41" s="2139"/>
      <c r="BB41" s="2139"/>
      <c r="BC41" s="2139"/>
      <c r="BD41" s="2139"/>
      <c r="BE41" s="2139"/>
      <c r="BF41" s="2139"/>
      <c r="BG41" s="2139"/>
      <c r="BH41" s="2139"/>
      <c r="BI41" s="2139"/>
      <c r="BJ41" s="2139"/>
      <c r="BK41" s="2139"/>
      <c r="BL41" s="2139"/>
      <c r="BM41" s="2139"/>
      <c r="BN41" s="2139"/>
    </row>
    <row r="42" spans="1:67" s="273" customFormat="1" ht="12.75" customHeight="1" x14ac:dyDescent="0.2">
      <c r="A42" s="3552"/>
      <c r="B42" s="2164" t="s">
        <v>12</v>
      </c>
      <c r="C42" s="3313" t="s">
        <v>128</v>
      </c>
      <c r="D42" s="1385">
        <f>+D43</f>
        <v>14691958</v>
      </c>
      <c r="E42" s="1386">
        <f t="shared" ref="E42:F42" si="37">+E43</f>
        <v>0</v>
      </c>
      <c r="F42" s="1386">
        <f t="shared" si="37"/>
        <v>5990801</v>
      </c>
      <c r="G42" s="1386">
        <f>+G43</f>
        <v>2670803</v>
      </c>
      <c r="H42" s="1489">
        <f>+H43</f>
        <v>6030354</v>
      </c>
      <c r="I42" s="1385">
        <f t="shared" si="29"/>
        <v>8661075</v>
      </c>
      <c r="J42" s="1430">
        <f t="shared" si="30"/>
        <v>58.951128229470839</v>
      </c>
      <c r="K42" s="2165">
        <f>+K43</f>
        <v>2670274</v>
      </c>
      <c r="L42" s="1430">
        <f t="shared" si="34"/>
        <v>99.980193222787307</v>
      </c>
      <c r="M42" s="1744">
        <f t="shared" si="31"/>
        <v>-529</v>
      </c>
      <c r="N42" s="35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  <c r="AM42" s="1277"/>
      <c r="AN42" s="1277"/>
      <c r="AO42" s="1277"/>
      <c r="AP42" s="1277"/>
      <c r="AQ42" s="1277"/>
      <c r="AR42" s="1277"/>
      <c r="AS42" s="1277"/>
      <c r="AT42" s="1277"/>
      <c r="AU42" s="1277"/>
      <c r="AV42" s="1277"/>
      <c r="AW42" s="1277"/>
      <c r="AX42" s="1277"/>
      <c r="AY42" s="1277"/>
      <c r="AZ42" s="1277"/>
      <c r="BA42" s="1277"/>
      <c r="BB42" s="1277"/>
      <c r="BC42" s="1277"/>
      <c r="BD42" s="1277"/>
      <c r="BE42" s="1277"/>
      <c r="BF42" s="1277"/>
      <c r="BG42" s="1277"/>
      <c r="BH42" s="1277"/>
      <c r="BI42" s="1277"/>
      <c r="BJ42" s="1277"/>
      <c r="BK42" s="1277"/>
      <c r="BL42" s="1277"/>
      <c r="BM42" s="1277"/>
      <c r="BN42" s="1277"/>
    </row>
    <row r="43" spans="1:67" s="273" customFormat="1" ht="15" customHeight="1" thickBot="1" x14ac:dyDescent="0.25">
      <c r="A43" s="3553"/>
      <c r="B43" s="1854" t="s">
        <v>15</v>
      </c>
      <c r="C43" s="3580"/>
      <c r="D43" s="1398">
        <f>+E43+F43+G43+H43</f>
        <v>14691958</v>
      </c>
      <c r="E43" s="1399">
        <v>0</v>
      </c>
      <c r="F43" s="1399">
        <v>5990801</v>
      </c>
      <c r="G43" s="1399">
        <v>2670803</v>
      </c>
      <c r="H43" s="1496">
        <v>6030354</v>
      </c>
      <c r="I43" s="1398">
        <f>K43+E43+F43</f>
        <v>8661075</v>
      </c>
      <c r="J43" s="1767">
        <f t="shared" si="30"/>
        <v>58.951128229470839</v>
      </c>
      <c r="K43" s="2166">
        <v>2670274</v>
      </c>
      <c r="L43" s="1767">
        <f>K43/G43*100</f>
        <v>99.980193222787307</v>
      </c>
      <c r="M43" s="41">
        <f t="shared" si="31"/>
        <v>-529</v>
      </c>
      <c r="N43" s="3578"/>
      <c r="O43" s="1277"/>
      <c r="P43" s="1277"/>
      <c r="Q43" s="1277"/>
      <c r="R43" s="1277"/>
      <c r="S43" s="1277"/>
      <c r="T43" s="1277"/>
      <c r="U43" s="1277"/>
      <c r="V43" s="1277"/>
      <c r="W43" s="1277"/>
      <c r="X43" s="1277"/>
      <c r="Y43" s="1277"/>
      <c r="Z43" s="1277"/>
      <c r="AA43" s="1277"/>
      <c r="AB43" s="1277"/>
      <c r="AC43" s="1277"/>
      <c r="AD43" s="1277"/>
      <c r="AE43" s="1277"/>
      <c r="AF43" s="1277"/>
      <c r="AG43" s="1277"/>
      <c r="AH43" s="1277"/>
      <c r="AI43" s="1277"/>
      <c r="AJ43" s="1277"/>
      <c r="AK43" s="1277"/>
      <c r="AL43" s="1277"/>
      <c r="AM43" s="1277"/>
      <c r="AN43" s="1277"/>
      <c r="AO43" s="1277"/>
      <c r="AP43" s="1277"/>
      <c r="AQ43" s="1277"/>
      <c r="AR43" s="1277"/>
      <c r="AS43" s="1277"/>
      <c r="AT43" s="1277"/>
      <c r="AU43" s="1277"/>
      <c r="AV43" s="1277"/>
      <c r="AW43" s="1277"/>
      <c r="AX43" s="1277"/>
      <c r="AY43" s="1277"/>
      <c r="AZ43" s="1277"/>
      <c r="BA43" s="1277"/>
      <c r="BB43" s="1277"/>
      <c r="BC43" s="1277"/>
      <c r="BD43" s="1277"/>
      <c r="BE43" s="1277"/>
      <c r="BF43" s="1277"/>
      <c r="BG43" s="1277"/>
      <c r="BH43" s="1277"/>
      <c r="BI43" s="1277"/>
      <c r="BJ43" s="1277"/>
      <c r="BK43" s="1277"/>
      <c r="BL43" s="1277"/>
      <c r="BM43" s="1277"/>
      <c r="BN43" s="1277"/>
    </row>
    <row r="44" spans="1:67" s="1277" customFormat="1" ht="42.75" customHeight="1" x14ac:dyDescent="0.2">
      <c r="A44" s="3573" t="s">
        <v>40</v>
      </c>
      <c r="B44" s="2167" t="s">
        <v>273</v>
      </c>
      <c r="C44" s="1501" t="s">
        <v>206</v>
      </c>
      <c r="D44" s="1739"/>
      <c r="E44" s="2168"/>
      <c r="F44" s="2168"/>
      <c r="G44" s="2168"/>
      <c r="H44" s="2169"/>
      <c r="I44" s="2123"/>
      <c r="J44" s="1362"/>
      <c r="K44" s="1360"/>
      <c r="L44" s="1360"/>
      <c r="M44" s="1504"/>
      <c r="N44" s="3097" t="s">
        <v>156</v>
      </c>
      <c r="BO44" s="2139"/>
    </row>
    <row r="45" spans="1:67" s="1277" customFormat="1" ht="13.5" customHeight="1" x14ac:dyDescent="0.2">
      <c r="A45" s="3574"/>
      <c r="B45" s="912" t="s">
        <v>2</v>
      </c>
      <c r="C45" s="1511"/>
      <c r="D45" s="1722">
        <f t="shared" ref="D45:F45" si="38">D46+D49</f>
        <v>70317556</v>
      </c>
      <c r="E45" s="1320">
        <f t="shared" si="38"/>
        <v>3682687</v>
      </c>
      <c r="F45" s="1320">
        <f t="shared" si="38"/>
        <v>4223669</v>
      </c>
      <c r="G45" s="1320">
        <f>G46+G49</f>
        <v>3016981</v>
      </c>
      <c r="H45" s="1317">
        <f>H46+H49</f>
        <v>59394219</v>
      </c>
      <c r="I45" s="1722">
        <f t="shared" si="29"/>
        <v>10994881</v>
      </c>
      <c r="J45" s="1723">
        <f t="shared" ref="J45:J55" si="39">I45/D45*100</f>
        <v>15.636039739492652</v>
      </c>
      <c r="K45" s="1320">
        <f>K46+K49</f>
        <v>3088525</v>
      </c>
      <c r="L45" s="1723">
        <f>K45/G45*100</f>
        <v>102.37137721450682</v>
      </c>
      <c r="M45" s="35">
        <f t="shared" ref="M45:M55" si="40">+K45-G45</f>
        <v>71544</v>
      </c>
      <c r="N45" s="3098"/>
    </row>
    <row r="46" spans="1:67" s="1277" customFormat="1" ht="13.5" customHeight="1" x14ac:dyDescent="0.2">
      <c r="A46" s="3574"/>
      <c r="B46" s="837" t="s">
        <v>17</v>
      </c>
      <c r="C46" s="3200" t="s">
        <v>157</v>
      </c>
      <c r="D46" s="1385">
        <f t="shared" ref="D46:H46" si="41">D47</f>
        <v>29407400</v>
      </c>
      <c r="E46" s="1386">
        <f t="shared" si="41"/>
        <v>3682687</v>
      </c>
      <c r="F46" s="1386">
        <f t="shared" si="41"/>
        <v>2417285</v>
      </c>
      <c r="G46" s="1386">
        <f t="shared" si="41"/>
        <v>1107523</v>
      </c>
      <c r="H46" s="1489">
        <f t="shared" si="41"/>
        <v>22199905</v>
      </c>
      <c r="I46" s="1385">
        <f t="shared" si="29"/>
        <v>7279039</v>
      </c>
      <c r="J46" s="1388">
        <f t="shared" si="39"/>
        <v>24.752405857029185</v>
      </c>
      <c r="K46" s="1386">
        <f>K47+K48</f>
        <v>1179067</v>
      </c>
      <c r="L46" s="176">
        <v>12</v>
      </c>
      <c r="M46" s="1744">
        <f t="shared" si="40"/>
        <v>71544</v>
      </c>
      <c r="N46" s="3098"/>
    </row>
    <row r="47" spans="1:67" s="273" customFormat="1" ht="13.5" customHeight="1" x14ac:dyDescent="0.2">
      <c r="A47" s="3574"/>
      <c r="B47" s="2170" t="s">
        <v>5</v>
      </c>
      <c r="C47" s="3562"/>
      <c r="D47" s="1378">
        <f>+E47+F47+G47+H47</f>
        <v>29407400</v>
      </c>
      <c r="E47" s="1379">
        <f>625947+1250000+1806740</f>
        <v>3682687</v>
      </c>
      <c r="F47" s="1379">
        <v>2417285</v>
      </c>
      <c r="G47" s="1379">
        <v>1107523</v>
      </c>
      <c r="H47" s="1465">
        <v>22199905</v>
      </c>
      <c r="I47" s="1378">
        <f t="shared" si="29"/>
        <v>7207495</v>
      </c>
      <c r="J47" s="1382">
        <f t="shared" si="39"/>
        <v>24.509120153430768</v>
      </c>
      <c r="K47" s="1379">
        <v>1107523</v>
      </c>
      <c r="L47" s="176">
        <f>K47/G47*100</f>
        <v>100</v>
      </c>
      <c r="M47" s="1424">
        <f t="shared" si="40"/>
        <v>0</v>
      </c>
      <c r="N47" s="3098"/>
      <c r="O47" s="1277"/>
      <c r="P47" s="1277"/>
      <c r="Q47" s="1277"/>
      <c r="R47" s="1277"/>
      <c r="S47" s="1277"/>
      <c r="T47" s="1277"/>
      <c r="U47" s="1277"/>
      <c r="V47" s="1277"/>
      <c r="W47" s="1277"/>
      <c r="X47" s="1277"/>
      <c r="Y47" s="1277"/>
      <c r="Z47" s="1277"/>
      <c r="AA47" s="1277"/>
      <c r="AB47" s="1277"/>
      <c r="AC47" s="1277"/>
      <c r="AD47" s="1277"/>
      <c r="AE47" s="1277"/>
      <c r="AF47" s="1277"/>
      <c r="AG47" s="1277"/>
      <c r="AH47" s="1277"/>
      <c r="AI47" s="1277"/>
      <c r="AJ47" s="1277"/>
      <c r="AK47" s="1277"/>
      <c r="AL47" s="1277"/>
      <c r="AM47" s="1277"/>
      <c r="AN47" s="1277"/>
      <c r="AO47" s="1277"/>
      <c r="AP47" s="1277"/>
      <c r="AQ47" s="1277"/>
      <c r="AR47" s="1277"/>
      <c r="AS47" s="1277"/>
      <c r="AT47" s="1277"/>
      <c r="AU47" s="1277"/>
      <c r="AV47" s="1277"/>
      <c r="AW47" s="1277"/>
      <c r="AX47" s="1277"/>
      <c r="AY47" s="1277"/>
      <c r="AZ47" s="1277"/>
      <c r="BA47" s="1277"/>
      <c r="BB47" s="1277"/>
      <c r="BC47" s="1277"/>
      <c r="BD47" s="1277"/>
      <c r="BE47" s="1277"/>
      <c r="BF47" s="1277"/>
      <c r="BG47" s="1277"/>
      <c r="BH47" s="1277"/>
      <c r="BI47" s="1277"/>
      <c r="BJ47" s="1277"/>
      <c r="BK47" s="1277"/>
      <c r="BL47" s="1277"/>
      <c r="BM47" s="1277"/>
      <c r="BN47" s="1277"/>
    </row>
    <row r="48" spans="1:67" s="273" customFormat="1" ht="13.5" customHeight="1" x14ac:dyDescent="0.2">
      <c r="A48" s="3574"/>
      <c r="B48" s="2170" t="s">
        <v>6</v>
      </c>
      <c r="C48" s="3562"/>
      <c r="D48" s="1378">
        <f>+E48+F48+G48+H48</f>
        <v>0</v>
      </c>
      <c r="E48" s="1379"/>
      <c r="F48" s="1379"/>
      <c r="G48" s="1379">
        <v>0</v>
      </c>
      <c r="H48" s="1465">
        <v>0</v>
      </c>
      <c r="I48" s="1378">
        <f t="shared" si="29"/>
        <v>71544</v>
      </c>
      <c r="J48" s="1421">
        <v>0</v>
      </c>
      <c r="K48" s="1379">
        <v>71544</v>
      </c>
      <c r="L48" s="607">
        <v>0</v>
      </c>
      <c r="M48" s="1424">
        <f t="shared" si="40"/>
        <v>71544</v>
      </c>
      <c r="N48" s="3098"/>
      <c r="O48" s="1277"/>
      <c r="P48" s="1277"/>
      <c r="Q48" s="1277"/>
      <c r="R48" s="1277"/>
      <c r="S48" s="1277"/>
      <c r="T48" s="1277"/>
      <c r="U48" s="1277"/>
      <c r="V48" s="1277"/>
      <c r="W48" s="1277"/>
      <c r="X48" s="1277"/>
      <c r="Y48" s="1277"/>
      <c r="Z48" s="1277"/>
      <c r="AA48" s="1277"/>
      <c r="AB48" s="1277"/>
      <c r="AC48" s="1277"/>
      <c r="AD48" s="1277"/>
      <c r="AE48" s="1277"/>
      <c r="AF48" s="1277"/>
      <c r="AG48" s="1277"/>
      <c r="AH48" s="1277"/>
      <c r="AI48" s="1277"/>
      <c r="AJ48" s="1277"/>
      <c r="AK48" s="1277"/>
      <c r="AL48" s="1277"/>
      <c r="AM48" s="1277"/>
      <c r="AN48" s="1277"/>
      <c r="AO48" s="1277"/>
      <c r="AP48" s="1277"/>
      <c r="AQ48" s="1277"/>
      <c r="AR48" s="1277"/>
      <c r="AS48" s="1277"/>
      <c r="AT48" s="1277"/>
      <c r="AU48" s="1277"/>
      <c r="AV48" s="1277"/>
      <c r="AW48" s="1277"/>
      <c r="AX48" s="1277"/>
      <c r="AY48" s="1277"/>
      <c r="AZ48" s="1277"/>
      <c r="BA48" s="1277"/>
      <c r="BB48" s="1277"/>
      <c r="BC48" s="1277"/>
      <c r="BD48" s="1277"/>
      <c r="BE48" s="1277"/>
      <c r="BF48" s="1277"/>
      <c r="BG48" s="1277"/>
      <c r="BH48" s="1277"/>
      <c r="BI48" s="1277"/>
      <c r="BJ48" s="1277"/>
      <c r="BK48" s="1277"/>
      <c r="BL48" s="1277"/>
      <c r="BM48" s="1277"/>
      <c r="BN48" s="1277"/>
    </row>
    <row r="49" spans="1:67" s="273" customFormat="1" ht="13.5" customHeight="1" x14ac:dyDescent="0.2">
      <c r="A49" s="3574"/>
      <c r="B49" s="860" t="s">
        <v>12</v>
      </c>
      <c r="C49" s="3562"/>
      <c r="D49" s="1385">
        <f t="shared" ref="D49:H49" si="42">D50</f>
        <v>40910156</v>
      </c>
      <c r="E49" s="1386">
        <f t="shared" si="42"/>
        <v>0</v>
      </c>
      <c r="F49" s="1386">
        <f t="shared" si="42"/>
        <v>1806384</v>
      </c>
      <c r="G49" s="1386">
        <f t="shared" si="42"/>
        <v>1909458</v>
      </c>
      <c r="H49" s="1489">
        <f t="shared" si="42"/>
        <v>37194314</v>
      </c>
      <c r="I49" s="2171">
        <f t="shared" si="29"/>
        <v>3715842</v>
      </c>
      <c r="J49" s="1382">
        <f t="shared" si="39"/>
        <v>9.0829328541304015</v>
      </c>
      <c r="K49" s="2172">
        <f>+K50</f>
        <v>1909458</v>
      </c>
      <c r="L49" s="1382">
        <f t="shared" ref="L49:L55" si="43">K49/G49*100</f>
        <v>100</v>
      </c>
      <c r="M49" s="1744">
        <f t="shared" si="40"/>
        <v>0</v>
      </c>
      <c r="N49" s="3098"/>
      <c r="O49" s="1277"/>
      <c r="P49" s="1277"/>
      <c r="Q49" s="1277"/>
      <c r="R49" s="1277"/>
      <c r="S49" s="1277"/>
      <c r="T49" s="1277"/>
      <c r="U49" s="1277"/>
      <c r="V49" s="1277"/>
      <c r="W49" s="1277"/>
      <c r="X49" s="1277"/>
      <c r="Y49" s="1277"/>
      <c r="Z49" s="1277"/>
      <c r="AA49" s="1277"/>
      <c r="AB49" s="1277"/>
      <c r="AC49" s="1277"/>
      <c r="AD49" s="1277"/>
      <c r="AE49" s="1277"/>
      <c r="AF49" s="1277"/>
      <c r="AG49" s="1277"/>
      <c r="AH49" s="1277"/>
      <c r="AI49" s="1277"/>
      <c r="AJ49" s="1277"/>
      <c r="AK49" s="1277"/>
      <c r="AL49" s="1277"/>
      <c r="AM49" s="1277"/>
      <c r="AN49" s="1277"/>
      <c r="AO49" s="1277"/>
      <c r="AP49" s="1277"/>
      <c r="AQ49" s="1277"/>
      <c r="AR49" s="1277"/>
      <c r="AS49" s="1277"/>
      <c r="AT49" s="1277"/>
      <c r="AU49" s="1277"/>
      <c r="AV49" s="1277"/>
      <c r="AW49" s="1277"/>
      <c r="AX49" s="1277"/>
      <c r="AY49" s="1277"/>
      <c r="AZ49" s="1277"/>
      <c r="BA49" s="1277"/>
      <c r="BB49" s="1277"/>
      <c r="BC49" s="1277"/>
      <c r="BD49" s="1277"/>
      <c r="BE49" s="1277"/>
      <c r="BF49" s="1277"/>
      <c r="BG49" s="1277"/>
      <c r="BH49" s="1277"/>
      <c r="BI49" s="1277"/>
      <c r="BJ49" s="1277"/>
      <c r="BK49" s="1277"/>
      <c r="BL49" s="1277"/>
      <c r="BM49" s="1277"/>
      <c r="BN49" s="1277"/>
    </row>
    <row r="50" spans="1:67" s="1277" customFormat="1" ht="13.5" customHeight="1" x14ac:dyDescent="0.2">
      <c r="A50" s="3574"/>
      <c r="B50" s="2173" t="s">
        <v>15</v>
      </c>
      <c r="C50" s="3562"/>
      <c r="D50" s="1378">
        <f>+E50+F50+G50+H50</f>
        <v>40910156</v>
      </c>
      <c r="E50" s="1379">
        <v>0</v>
      </c>
      <c r="F50" s="1379">
        <v>1806384</v>
      </c>
      <c r="G50" s="1379">
        <v>1909458</v>
      </c>
      <c r="H50" s="1465">
        <v>37194314</v>
      </c>
      <c r="I50" s="2174">
        <f t="shared" si="29"/>
        <v>3715842</v>
      </c>
      <c r="J50" s="1382">
        <f t="shared" si="39"/>
        <v>9.0829328541304015</v>
      </c>
      <c r="K50" s="2175">
        <v>1909458</v>
      </c>
      <c r="L50" s="1382">
        <f t="shared" si="43"/>
        <v>100</v>
      </c>
      <c r="M50" s="1424">
        <f t="shared" si="40"/>
        <v>0</v>
      </c>
      <c r="N50" s="3098"/>
      <c r="BO50" s="273"/>
    </row>
    <row r="51" spans="1:67" s="2140" customFormat="1" ht="13.5" customHeight="1" x14ac:dyDescent="0.2">
      <c r="A51" s="3574"/>
      <c r="B51" s="912" t="s">
        <v>16</v>
      </c>
      <c r="C51" s="1721"/>
      <c r="D51" s="1722">
        <f t="shared" ref="D51:H51" si="44">D54+D52</f>
        <v>53865944</v>
      </c>
      <c r="E51" s="1320">
        <f t="shared" si="44"/>
        <v>322267</v>
      </c>
      <c r="F51" s="1320">
        <f t="shared" si="44"/>
        <v>2712892</v>
      </c>
      <c r="G51" s="1320">
        <f t="shared" si="44"/>
        <v>2180016</v>
      </c>
      <c r="H51" s="1317">
        <f t="shared" si="44"/>
        <v>48650769</v>
      </c>
      <c r="I51" s="2176">
        <f t="shared" si="29"/>
        <v>5215175</v>
      </c>
      <c r="J51" s="1723">
        <f t="shared" si="39"/>
        <v>9.6817666464733261</v>
      </c>
      <c r="K51" s="1320">
        <f>+K52+K54</f>
        <v>2180016</v>
      </c>
      <c r="L51" s="1723">
        <f t="shared" si="43"/>
        <v>100</v>
      </c>
      <c r="M51" s="35">
        <f t="shared" si="40"/>
        <v>0</v>
      </c>
      <c r="N51" s="3098"/>
      <c r="O51" s="2139"/>
      <c r="P51" s="2139"/>
      <c r="Q51" s="2139"/>
      <c r="R51" s="2139"/>
      <c r="S51" s="2139"/>
      <c r="T51" s="2139"/>
      <c r="U51" s="2139"/>
      <c r="V51" s="2139"/>
      <c r="W51" s="2139"/>
      <c r="X51" s="2139"/>
      <c r="Y51" s="2139"/>
      <c r="Z51" s="2139"/>
      <c r="AA51" s="2139"/>
      <c r="AB51" s="2139"/>
      <c r="AC51" s="2139"/>
      <c r="AD51" s="2139"/>
      <c r="AE51" s="2139"/>
      <c r="AF51" s="2139"/>
      <c r="AG51" s="2139"/>
      <c r="AH51" s="2139"/>
      <c r="AI51" s="2139"/>
      <c r="AJ51" s="2139"/>
      <c r="AK51" s="2139"/>
      <c r="AL51" s="2139"/>
      <c r="AM51" s="2139"/>
      <c r="AN51" s="2139"/>
      <c r="AO51" s="2139"/>
      <c r="AP51" s="2139"/>
      <c r="AQ51" s="2139"/>
      <c r="AR51" s="2139"/>
      <c r="AS51" s="2139"/>
      <c r="AT51" s="2139"/>
      <c r="AU51" s="2139"/>
      <c r="AV51" s="2139"/>
      <c r="AW51" s="2139"/>
      <c r="AX51" s="2139"/>
      <c r="AY51" s="2139"/>
      <c r="AZ51" s="2139"/>
      <c r="BA51" s="2139"/>
      <c r="BB51" s="2139"/>
      <c r="BC51" s="2139"/>
      <c r="BD51" s="2139"/>
      <c r="BE51" s="2139"/>
      <c r="BF51" s="2139"/>
      <c r="BG51" s="2139"/>
      <c r="BH51" s="2139"/>
      <c r="BI51" s="2139"/>
      <c r="BJ51" s="2139"/>
      <c r="BK51" s="2139"/>
      <c r="BL51" s="2139"/>
      <c r="BM51" s="2139"/>
      <c r="BN51" s="2139"/>
    </row>
    <row r="52" spans="1:67" s="2140" customFormat="1" ht="13.5" customHeight="1" x14ac:dyDescent="0.2">
      <c r="A52" s="3574"/>
      <c r="B52" s="837" t="s">
        <v>17</v>
      </c>
      <c r="C52" s="2177"/>
      <c r="D52" s="2158">
        <f t="shared" ref="D52:H52" si="45">+D53</f>
        <v>12955788</v>
      </c>
      <c r="E52" s="2159">
        <f t="shared" si="45"/>
        <v>322267</v>
      </c>
      <c r="F52" s="2159">
        <f t="shared" si="45"/>
        <v>906508</v>
      </c>
      <c r="G52" s="2159">
        <f t="shared" si="45"/>
        <v>270558</v>
      </c>
      <c r="H52" s="2160">
        <f t="shared" si="45"/>
        <v>11456455</v>
      </c>
      <c r="I52" s="2178">
        <f t="shared" si="29"/>
        <v>1499333</v>
      </c>
      <c r="J52" s="1382">
        <f t="shared" si="39"/>
        <v>11.572688592928504</v>
      </c>
      <c r="K52" s="1386">
        <f>+K53</f>
        <v>270558</v>
      </c>
      <c r="L52" s="1382">
        <f t="shared" si="43"/>
        <v>100</v>
      </c>
      <c r="M52" s="2163">
        <f t="shared" si="40"/>
        <v>0</v>
      </c>
      <c r="N52" s="3098"/>
      <c r="O52" s="2139"/>
      <c r="P52" s="2139"/>
      <c r="Q52" s="2139"/>
      <c r="R52" s="2139"/>
      <c r="S52" s="2139"/>
      <c r="T52" s="2139"/>
      <c r="U52" s="2139"/>
      <c r="V52" s="2139"/>
      <c r="W52" s="2139"/>
      <c r="X52" s="2139"/>
      <c r="Y52" s="2139"/>
      <c r="Z52" s="2139"/>
      <c r="AA52" s="2139"/>
      <c r="AB52" s="2139"/>
      <c r="AC52" s="2139"/>
      <c r="AD52" s="2139"/>
      <c r="AE52" s="2139"/>
      <c r="AF52" s="2139"/>
      <c r="AG52" s="2139"/>
      <c r="AH52" s="2139"/>
      <c r="AI52" s="2139"/>
      <c r="AJ52" s="2139"/>
      <c r="AK52" s="2139"/>
      <c r="AL52" s="2139"/>
      <c r="AM52" s="2139"/>
      <c r="AN52" s="2139"/>
      <c r="AO52" s="2139"/>
      <c r="AP52" s="2139"/>
      <c r="AQ52" s="2139"/>
      <c r="AR52" s="2139"/>
      <c r="AS52" s="2139"/>
      <c r="AT52" s="2139"/>
      <c r="AU52" s="2139"/>
      <c r="AV52" s="2139"/>
      <c r="AW52" s="2139"/>
      <c r="AX52" s="2139"/>
      <c r="AY52" s="2139"/>
      <c r="AZ52" s="2139"/>
      <c r="BA52" s="2139"/>
      <c r="BB52" s="2139"/>
      <c r="BC52" s="2139"/>
      <c r="BD52" s="2139"/>
      <c r="BE52" s="2139"/>
      <c r="BF52" s="2139"/>
      <c r="BG52" s="2139"/>
      <c r="BH52" s="2139"/>
      <c r="BI52" s="2139"/>
      <c r="BJ52" s="2139"/>
      <c r="BK52" s="2139"/>
      <c r="BL52" s="2139"/>
      <c r="BM52" s="2139"/>
      <c r="BN52" s="2139"/>
    </row>
    <row r="53" spans="1:67" s="2140" customFormat="1" ht="17.25" customHeight="1" x14ac:dyDescent="0.2">
      <c r="A53" s="3574"/>
      <c r="B53" s="2170" t="s">
        <v>151</v>
      </c>
      <c r="C53" s="2177"/>
      <c r="D53" s="2153">
        <f>+E53+F53+G53+H53</f>
        <v>12955788</v>
      </c>
      <c r="E53" s="1463">
        <f>101937+220330</f>
        <v>322267</v>
      </c>
      <c r="F53" s="1463">
        <v>906508</v>
      </c>
      <c r="G53" s="1463">
        <v>270558</v>
      </c>
      <c r="H53" s="1488">
        <v>11456455</v>
      </c>
      <c r="I53" s="2153">
        <f t="shared" si="29"/>
        <v>1499333</v>
      </c>
      <c r="J53" s="1382">
        <f t="shared" si="39"/>
        <v>11.572688592928504</v>
      </c>
      <c r="K53" s="2179">
        <v>270558</v>
      </c>
      <c r="L53" s="1382">
        <f t="shared" si="43"/>
        <v>100</v>
      </c>
      <c r="M53" s="1468">
        <f t="shared" si="40"/>
        <v>0</v>
      </c>
      <c r="N53" s="3098"/>
      <c r="O53" s="2139"/>
      <c r="P53" s="2139"/>
      <c r="Q53" s="2139"/>
      <c r="R53" s="2139"/>
      <c r="S53" s="2139"/>
      <c r="T53" s="2139"/>
      <c r="U53" s="2139"/>
      <c r="V53" s="2139"/>
      <c r="W53" s="2139"/>
      <c r="X53" s="2139"/>
      <c r="Y53" s="2139"/>
      <c r="Z53" s="2139"/>
      <c r="AA53" s="2139"/>
      <c r="AB53" s="2139"/>
      <c r="AC53" s="2139"/>
      <c r="AD53" s="2139"/>
      <c r="AE53" s="2139"/>
      <c r="AF53" s="2139"/>
      <c r="AG53" s="2139"/>
      <c r="AH53" s="2139"/>
      <c r="AI53" s="2139"/>
      <c r="AJ53" s="2139"/>
      <c r="AK53" s="2139"/>
      <c r="AL53" s="2139"/>
      <c r="AM53" s="2139"/>
      <c r="AN53" s="2139"/>
      <c r="AO53" s="2139"/>
      <c r="AP53" s="2139"/>
      <c r="AQ53" s="2139"/>
      <c r="AR53" s="2139"/>
      <c r="AS53" s="2139"/>
      <c r="AT53" s="2139"/>
      <c r="AU53" s="2139"/>
      <c r="AV53" s="2139"/>
      <c r="AW53" s="2139"/>
      <c r="AX53" s="2139"/>
      <c r="AY53" s="2139"/>
      <c r="AZ53" s="2139"/>
      <c r="BA53" s="2139"/>
      <c r="BB53" s="2139"/>
      <c r="BC53" s="2139"/>
      <c r="BD53" s="2139"/>
      <c r="BE53" s="2139"/>
      <c r="BF53" s="2139"/>
      <c r="BG53" s="2139"/>
      <c r="BH53" s="2139"/>
      <c r="BI53" s="2139"/>
      <c r="BJ53" s="2139"/>
      <c r="BK53" s="2139"/>
      <c r="BL53" s="2139"/>
      <c r="BM53" s="2139"/>
      <c r="BN53" s="2139"/>
    </row>
    <row r="54" spans="1:67" s="273" customFormat="1" ht="13.5" customHeight="1" x14ac:dyDescent="0.2">
      <c r="A54" s="3574"/>
      <c r="B54" s="2180" t="s">
        <v>12</v>
      </c>
      <c r="C54" s="3200" t="s">
        <v>128</v>
      </c>
      <c r="D54" s="1385">
        <f t="shared" ref="D54:H54" si="46">+D55</f>
        <v>40910156</v>
      </c>
      <c r="E54" s="1386">
        <f t="shared" si="46"/>
        <v>0</v>
      </c>
      <c r="F54" s="1386">
        <f t="shared" si="46"/>
        <v>1806384</v>
      </c>
      <c r="G54" s="1386">
        <f t="shared" si="46"/>
        <v>1909458</v>
      </c>
      <c r="H54" s="1489">
        <f t="shared" si="46"/>
        <v>37194314</v>
      </c>
      <c r="I54" s="2171">
        <f t="shared" si="29"/>
        <v>3715842</v>
      </c>
      <c r="J54" s="1382">
        <f t="shared" si="39"/>
        <v>9.0829328541304015</v>
      </c>
      <c r="K54" s="2172">
        <f>+K55</f>
        <v>1909458</v>
      </c>
      <c r="L54" s="1382">
        <f t="shared" si="43"/>
        <v>100</v>
      </c>
      <c r="M54" s="1744">
        <f t="shared" si="40"/>
        <v>0</v>
      </c>
      <c r="N54" s="3098"/>
      <c r="O54" s="1277"/>
      <c r="P54" s="1277"/>
      <c r="Q54" s="1277"/>
      <c r="R54" s="1277"/>
      <c r="S54" s="1277"/>
      <c r="T54" s="1277"/>
      <c r="U54" s="1277"/>
      <c r="V54" s="1277"/>
      <c r="W54" s="1277"/>
      <c r="X54" s="1277"/>
      <c r="Y54" s="1277"/>
      <c r="Z54" s="1277"/>
      <c r="AA54" s="1277"/>
      <c r="AB54" s="1277"/>
      <c r="AC54" s="1277"/>
      <c r="AD54" s="1277"/>
      <c r="AE54" s="1277"/>
      <c r="AF54" s="1277"/>
      <c r="AG54" s="1277"/>
      <c r="AH54" s="1277"/>
      <c r="AI54" s="1277"/>
      <c r="AJ54" s="1277"/>
      <c r="AK54" s="1277"/>
      <c r="AL54" s="1277"/>
      <c r="AM54" s="1277"/>
      <c r="AN54" s="1277"/>
      <c r="AO54" s="1277"/>
      <c r="AP54" s="1277"/>
      <c r="AQ54" s="1277"/>
      <c r="AR54" s="1277"/>
      <c r="AS54" s="1277"/>
      <c r="AT54" s="1277"/>
      <c r="AU54" s="1277"/>
      <c r="AV54" s="1277"/>
      <c r="AW54" s="1277"/>
      <c r="AX54" s="1277"/>
      <c r="AY54" s="1277"/>
      <c r="AZ54" s="1277"/>
      <c r="BA54" s="1277"/>
      <c r="BB54" s="1277"/>
      <c r="BC54" s="1277"/>
      <c r="BD54" s="1277"/>
      <c r="BE54" s="1277"/>
      <c r="BF54" s="1277"/>
      <c r="BG54" s="1277"/>
      <c r="BH54" s="1277"/>
      <c r="BI54" s="1277"/>
      <c r="BJ54" s="1277"/>
      <c r="BK54" s="1277"/>
      <c r="BL54" s="1277"/>
      <c r="BM54" s="1277"/>
      <c r="BN54" s="1277"/>
    </row>
    <row r="55" spans="1:67" s="273" customFormat="1" ht="13.5" customHeight="1" thickBot="1" x14ac:dyDescent="0.25">
      <c r="A55" s="3575"/>
      <c r="B55" s="2181" t="s">
        <v>15</v>
      </c>
      <c r="C55" s="3570"/>
      <c r="D55" s="1398">
        <f>+E55+F55+G55+H55</f>
        <v>40910156</v>
      </c>
      <c r="E55" s="1399">
        <v>0</v>
      </c>
      <c r="F55" s="1399">
        <v>1806384</v>
      </c>
      <c r="G55" s="1399">
        <v>1909458</v>
      </c>
      <c r="H55" s="1496">
        <v>37194314</v>
      </c>
      <c r="I55" s="2182">
        <f t="shared" si="29"/>
        <v>3715842</v>
      </c>
      <c r="J55" s="1401">
        <f t="shared" si="39"/>
        <v>9.0829328541304015</v>
      </c>
      <c r="K55" s="2183">
        <v>1909458</v>
      </c>
      <c r="L55" s="1401">
        <f t="shared" si="43"/>
        <v>100</v>
      </c>
      <c r="M55" s="41">
        <f t="shared" si="40"/>
        <v>0</v>
      </c>
      <c r="N55" s="3099"/>
      <c r="O55" s="1277"/>
      <c r="P55" s="1277"/>
      <c r="Q55" s="1277"/>
      <c r="R55" s="1277"/>
      <c r="S55" s="1277"/>
      <c r="T55" s="1277"/>
      <c r="U55" s="1277"/>
      <c r="V55" s="1277"/>
      <c r="W55" s="1277"/>
      <c r="X55" s="1277"/>
      <c r="Y55" s="1277"/>
      <c r="Z55" s="1277"/>
      <c r="AA55" s="1277"/>
      <c r="AB55" s="1277"/>
      <c r="AC55" s="1277"/>
      <c r="AD55" s="1277"/>
      <c r="AE55" s="1277"/>
      <c r="AF55" s="1277"/>
      <c r="AG55" s="1277"/>
      <c r="AH55" s="1277"/>
      <c r="AI55" s="1277"/>
      <c r="AJ55" s="1277"/>
      <c r="AK55" s="1277"/>
      <c r="AL55" s="1277"/>
      <c r="AM55" s="1277"/>
      <c r="AN55" s="1277"/>
      <c r="AO55" s="1277"/>
      <c r="AP55" s="1277"/>
      <c r="AQ55" s="1277"/>
      <c r="AR55" s="1277"/>
      <c r="AS55" s="1277"/>
      <c r="AT55" s="1277"/>
      <c r="AU55" s="1277"/>
      <c r="AV55" s="1277"/>
      <c r="AW55" s="1277"/>
      <c r="AX55" s="1277"/>
      <c r="AY55" s="1277"/>
      <c r="AZ55" s="1277"/>
      <c r="BA55" s="1277"/>
      <c r="BB55" s="1277"/>
      <c r="BC55" s="1277"/>
      <c r="BD55" s="1277"/>
      <c r="BE55" s="1277"/>
      <c r="BF55" s="1277"/>
      <c r="BG55" s="1277"/>
      <c r="BH55" s="1277"/>
      <c r="BI55" s="1277"/>
      <c r="BJ55" s="1277"/>
      <c r="BK55" s="1277"/>
      <c r="BL55" s="1277"/>
      <c r="BM55" s="1277"/>
      <c r="BN55" s="1277"/>
    </row>
    <row r="56" spans="1:67" s="273" customFormat="1" ht="60" customHeight="1" x14ac:dyDescent="0.2">
      <c r="A56" s="3563" t="s">
        <v>41</v>
      </c>
      <c r="B56" s="1826" t="s">
        <v>336</v>
      </c>
      <c r="C56" s="1501" t="s">
        <v>206</v>
      </c>
      <c r="D56" s="1739"/>
      <c r="E56" s="2184"/>
      <c r="F56" s="2184"/>
      <c r="G56" s="2184"/>
      <c r="H56" s="2169"/>
      <c r="I56" s="2123"/>
      <c r="J56" s="2127"/>
      <c r="K56" s="2125"/>
      <c r="L56" s="2185"/>
      <c r="M56" s="2168"/>
      <c r="N56" s="3559" t="s">
        <v>158</v>
      </c>
      <c r="O56" s="1277"/>
      <c r="P56" s="1277"/>
      <c r="Q56" s="1277"/>
      <c r="R56" s="1277"/>
      <c r="S56" s="1277"/>
      <c r="T56" s="1277"/>
      <c r="U56" s="1277"/>
      <c r="V56" s="1277"/>
      <c r="W56" s="1277"/>
      <c r="X56" s="1277"/>
      <c r="Y56" s="1277"/>
      <c r="Z56" s="1277"/>
      <c r="AA56" s="1277"/>
      <c r="AB56" s="1277"/>
      <c r="AC56" s="1277"/>
      <c r="AD56" s="1277"/>
      <c r="AE56" s="1277"/>
      <c r="AF56" s="1277"/>
      <c r="AG56" s="1277"/>
      <c r="AH56" s="1277"/>
      <c r="AI56" s="1277"/>
      <c r="AJ56" s="1277"/>
      <c r="AK56" s="1277"/>
      <c r="AL56" s="1277"/>
      <c r="AM56" s="1277"/>
      <c r="AN56" s="1277"/>
      <c r="AO56" s="1277"/>
      <c r="AP56" s="1277"/>
      <c r="AQ56" s="1277"/>
      <c r="AR56" s="1277"/>
      <c r="AS56" s="1277"/>
      <c r="AT56" s="1277"/>
      <c r="AU56" s="1277"/>
      <c r="AV56" s="1277"/>
      <c r="AW56" s="1277"/>
      <c r="AX56" s="1277"/>
      <c r="AY56" s="1277"/>
      <c r="AZ56" s="1277"/>
      <c r="BA56" s="1277"/>
      <c r="BB56" s="1277"/>
      <c r="BC56" s="1277"/>
      <c r="BD56" s="1277"/>
      <c r="BE56" s="1277"/>
      <c r="BF56" s="1277"/>
      <c r="BG56" s="1277"/>
      <c r="BH56" s="1277"/>
      <c r="BI56" s="1277"/>
      <c r="BJ56" s="1277"/>
      <c r="BK56" s="1277"/>
      <c r="BL56" s="1277"/>
      <c r="BM56" s="1277"/>
      <c r="BN56" s="1277"/>
    </row>
    <row r="57" spans="1:67" s="273" customFormat="1" ht="13.5" customHeight="1" x14ac:dyDescent="0.2">
      <c r="A57" s="3564"/>
      <c r="B57" s="334" t="s">
        <v>2</v>
      </c>
      <c r="C57" s="1511"/>
      <c r="D57" s="1722">
        <f>D58+D61</f>
        <v>2900000</v>
      </c>
      <c r="E57" s="1320">
        <f t="shared" ref="E57:H57" si="47">E58+E61</f>
        <v>0</v>
      </c>
      <c r="F57" s="1320">
        <f t="shared" si="47"/>
        <v>779744</v>
      </c>
      <c r="G57" s="1320">
        <f t="shared" si="47"/>
        <v>256006</v>
      </c>
      <c r="H57" s="1317">
        <f t="shared" si="47"/>
        <v>1864250</v>
      </c>
      <c r="I57" s="1722">
        <f t="shared" si="29"/>
        <v>1035750</v>
      </c>
      <c r="J57" s="1723">
        <f>I57/D57*100</f>
        <v>35.71551724137931</v>
      </c>
      <c r="K57" s="1320">
        <f>K58</f>
        <v>256006</v>
      </c>
      <c r="L57" s="1319">
        <f>K57/G57*100</f>
        <v>100</v>
      </c>
      <c r="M57" s="1320">
        <f>+K57-G57</f>
        <v>0</v>
      </c>
      <c r="N57" s="3560"/>
      <c r="O57" s="1277"/>
      <c r="P57" s="1277"/>
      <c r="Q57" s="1277"/>
      <c r="R57" s="1277"/>
      <c r="S57" s="1277"/>
      <c r="T57" s="1277"/>
      <c r="U57" s="1277"/>
      <c r="V57" s="1277"/>
      <c r="W57" s="1277"/>
      <c r="X57" s="1277"/>
      <c r="Y57" s="1277"/>
      <c r="Z57" s="1277"/>
      <c r="AA57" s="1277"/>
      <c r="AB57" s="1277"/>
      <c r="AC57" s="1277"/>
      <c r="AD57" s="1277"/>
      <c r="AE57" s="1277"/>
      <c r="AF57" s="1277"/>
      <c r="AG57" s="1277"/>
      <c r="AH57" s="1277"/>
      <c r="AI57" s="1277"/>
      <c r="AJ57" s="1277"/>
      <c r="AK57" s="1277"/>
      <c r="AL57" s="1277"/>
      <c r="AM57" s="1277"/>
      <c r="AN57" s="1277"/>
      <c r="AO57" s="1277"/>
      <c r="AP57" s="1277"/>
      <c r="AQ57" s="1277"/>
      <c r="AR57" s="1277"/>
      <c r="AS57" s="1277"/>
      <c r="AT57" s="1277"/>
      <c r="AU57" s="1277"/>
      <c r="AV57" s="1277"/>
      <c r="AW57" s="1277"/>
      <c r="AX57" s="1277"/>
      <c r="AY57" s="1277"/>
      <c r="AZ57" s="1277"/>
      <c r="BA57" s="1277"/>
      <c r="BB57" s="1277"/>
      <c r="BC57" s="1277"/>
      <c r="BD57" s="1277"/>
      <c r="BE57" s="1277"/>
      <c r="BF57" s="1277"/>
      <c r="BG57" s="1277"/>
      <c r="BH57" s="1277"/>
      <c r="BI57" s="1277"/>
      <c r="BJ57" s="1277"/>
      <c r="BK57" s="1277"/>
      <c r="BL57" s="1277"/>
      <c r="BM57" s="1277"/>
      <c r="BN57" s="1277"/>
    </row>
    <row r="58" spans="1:67" s="273" customFormat="1" ht="13.5" customHeight="1" x14ac:dyDescent="0.2">
      <c r="A58" s="3564"/>
      <c r="B58" s="454" t="s">
        <v>17</v>
      </c>
      <c r="C58" s="3200" t="s">
        <v>157</v>
      </c>
      <c r="D58" s="1385">
        <f>D59</f>
        <v>1384350</v>
      </c>
      <c r="E58" s="1386">
        <f t="shared" ref="E58:H58" si="48">E59</f>
        <v>0</v>
      </c>
      <c r="F58" s="1386">
        <f t="shared" si="48"/>
        <v>779744</v>
      </c>
      <c r="G58" s="1386">
        <f t="shared" si="48"/>
        <v>256006</v>
      </c>
      <c r="H58" s="1489">
        <f t="shared" si="48"/>
        <v>348600</v>
      </c>
      <c r="I58" s="1385">
        <f t="shared" si="29"/>
        <v>1035750</v>
      </c>
      <c r="J58" s="1388">
        <f>I58/D58*100</f>
        <v>74.81850688048543</v>
      </c>
      <c r="K58" s="1386">
        <f>K59</f>
        <v>256006</v>
      </c>
      <c r="L58" s="2186">
        <f>K58/G58*100</f>
        <v>100</v>
      </c>
      <c r="M58" s="1386">
        <f>+K58-G58</f>
        <v>0</v>
      </c>
      <c r="N58" s="3560"/>
      <c r="O58" s="1277"/>
      <c r="P58" s="1277"/>
      <c r="Q58" s="1277"/>
      <c r="R58" s="1277"/>
      <c r="S58" s="1277"/>
      <c r="T58" s="1277"/>
      <c r="U58" s="1277"/>
      <c r="V58" s="1277"/>
      <c r="W58" s="1277"/>
      <c r="X58" s="1277"/>
      <c r="Y58" s="1277"/>
      <c r="Z58" s="1277"/>
      <c r="AA58" s="1277"/>
      <c r="AB58" s="1277"/>
      <c r="AC58" s="1277"/>
      <c r="AD58" s="1277"/>
      <c r="AE58" s="1277"/>
      <c r="AF58" s="1277"/>
      <c r="AG58" s="1277"/>
      <c r="AH58" s="1277"/>
      <c r="AI58" s="1277"/>
      <c r="AJ58" s="1277"/>
      <c r="AK58" s="1277"/>
      <c r="AL58" s="1277"/>
      <c r="AM58" s="1277"/>
      <c r="AN58" s="1277"/>
      <c r="AO58" s="1277"/>
      <c r="AP58" s="1277"/>
      <c r="AQ58" s="1277"/>
      <c r="AR58" s="1277"/>
      <c r="AS58" s="1277"/>
      <c r="AT58" s="1277"/>
      <c r="AU58" s="1277"/>
      <c r="AV58" s="1277"/>
      <c r="AW58" s="1277"/>
      <c r="AX58" s="1277"/>
      <c r="AY58" s="1277"/>
      <c r="AZ58" s="1277"/>
      <c r="BA58" s="1277"/>
      <c r="BB58" s="1277"/>
      <c r="BC58" s="1277"/>
      <c r="BD58" s="1277"/>
      <c r="BE58" s="1277"/>
      <c r="BF58" s="1277"/>
      <c r="BG58" s="1277"/>
      <c r="BH58" s="1277"/>
      <c r="BI58" s="1277"/>
      <c r="BJ58" s="1277"/>
      <c r="BK58" s="1277"/>
      <c r="BL58" s="1277"/>
      <c r="BM58" s="1277"/>
      <c r="BN58" s="1277"/>
    </row>
    <row r="59" spans="1:67" s="273" customFormat="1" ht="13.5" customHeight="1" x14ac:dyDescent="0.2">
      <c r="A59" s="3564"/>
      <c r="B59" s="2152" t="s">
        <v>5</v>
      </c>
      <c r="C59" s="3562"/>
      <c r="D59" s="1378">
        <f>+E59+F59+G59+H59</f>
        <v>1384350</v>
      </c>
      <c r="E59" s="1379">
        <v>0</v>
      </c>
      <c r="F59" s="1379">
        <v>779744</v>
      </c>
      <c r="G59" s="1379">
        <v>256006</v>
      </c>
      <c r="H59" s="2187">
        <v>348600</v>
      </c>
      <c r="I59" s="1378">
        <f t="shared" si="29"/>
        <v>1035750</v>
      </c>
      <c r="J59" s="1382">
        <f>I59/D59*100</f>
        <v>74.81850688048543</v>
      </c>
      <c r="K59" s="1379">
        <v>256006</v>
      </c>
      <c r="L59" s="2188">
        <f>K59/G59*100</f>
        <v>100</v>
      </c>
      <c r="M59" s="1379">
        <f>+K59-G59</f>
        <v>0</v>
      </c>
      <c r="N59" s="3560"/>
      <c r="O59" s="1277"/>
      <c r="P59" s="1277"/>
      <c r="Q59" s="1277"/>
      <c r="R59" s="1277"/>
      <c r="S59" s="1277"/>
      <c r="T59" s="1277"/>
      <c r="U59" s="1277"/>
      <c r="V59" s="1277"/>
      <c r="W59" s="1277"/>
      <c r="X59" s="1277"/>
      <c r="Y59" s="1277"/>
      <c r="Z59" s="1277"/>
      <c r="AA59" s="1277"/>
      <c r="AB59" s="1277"/>
      <c r="AC59" s="1277"/>
      <c r="AD59" s="1277"/>
      <c r="AE59" s="1277"/>
      <c r="AF59" s="1277"/>
      <c r="AG59" s="1277"/>
      <c r="AH59" s="1277"/>
      <c r="AI59" s="1277"/>
      <c r="AJ59" s="1277"/>
      <c r="AK59" s="1277"/>
      <c r="AL59" s="1277"/>
      <c r="AM59" s="1277"/>
      <c r="AN59" s="1277"/>
      <c r="AO59" s="1277"/>
      <c r="AP59" s="1277"/>
      <c r="AQ59" s="1277"/>
      <c r="AR59" s="1277"/>
      <c r="AS59" s="1277"/>
      <c r="AT59" s="1277"/>
      <c r="AU59" s="1277"/>
      <c r="AV59" s="1277"/>
      <c r="AW59" s="1277"/>
      <c r="AX59" s="1277"/>
      <c r="AY59" s="1277"/>
      <c r="AZ59" s="1277"/>
      <c r="BA59" s="1277"/>
      <c r="BB59" s="1277"/>
      <c r="BC59" s="1277"/>
      <c r="BD59" s="1277"/>
      <c r="BE59" s="1277"/>
      <c r="BF59" s="1277"/>
      <c r="BG59" s="1277"/>
      <c r="BH59" s="1277"/>
      <c r="BI59" s="1277"/>
      <c r="BJ59" s="1277"/>
      <c r="BK59" s="1277"/>
      <c r="BL59" s="1277"/>
      <c r="BM59" s="1277"/>
      <c r="BN59" s="1277"/>
    </row>
    <row r="60" spans="1:67" s="273" customFormat="1" ht="13.5" hidden="1" customHeight="1" x14ac:dyDescent="0.2">
      <c r="A60" s="3564"/>
      <c r="B60" s="2152" t="s">
        <v>6</v>
      </c>
      <c r="C60" s="2189"/>
      <c r="D60" s="1378"/>
      <c r="E60" s="1379"/>
      <c r="F60" s="1379"/>
      <c r="G60" s="1379"/>
      <c r="H60" s="2187"/>
      <c r="I60" s="1378"/>
      <c r="J60" s="1382"/>
      <c r="K60" s="1379"/>
      <c r="L60" s="2188"/>
      <c r="M60" s="1379"/>
      <c r="N60" s="3560"/>
      <c r="O60" s="1277"/>
      <c r="P60" s="1277"/>
      <c r="Q60" s="1277"/>
      <c r="R60" s="1277"/>
      <c r="S60" s="1277"/>
      <c r="T60" s="1277"/>
      <c r="U60" s="1277"/>
      <c r="V60" s="1277"/>
      <c r="W60" s="1277"/>
      <c r="X60" s="1277"/>
      <c r="Y60" s="1277"/>
      <c r="Z60" s="1277"/>
      <c r="AA60" s="1277"/>
      <c r="AB60" s="1277"/>
      <c r="AC60" s="1277"/>
      <c r="AD60" s="1277"/>
      <c r="AE60" s="1277"/>
      <c r="AF60" s="1277"/>
      <c r="AG60" s="1277"/>
      <c r="AH60" s="1277"/>
      <c r="AI60" s="1277"/>
      <c r="AJ60" s="1277"/>
      <c r="AK60" s="1277"/>
      <c r="AL60" s="1277"/>
      <c r="AM60" s="1277"/>
      <c r="AN60" s="1277"/>
      <c r="AO60" s="1277"/>
      <c r="AP60" s="1277"/>
      <c r="AQ60" s="1277"/>
      <c r="AR60" s="1277"/>
      <c r="AS60" s="1277"/>
      <c r="AT60" s="1277"/>
      <c r="AU60" s="1277"/>
      <c r="AV60" s="1277"/>
      <c r="AW60" s="1277"/>
      <c r="AX60" s="1277"/>
      <c r="AY60" s="1277"/>
      <c r="AZ60" s="1277"/>
      <c r="BA60" s="1277"/>
      <c r="BB60" s="1277"/>
      <c r="BC60" s="1277"/>
      <c r="BD60" s="1277"/>
      <c r="BE60" s="1277"/>
      <c r="BF60" s="1277"/>
      <c r="BG60" s="1277"/>
      <c r="BH60" s="1277"/>
      <c r="BI60" s="1277"/>
      <c r="BJ60" s="1277"/>
      <c r="BK60" s="1277"/>
      <c r="BL60" s="1277"/>
      <c r="BM60" s="1277"/>
      <c r="BN60" s="1277"/>
    </row>
    <row r="61" spans="1:67" s="273" customFormat="1" ht="13.5" customHeight="1" x14ac:dyDescent="0.2">
      <c r="A61" s="3564"/>
      <c r="B61" s="2190" t="s">
        <v>12</v>
      </c>
      <c r="C61" s="2189"/>
      <c r="D61" s="2191">
        <f>D62</f>
        <v>1515650</v>
      </c>
      <c r="E61" s="2192">
        <f t="shared" ref="E61:G61" si="49">+E62</f>
        <v>0</v>
      </c>
      <c r="F61" s="2192">
        <f t="shared" si="49"/>
        <v>0</v>
      </c>
      <c r="G61" s="2192">
        <f t="shared" si="49"/>
        <v>0</v>
      </c>
      <c r="H61" s="2193">
        <f>+H62</f>
        <v>1515650</v>
      </c>
      <c r="I61" s="1378">
        <f>K61+E61+F61</f>
        <v>0</v>
      </c>
      <c r="J61" s="1382">
        <f>I61/D61*100</f>
        <v>0</v>
      </c>
      <c r="K61" s="1379">
        <f>+K62</f>
        <v>0</v>
      </c>
      <c r="L61" s="1433">
        <v>0</v>
      </c>
      <c r="M61" s="1379">
        <f t="shared" ref="M61" si="50">+K61-G61</f>
        <v>0</v>
      </c>
      <c r="N61" s="3560"/>
      <c r="O61" s="1277"/>
      <c r="P61" s="1277"/>
      <c r="Q61" s="1277"/>
      <c r="R61" s="1277"/>
      <c r="S61" s="1277"/>
      <c r="T61" s="1277"/>
      <c r="U61" s="1277"/>
      <c r="V61" s="1277"/>
      <c r="W61" s="1277"/>
      <c r="X61" s="1277"/>
      <c r="Y61" s="1277"/>
      <c r="Z61" s="1277"/>
      <c r="AA61" s="1277"/>
      <c r="AB61" s="1277"/>
      <c r="AC61" s="1277"/>
      <c r="AD61" s="1277"/>
      <c r="AE61" s="1277"/>
      <c r="AF61" s="1277"/>
      <c r="AG61" s="1277"/>
      <c r="AH61" s="1277"/>
      <c r="AI61" s="1277"/>
      <c r="AJ61" s="1277"/>
      <c r="AK61" s="1277"/>
      <c r="AL61" s="1277"/>
      <c r="AM61" s="1277"/>
      <c r="AN61" s="1277"/>
      <c r="AO61" s="1277"/>
      <c r="AP61" s="1277"/>
      <c r="AQ61" s="1277"/>
      <c r="AR61" s="1277"/>
      <c r="AS61" s="1277"/>
      <c r="AT61" s="1277"/>
      <c r="AU61" s="1277"/>
      <c r="AV61" s="1277"/>
      <c r="AW61" s="1277"/>
      <c r="AX61" s="1277"/>
      <c r="AY61" s="1277"/>
      <c r="AZ61" s="1277"/>
      <c r="BA61" s="1277"/>
      <c r="BB61" s="1277"/>
      <c r="BC61" s="1277"/>
      <c r="BD61" s="1277"/>
      <c r="BE61" s="1277"/>
      <c r="BF61" s="1277"/>
      <c r="BG61" s="1277"/>
      <c r="BH61" s="1277"/>
      <c r="BI61" s="1277"/>
      <c r="BJ61" s="1277"/>
      <c r="BK61" s="1277"/>
      <c r="BL61" s="1277"/>
      <c r="BM61" s="1277"/>
      <c r="BN61" s="1277"/>
    </row>
    <row r="62" spans="1:67" s="273" customFormat="1" ht="13.5" customHeight="1" x14ac:dyDescent="0.2">
      <c r="A62" s="3564"/>
      <c r="B62" s="2194" t="s">
        <v>337</v>
      </c>
      <c r="C62" s="2189"/>
      <c r="D62" s="1378">
        <f>+E62+F62+G62+H62</f>
        <v>1515650</v>
      </c>
      <c r="E62" s="1379">
        <v>0</v>
      </c>
      <c r="F62" s="1379">
        <v>0</v>
      </c>
      <c r="G62" s="1379">
        <v>0</v>
      </c>
      <c r="H62" s="2187">
        <v>1515650</v>
      </c>
      <c r="I62" s="1378">
        <f t="shared" si="29"/>
        <v>0</v>
      </c>
      <c r="J62" s="1382">
        <f t="shared" ref="J62" si="51">I62/D62*100</f>
        <v>0</v>
      </c>
      <c r="K62" s="1379">
        <v>0</v>
      </c>
      <c r="L62" s="1433">
        <v>0</v>
      </c>
      <c r="M62" s="1379">
        <f>+K62-G62</f>
        <v>0</v>
      </c>
      <c r="N62" s="3560"/>
      <c r="O62" s="1277"/>
      <c r="P62" s="1277"/>
      <c r="Q62" s="1277"/>
      <c r="R62" s="1277"/>
      <c r="S62" s="1277"/>
      <c r="T62" s="1277"/>
      <c r="U62" s="1277"/>
      <c r="V62" s="1277"/>
      <c r="W62" s="1277"/>
      <c r="X62" s="1277"/>
      <c r="Y62" s="1277"/>
      <c r="Z62" s="1277"/>
      <c r="AA62" s="1277"/>
      <c r="AB62" s="1277"/>
      <c r="AC62" s="1277"/>
      <c r="AD62" s="1277"/>
      <c r="AE62" s="1277"/>
      <c r="AF62" s="1277"/>
      <c r="AG62" s="1277"/>
      <c r="AH62" s="1277"/>
      <c r="AI62" s="1277"/>
      <c r="AJ62" s="1277"/>
      <c r="AK62" s="1277"/>
      <c r="AL62" s="1277"/>
      <c r="AM62" s="1277"/>
      <c r="AN62" s="1277"/>
      <c r="AO62" s="1277"/>
      <c r="AP62" s="1277"/>
      <c r="AQ62" s="1277"/>
      <c r="AR62" s="1277"/>
      <c r="AS62" s="1277"/>
      <c r="AT62" s="1277"/>
      <c r="AU62" s="1277"/>
      <c r="AV62" s="1277"/>
      <c r="AW62" s="1277"/>
      <c r="AX62" s="1277"/>
      <c r="AY62" s="1277"/>
      <c r="AZ62" s="1277"/>
      <c r="BA62" s="1277"/>
      <c r="BB62" s="1277"/>
      <c r="BC62" s="1277"/>
      <c r="BD62" s="1277"/>
      <c r="BE62" s="1277"/>
      <c r="BF62" s="1277"/>
      <c r="BG62" s="1277"/>
      <c r="BH62" s="1277"/>
      <c r="BI62" s="1277"/>
      <c r="BJ62" s="1277"/>
      <c r="BK62" s="1277"/>
      <c r="BL62" s="1277"/>
      <c r="BM62" s="1277"/>
      <c r="BN62" s="1277"/>
    </row>
    <row r="63" spans="1:67" s="273" customFormat="1" ht="13.5" customHeight="1" x14ac:dyDescent="0.2">
      <c r="A63" s="3564"/>
      <c r="B63" s="334" t="s">
        <v>16</v>
      </c>
      <c r="C63" s="1511"/>
      <c r="D63" s="1722">
        <f>+D64+D66</f>
        <v>2024517</v>
      </c>
      <c r="E63" s="1320">
        <f t="shared" ref="E63:H63" si="52">+E64+E66</f>
        <v>0</v>
      </c>
      <c r="F63" s="1320">
        <f t="shared" si="52"/>
        <v>52889</v>
      </c>
      <c r="G63" s="1320">
        <f t="shared" si="52"/>
        <v>124808</v>
      </c>
      <c r="H63" s="1317">
        <f t="shared" si="52"/>
        <v>1846820</v>
      </c>
      <c r="I63" s="1722">
        <f>K63+E63+F63</f>
        <v>177697</v>
      </c>
      <c r="J63" s="1743">
        <v>0</v>
      </c>
      <c r="K63" s="1320">
        <f>K64</f>
        <v>124808</v>
      </c>
      <c r="L63" s="1630">
        <v>0</v>
      </c>
      <c r="M63" s="1320">
        <f>+K63-G63</f>
        <v>0</v>
      </c>
      <c r="N63" s="3560"/>
      <c r="O63" s="1277"/>
      <c r="P63" s="1277"/>
      <c r="Q63" s="1277"/>
      <c r="R63" s="1277"/>
      <c r="S63" s="1277"/>
      <c r="T63" s="1277"/>
      <c r="U63" s="1277"/>
      <c r="V63" s="1277"/>
      <c r="W63" s="1277"/>
      <c r="X63" s="1277"/>
      <c r="Y63" s="1277"/>
      <c r="Z63" s="1277"/>
      <c r="AA63" s="1277"/>
      <c r="AB63" s="1277"/>
      <c r="AC63" s="1277"/>
      <c r="AD63" s="1277"/>
      <c r="AE63" s="1277"/>
      <c r="AF63" s="1277"/>
      <c r="AG63" s="1277"/>
      <c r="AH63" s="1277"/>
      <c r="AI63" s="1277"/>
      <c r="AJ63" s="1277"/>
      <c r="AK63" s="1277"/>
      <c r="AL63" s="1277"/>
      <c r="AM63" s="1277"/>
      <c r="AN63" s="1277"/>
      <c r="AO63" s="1277"/>
      <c r="AP63" s="1277"/>
      <c r="AQ63" s="1277"/>
      <c r="AR63" s="1277"/>
      <c r="AS63" s="1277"/>
      <c r="AT63" s="1277"/>
      <c r="AU63" s="1277"/>
      <c r="AV63" s="1277"/>
      <c r="AW63" s="1277"/>
      <c r="AX63" s="1277"/>
      <c r="AY63" s="1277"/>
      <c r="AZ63" s="1277"/>
      <c r="BA63" s="1277"/>
      <c r="BB63" s="1277"/>
      <c r="BC63" s="1277"/>
      <c r="BD63" s="1277"/>
      <c r="BE63" s="1277"/>
      <c r="BF63" s="1277"/>
      <c r="BG63" s="1277"/>
      <c r="BH63" s="1277"/>
      <c r="BI63" s="1277"/>
      <c r="BJ63" s="1277"/>
      <c r="BK63" s="1277"/>
      <c r="BL63" s="1277"/>
      <c r="BM63" s="1277"/>
      <c r="BN63" s="1277"/>
    </row>
    <row r="64" spans="1:67" s="273" customFormat="1" ht="13.5" customHeight="1" x14ac:dyDescent="0.2">
      <c r="A64" s="3564"/>
      <c r="B64" s="2195" t="s">
        <v>17</v>
      </c>
      <c r="C64" s="3548" t="s">
        <v>78</v>
      </c>
      <c r="D64" s="2158">
        <f t="shared" ref="D64:H66" si="53">+D65</f>
        <v>508867</v>
      </c>
      <c r="E64" s="2159">
        <f t="shared" si="53"/>
        <v>0</v>
      </c>
      <c r="F64" s="2159">
        <f t="shared" si="53"/>
        <v>52889</v>
      </c>
      <c r="G64" s="2159">
        <f t="shared" si="53"/>
        <v>124808</v>
      </c>
      <c r="H64" s="2196">
        <f t="shared" si="53"/>
        <v>331170</v>
      </c>
      <c r="I64" s="2158">
        <f>K64+E64+F64</f>
        <v>177697</v>
      </c>
      <c r="J64" s="2197">
        <v>0</v>
      </c>
      <c r="K64" s="1386">
        <f>K65</f>
        <v>124808</v>
      </c>
      <c r="L64" s="2198">
        <v>0</v>
      </c>
      <c r="M64" s="2159">
        <f>+K64-G64</f>
        <v>0</v>
      </c>
      <c r="N64" s="3560"/>
      <c r="O64" s="1277"/>
      <c r="P64" s="1277"/>
      <c r="Q64" s="1277"/>
      <c r="R64" s="1277"/>
      <c r="S64" s="1277"/>
      <c r="T64" s="1277"/>
      <c r="U64" s="1277"/>
      <c r="V64" s="1277"/>
      <c r="W64" s="1277"/>
      <c r="X64" s="1277"/>
      <c r="Y64" s="1277"/>
      <c r="Z64" s="1277"/>
      <c r="AA64" s="1277"/>
      <c r="AB64" s="1277"/>
      <c r="AC64" s="1277"/>
      <c r="AD64" s="1277"/>
      <c r="AE64" s="1277"/>
      <c r="AF64" s="1277"/>
      <c r="AG64" s="1277"/>
      <c r="AH64" s="1277"/>
      <c r="AI64" s="1277"/>
      <c r="AJ64" s="1277"/>
      <c r="AK64" s="1277"/>
      <c r="AL64" s="1277"/>
      <c r="AM64" s="1277"/>
      <c r="AN64" s="1277"/>
      <c r="AO64" s="1277"/>
      <c r="AP64" s="1277"/>
      <c r="AQ64" s="1277"/>
      <c r="AR64" s="1277"/>
      <c r="AS64" s="1277"/>
      <c r="AT64" s="1277"/>
      <c r="AU64" s="1277"/>
      <c r="AV64" s="1277"/>
      <c r="AW64" s="1277"/>
      <c r="AX64" s="1277"/>
      <c r="AY64" s="1277"/>
      <c r="AZ64" s="1277"/>
      <c r="BA64" s="1277"/>
      <c r="BB64" s="1277"/>
      <c r="BC64" s="1277"/>
      <c r="BD64" s="1277"/>
      <c r="BE64" s="1277"/>
      <c r="BF64" s="1277"/>
      <c r="BG64" s="1277"/>
      <c r="BH64" s="1277"/>
      <c r="BI64" s="1277"/>
      <c r="BJ64" s="1277"/>
      <c r="BK64" s="1277"/>
      <c r="BL64" s="1277"/>
      <c r="BM64" s="1277"/>
      <c r="BN64" s="1277"/>
    </row>
    <row r="65" spans="1:66" s="273" customFormat="1" ht="14.25" customHeight="1" x14ac:dyDescent="0.2">
      <c r="A65" s="3564"/>
      <c r="B65" s="2199" t="s">
        <v>151</v>
      </c>
      <c r="C65" s="3549"/>
      <c r="D65" s="2153">
        <f>+E65+F65+G65+H65</f>
        <v>508867</v>
      </c>
      <c r="E65" s="1463">
        <v>0</v>
      </c>
      <c r="F65" s="1463">
        <v>52889</v>
      </c>
      <c r="G65" s="1463">
        <v>124808</v>
      </c>
      <c r="H65" s="2200">
        <v>331170</v>
      </c>
      <c r="I65" s="2153">
        <f t="shared" si="29"/>
        <v>177697</v>
      </c>
      <c r="J65" s="2201">
        <v>0</v>
      </c>
      <c r="K65" s="1379">
        <v>124808</v>
      </c>
      <c r="L65" s="2198">
        <v>0</v>
      </c>
      <c r="M65" s="1463">
        <f>+K65-G65</f>
        <v>0</v>
      </c>
      <c r="N65" s="3561"/>
      <c r="O65" s="1277"/>
      <c r="P65" s="1277"/>
      <c r="Q65" s="1277"/>
      <c r="R65" s="1277"/>
      <c r="S65" s="1277"/>
      <c r="T65" s="1277"/>
      <c r="U65" s="1277"/>
      <c r="V65" s="1277"/>
      <c r="W65" s="1277"/>
      <c r="X65" s="1277"/>
      <c r="Y65" s="1277"/>
      <c r="Z65" s="1277"/>
      <c r="AA65" s="1277"/>
      <c r="AB65" s="1277"/>
      <c r="AC65" s="1277"/>
      <c r="AD65" s="1277"/>
      <c r="AE65" s="1277"/>
      <c r="AF65" s="1277"/>
      <c r="AG65" s="1277"/>
      <c r="AH65" s="1277"/>
      <c r="AI65" s="1277"/>
      <c r="AJ65" s="1277"/>
      <c r="AK65" s="1277"/>
      <c r="AL65" s="1277"/>
      <c r="AM65" s="1277"/>
      <c r="AN65" s="1277"/>
      <c r="AO65" s="1277"/>
      <c r="AP65" s="1277"/>
      <c r="AQ65" s="1277"/>
      <c r="AR65" s="1277"/>
      <c r="AS65" s="1277"/>
      <c r="AT65" s="1277"/>
      <c r="AU65" s="1277"/>
      <c r="AV65" s="1277"/>
      <c r="AW65" s="1277"/>
      <c r="AX65" s="1277"/>
      <c r="AY65" s="1277"/>
      <c r="AZ65" s="1277"/>
      <c r="BA65" s="1277"/>
      <c r="BB65" s="1277"/>
      <c r="BC65" s="1277"/>
      <c r="BD65" s="1277"/>
      <c r="BE65" s="1277"/>
      <c r="BF65" s="1277"/>
      <c r="BG65" s="1277"/>
      <c r="BH65" s="1277"/>
      <c r="BI65" s="1277"/>
      <c r="BJ65" s="1277"/>
      <c r="BK65" s="1277"/>
      <c r="BL65" s="1277"/>
      <c r="BM65" s="1277"/>
      <c r="BN65" s="1277"/>
    </row>
    <row r="66" spans="1:66" s="273" customFormat="1" ht="14.25" customHeight="1" x14ac:dyDescent="0.2">
      <c r="A66" s="2202"/>
      <c r="B66" s="2190" t="s">
        <v>12</v>
      </c>
      <c r="C66" s="3549"/>
      <c r="D66" s="2153">
        <f t="shared" si="53"/>
        <v>1515650</v>
      </c>
      <c r="E66" s="1764">
        <f t="shared" si="53"/>
        <v>0</v>
      </c>
      <c r="F66" s="1764">
        <f t="shared" si="53"/>
        <v>0</v>
      </c>
      <c r="G66" s="1764">
        <f>+G67</f>
        <v>0</v>
      </c>
      <c r="H66" s="2200">
        <f t="shared" si="53"/>
        <v>1515650</v>
      </c>
      <c r="I66" s="2153">
        <f>K66+E66+F66</f>
        <v>0</v>
      </c>
      <c r="J66" s="1382">
        <f>I66/D66*100</f>
        <v>0</v>
      </c>
      <c r="K66" s="1379">
        <f>+K67</f>
        <v>0</v>
      </c>
      <c r="L66" s="2198">
        <v>0</v>
      </c>
      <c r="M66" s="1463">
        <f t="shared" ref="M66:M67" si="54">+K66-G66</f>
        <v>0</v>
      </c>
      <c r="N66" s="2203"/>
      <c r="O66" s="1277"/>
      <c r="P66" s="1277"/>
      <c r="Q66" s="1277"/>
      <c r="R66" s="1277"/>
      <c r="S66" s="1277"/>
      <c r="T66" s="1277"/>
      <c r="U66" s="1277"/>
      <c r="V66" s="1277"/>
      <c r="W66" s="1277"/>
      <c r="X66" s="1277"/>
      <c r="Y66" s="1277"/>
      <c r="Z66" s="1277"/>
      <c r="AA66" s="1277"/>
      <c r="AB66" s="1277"/>
      <c r="AC66" s="1277"/>
      <c r="AD66" s="1277"/>
      <c r="AE66" s="1277"/>
      <c r="AF66" s="1277"/>
      <c r="AG66" s="1277"/>
      <c r="AH66" s="1277"/>
      <c r="AI66" s="1277"/>
      <c r="AJ66" s="1277"/>
      <c r="AK66" s="1277"/>
      <c r="AL66" s="1277"/>
      <c r="AM66" s="1277"/>
      <c r="AN66" s="1277"/>
      <c r="AO66" s="1277"/>
      <c r="AP66" s="1277"/>
      <c r="AQ66" s="1277"/>
      <c r="AR66" s="1277"/>
      <c r="AS66" s="1277"/>
      <c r="AT66" s="1277"/>
      <c r="AU66" s="1277"/>
      <c r="AV66" s="1277"/>
      <c r="AW66" s="1277"/>
      <c r="AX66" s="1277"/>
      <c r="AY66" s="1277"/>
      <c r="AZ66" s="1277"/>
      <c r="BA66" s="1277"/>
      <c r="BB66" s="1277"/>
      <c r="BC66" s="1277"/>
      <c r="BD66" s="1277"/>
      <c r="BE66" s="1277"/>
      <c r="BF66" s="1277"/>
      <c r="BG66" s="1277"/>
      <c r="BH66" s="1277"/>
      <c r="BI66" s="1277"/>
      <c r="BJ66" s="1277"/>
      <c r="BK66" s="1277"/>
      <c r="BL66" s="1277"/>
      <c r="BM66" s="1277"/>
      <c r="BN66" s="1277"/>
    </row>
    <row r="67" spans="1:66" s="273" customFormat="1" ht="14.25" customHeight="1" thickBot="1" x14ac:dyDescent="0.25">
      <c r="A67" s="2202"/>
      <c r="B67" s="2204" t="s">
        <v>337</v>
      </c>
      <c r="C67" s="3550"/>
      <c r="D67" s="1769">
        <f>+E67+F67+G67+H67</f>
        <v>1515650</v>
      </c>
      <c r="E67" s="2205"/>
      <c r="F67" s="2205"/>
      <c r="G67" s="2205">
        <v>0</v>
      </c>
      <c r="H67" s="2206">
        <v>1515650</v>
      </c>
      <c r="I67" s="1769">
        <f t="shared" si="29"/>
        <v>0</v>
      </c>
      <c r="J67" s="1382">
        <f t="shared" ref="J67" si="55">I67/D67*100</f>
        <v>0</v>
      </c>
      <c r="K67" s="1379">
        <v>0</v>
      </c>
      <c r="L67" s="2207">
        <v>0</v>
      </c>
      <c r="M67" s="1770">
        <f t="shared" si="54"/>
        <v>0</v>
      </c>
      <c r="N67" s="2203"/>
      <c r="O67" s="1277"/>
      <c r="P67" s="1277"/>
      <c r="Q67" s="1277"/>
      <c r="R67" s="1277"/>
      <c r="S67" s="1277"/>
      <c r="T67" s="1277"/>
      <c r="U67" s="1277"/>
      <c r="V67" s="1277"/>
      <c r="W67" s="1277"/>
      <c r="X67" s="1277"/>
      <c r="Y67" s="1277"/>
      <c r="Z67" s="1277"/>
      <c r="AA67" s="1277"/>
      <c r="AB67" s="1277"/>
      <c r="AC67" s="1277"/>
      <c r="AD67" s="1277"/>
      <c r="AE67" s="1277"/>
      <c r="AF67" s="1277"/>
      <c r="AG67" s="1277"/>
      <c r="AH67" s="1277"/>
      <c r="AI67" s="1277"/>
      <c r="AJ67" s="1277"/>
      <c r="AK67" s="1277"/>
      <c r="AL67" s="1277"/>
      <c r="AM67" s="1277"/>
      <c r="AN67" s="1277"/>
      <c r="AO67" s="1277"/>
      <c r="AP67" s="1277"/>
      <c r="AQ67" s="1277"/>
      <c r="AR67" s="1277"/>
      <c r="AS67" s="1277"/>
      <c r="AT67" s="1277"/>
      <c r="AU67" s="1277"/>
      <c r="AV67" s="1277"/>
      <c r="AW67" s="1277"/>
      <c r="AX67" s="1277"/>
      <c r="AY67" s="1277"/>
      <c r="AZ67" s="1277"/>
      <c r="BA67" s="1277"/>
      <c r="BB67" s="1277"/>
      <c r="BC67" s="1277"/>
      <c r="BD67" s="1277"/>
      <c r="BE67" s="1277"/>
      <c r="BF67" s="1277"/>
      <c r="BG67" s="1277"/>
      <c r="BH67" s="1277"/>
      <c r="BI67" s="1277"/>
      <c r="BJ67" s="1277"/>
      <c r="BK67" s="1277"/>
      <c r="BL67" s="1277"/>
      <c r="BM67" s="1277"/>
      <c r="BN67" s="1277"/>
    </row>
    <row r="68" spans="1:66" s="273" customFormat="1" ht="49.5" customHeight="1" x14ac:dyDescent="0.2">
      <c r="A68" s="3565" t="s">
        <v>43</v>
      </c>
      <c r="B68" s="2208" t="s">
        <v>274</v>
      </c>
      <c r="C68" s="1501" t="s">
        <v>206</v>
      </c>
      <c r="D68" s="2123"/>
      <c r="E68" s="2124"/>
      <c r="F68" s="2124"/>
      <c r="G68" s="2124"/>
      <c r="H68" s="2126"/>
      <c r="I68" s="2123"/>
      <c r="J68" s="2127"/>
      <c r="K68" s="2125"/>
      <c r="L68" s="2209"/>
      <c r="M68" s="2210"/>
      <c r="N68" s="3559" t="s">
        <v>155</v>
      </c>
      <c r="O68" s="1277"/>
      <c r="P68" s="1277"/>
      <c r="Q68" s="1277"/>
      <c r="R68" s="1277"/>
      <c r="S68" s="1277"/>
      <c r="T68" s="1277"/>
      <c r="U68" s="1277"/>
      <c r="V68" s="1277"/>
      <c r="W68" s="1277"/>
      <c r="X68" s="1277"/>
      <c r="Y68" s="1277"/>
      <c r="Z68" s="1277"/>
      <c r="AA68" s="1277"/>
      <c r="AB68" s="1277"/>
      <c r="AC68" s="1277"/>
      <c r="AD68" s="1277"/>
      <c r="AE68" s="1277"/>
      <c r="AF68" s="1277"/>
      <c r="AG68" s="1277"/>
      <c r="AH68" s="1277"/>
      <c r="AI68" s="1277"/>
      <c r="AJ68" s="1277"/>
      <c r="AK68" s="1277"/>
      <c r="AL68" s="1277"/>
      <c r="AM68" s="1277"/>
      <c r="AN68" s="1277"/>
      <c r="AO68" s="1277"/>
      <c r="AP68" s="1277"/>
      <c r="AQ68" s="1277"/>
      <c r="AR68" s="1277"/>
      <c r="AS68" s="1277"/>
      <c r="AT68" s="1277"/>
      <c r="AU68" s="1277"/>
      <c r="AV68" s="1277"/>
      <c r="AW68" s="1277"/>
      <c r="AX68" s="1277"/>
      <c r="AY68" s="1277"/>
      <c r="AZ68" s="1277"/>
      <c r="BA68" s="1277"/>
      <c r="BB68" s="1277"/>
      <c r="BC68" s="1277"/>
      <c r="BD68" s="1277"/>
      <c r="BE68" s="1277"/>
      <c r="BF68" s="1277"/>
      <c r="BG68" s="1277"/>
      <c r="BH68" s="1277"/>
      <c r="BI68" s="1277"/>
      <c r="BJ68" s="1277"/>
      <c r="BK68" s="1277"/>
      <c r="BL68" s="1277"/>
      <c r="BM68" s="1277"/>
      <c r="BN68" s="1277"/>
    </row>
    <row r="69" spans="1:66" s="273" customFormat="1" ht="13.5" customHeight="1" x14ac:dyDescent="0.2">
      <c r="A69" s="3566"/>
      <c r="B69" s="512" t="s">
        <v>2</v>
      </c>
      <c r="C69" s="1511"/>
      <c r="D69" s="1722">
        <f t="shared" ref="D69" si="56">+D70+D73</f>
        <v>1440511</v>
      </c>
      <c r="E69" s="1320">
        <f>+E70+E73</f>
        <v>1064142</v>
      </c>
      <c r="F69" s="1320">
        <f>+F70+F73</f>
        <v>145349</v>
      </c>
      <c r="G69" s="1320">
        <f>+G70+G73</f>
        <v>231020</v>
      </c>
      <c r="H69" s="1317">
        <f>+H70+H73</f>
        <v>0</v>
      </c>
      <c r="I69" s="1722">
        <f t="shared" si="29"/>
        <v>1399397</v>
      </c>
      <c r="J69" s="1723">
        <f t="shared" ref="J69:J79" si="57">I69/D69*100</f>
        <v>97.145873929459754</v>
      </c>
      <c r="K69" s="1320">
        <f>+K70+K73</f>
        <v>189906</v>
      </c>
      <c r="L69" s="2211">
        <v>0</v>
      </c>
      <c r="M69" s="2212">
        <f t="shared" ref="M69:M75" si="58">+K69-G69</f>
        <v>-41114</v>
      </c>
      <c r="N69" s="3560"/>
      <c r="O69" s="1277"/>
      <c r="P69" s="1277"/>
      <c r="Q69" s="1277"/>
      <c r="R69" s="1277"/>
      <c r="S69" s="1277"/>
      <c r="T69" s="1277"/>
      <c r="U69" s="1277"/>
      <c r="V69" s="1277"/>
      <c r="W69" s="1277"/>
      <c r="X69" s="1277"/>
      <c r="Y69" s="1277"/>
      <c r="Z69" s="1277"/>
      <c r="AA69" s="1277"/>
      <c r="AB69" s="1277"/>
      <c r="AC69" s="1277"/>
      <c r="AD69" s="1277"/>
      <c r="AE69" s="1277"/>
      <c r="AF69" s="1277"/>
      <c r="AG69" s="1277"/>
      <c r="AH69" s="1277"/>
      <c r="AI69" s="1277"/>
      <c r="AJ69" s="1277"/>
      <c r="AK69" s="1277"/>
      <c r="AL69" s="1277"/>
      <c r="AM69" s="1277"/>
      <c r="AN69" s="1277"/>
      <c r="AO69" s="1277"/>
      <c r="AP69" s="1277"/>
      <c r="AQ69" s="1277"/>
      <c r="AR69" s="1277"/>
      <c r="AS69" s="1277"/>
      <c r="AT69" s="1277"/>
      <c r="AU69" s="1277"/>
      <c r="AV69" s="1277"/>
      <c r="AW69" s="1277"/>
      <c r="AX69" s="1277"/>
      <c r="AY69" s="1277"/>
      <c r="AZ69" s="1277"/>
      <c r="BA69" s="1277"/>
      <c r="BB69" s="1277"/>
      <c r="BC69" s="1277"/>
      <c r="BD69" s="1277"/>
      <c r="BE69" s="1277"/>
      <c r="BF69" s="1277"/>
      <c r="BG69" s="1277"/>
      <c r="BH69" s="1277"/>
      <c r="BI69" s="1277"/>
      <c r="BJ69" s="1277"/>
      <c r="BK69" s="1277"/>
      <c r="BL69" s="1277"/>
      <c r="BM69" s="1277"/>
      <c r="BN69" s="1277"/>
    </row>
    <row r="70" spans="1:66" s="273" customFormat="1" ht="13.5" customHeight="1" x14ac:dyDescent="0.2">
      <c r="A70" s="3566"/>
      <c r="B70" s="486" t="s">
        <v>17</v>
      </c>
      <c r="C70" s="3569" t="s">
        <v>153</v>
      </c>
      <c r="D70" s="1385">
        <f t="shared" ref="D70:E70" si="59">D72+D71</f>
        <v>231931</v>
      </c>
      <c r="E70" s="1386">
        <f t="shared" si="59"/>
        <v>175354</v>
      </c>
      <c r="F70" s="1386">
        <f>F72+F71</f>
        <v>21924</v>
      </c>
      <c r="G70" s="1386">
        <f t="shared" ref="G70:H70" si="60">G72+G71</f>
        <v>34653</v>
      </c>
      <c r="H70" s="1386">
        <f t="shared" si="60"/>
        <v>0</v>
      </c>
      <c r="I70" s="1385">
        <f t="shared" si="29"/>
        <v>225764</v>
      </c>
      <c r="J70" s="1388">
        <f t="shared" si="57"/>
        <v>97.341019527359435</v>
      </c>
      <c r="K70" s="1386">
        <f>K72+K71</f>
        <v>28486</v>
      </c>
      <c r="L70" s="1426">
        <v>0</v>
      </c>
      <c r="M70" s="1428">
        <f t="shared" si="58"/>
        <v>-6167</v>
      </c>
      <c r="N70" s="3560"/>
      <c r="O70" s="1277"/>
      <c r="P70" s="1277"/>
      <c r="Q70" s="1277"/>
      <c r="R70" s="1277"/>
      <c r="S70" s="1277"/>
      <c r="T70" s="1277"/>
      <c r="U70" s="1277"/>
      <c r="V70" s="1277"/>
      <c r="W70" s="1277"/>
      <c r="X70" s="1277"/>
      <c r="Y70" s="1277"/>
      <c r="Z70" s="1277"/>
      <c r="AA70" s="1277"/>
      <c r="AB70" s="1277"/>
      <c r="AC70" s="1277"/>
      <c r="AD70" s="1277"/>
      <c r="AE70" s="1277"/>
      <c r="AF70" s="1277"/>
      <c r="AG70" s="1277"/>
      <c r="AH70" s="1277"/>
      <c r="AI70" s="1277"/>
      <c r="AJ70" s="1277"/>
      <c r="AK70" s="1277"/>
      <c r="AL70" s="1277"/>
      <c r="AM70" s="1277"/>
      <c r="AN70" s="1277"/>
      <c r="AO70" s="1277"/>
      <c r="AP70" s="1277"/>
      <c r="AQ70" s="1277"/>
      <c r="AR70" s="1277"/>
      <c r="AS70" s="1277"/>
      <c r="AT70" s="1277"/>
      <c r="AU70" s="1277"/>
      <c r="AV70" s="1277"/>
      <c r="AW70" s="1277"/>
      <c r="AX70" s="1277"/>
      <c r="AY70" s="1277"/>
      <c r="AZ70" s="1277"/>
      <c r="BA70" s="1277"/>
      <c r="BB70" s="1277"/>
      <c r="BC70" s="1277"/>
      <c r="BD70" s="1277"/>
      <c r="BE70" s="1277"/>
      <c r="BF70" s="1277"/>
      <c r="BG70" s="1277"/>
      <c r="BH70" s="1277"/>
      <c r="BI70" s="1277"/>
      <c r="BJ70" s="1277"/>
      <c r="BK70" s="1277"/>
      <c r="BL70" s="1277"/>
      <c r="BM70" s="1277"/>
      <c r="BN70" s="1277"/>
    </row>
    <row r="71" spans="1:66" s="273" customFormat="1" ht="13.5" customHeight="1" x14ac:dyDescent="0.2">
      <c r="A71" s="3566"/>
      <c r="B71" s="2213" t="s">
        <v>6</v>
      </c>
      <c r="C71" s="3200"/>
      <c r="D71" s="1378">
        <f>+E71+F71+G71+H71</f>
        <v>97065</v>
      </c>
      <c r="E71" s="1379">
        <f>1566+18570+40064</f>
        <v>60200</v>
      </c>
      <c r="F71" s="1379">
        <v>2212</v>
      </c>
      <c r="G71" s="1379">
        <v>34653</v>
      </c>
      <c r="H71" s="1379">
        <v>0</v>
      </c>
      <c r="I71" s="1378">
        <f t="shared" si="29"/>
        <v>90898</v>
      </c>
      <c r="J71" s="1382">
        <f t="shared" si="57"/>
        <v>93.646525524133324</v>
      </c>
      <c r="K71" s="1379">
        <v>28486</v>
      </c>
      <c r="L71" s="2214">
        <v>0</v>
      </c>
      <c r="M71" s="2215">
        <f t="shared" si="58"/>
        <v>-6167</v>
      </c>
      <c r="N71" s="3560"/>
      <c r="O71" s="1277"/>
      <c r="P71" s="1277"/>
      <c r="Q71" s="1277"/>
      <c r="R71" s="1277"/>
      <c r="S71" s="1277"/>
      <c r="T71" s="1277"/>
      <c r="U71" s="1277"/>
      <c r="V71" s="1277"/>
      <c r="W71" s="1277"/>
      <c r="X71" s="1277"/>
      <c r="Y71" s="1277"/>
      <c r="Z71" s="1277"/>
      <c r="AA71" s="1277"/>
      <c r="AB71" s="1277"/>
      <c r="AC71" s="1277"/>
      <c r="AD71" s="1277"/>
      <c r="AE71" s="1277"/>
      <c r="AF71" s="1277"/>
      <c r="AG71" s="1277"/>
      <c r="AH71" s="1277"/>
      <c r="AI71" s="1277"/>
      <c r="AJ71" s="1277"/>
      <c r="AK71" s="1277"/>
      <c r="AL71" s="1277"/>
      <c r="AM71" s="1277"/>
      <c r="AN71" s="1277"/>
      <c r="AO71" s="1277"/>
      <c r="AP71" s="1277"/>
      <c r="AQ71" s="1277"/>
      <c r="AR71" s="1277"/>
      <c r="AS71" s="1277"/>
      <c r="AT71" s="1277"/>
      <c r="AU71" s="1277"/>
      <c r="AV71" s="1277"/>
      <c r="AW71" s="1277"/>
      <c r="AX71" s="1277"/>
      <c r="AY71" s="1277"/>
      <c r="AZ71" s="1277"/>
      <c r="BA71" s="1277"/>
      <c r="BB71" s="1277"/>
      <c r="BC71" s="1277"/>
      <c r="BD71" s="1277"/>
      <c r="BE71" s="1277"/>
      <c r="BF71" s="1277"/>
      <c r="BG71" s="1277"/>
      <c r="BH71" s="1277"/>
      <c r="BI71" s="1277"/>
      <c r="BJ71" s="1277"/>
      <c r="BK71" s="1277"/>
      <c r="BL71" s="1277"/>
      <c r="BM71" s="1277"/>
      <c r="BN71" s="1277"/>
    </row>
    <row r="72" spans="1:66" s="273" customFormat="1" ht="13.5" customHeight="1" x14ac:dyDescent="0.2">
      <c r="A72" s="3566"/>
      <c r="B72" s="2213" t="s">
        <v>5</v>
      </c>
      <c r="C72" s="3562"/>
      <c r="D72" s="1378">
        <f>+E72+F72+G72+H72</f>
        <v>134866</v>
      </c>
      <c r="E72" s="1379">
        <v>115154</v>
      </c>
      <c r="F72" s="1379">
        <v>19712</v>
      </c>
      <c r="G72" s="1379">
        <v>0</v>
      </c>
      <c r="H72" s="1379">
        <v>0</v>
      </c>
      <c r="I72" s="1378">
        <f t="shared" si="29"/>
        <v>134866</v>
      </c>
      <c r="J72" s="1382">
        <f t="shared" si="57"/>
        <v>100</v>
      </c>
      <c r="K72" s="1379">
        <v>0</v>
      </c>
      <c r="L72" s="2214">
        <v>0</v>
      </c>
      <c r="M72" s="2215">
        <f t="shared" si="58"/>
        <v>0</v>
      </c>
      <c r="N72" s="3560"/>
      <c r="O72" s="1277"/>
      <c r="P72" s="1277"/>
      <c r="Q72" s="1277"/>
      <c r="R72" s="1277"/>
      <c r="S72" s="1277"/>
      <c r="T72" s="1277"/>
      <c r="U72" s="1277"/>
      <c r="V72" s="1277"/>
      <c r="W72" s="1277"/>
      <c r="X72" s="1277"/>
      <c r="Y72" s="1277"/>
      <c r="Z72" s="1277"/>
      <c r="AA72" s="1277"/>
      <c r="AB72" s="1277"/>
      <c r="AC72" s="1277"/>
      <c r="AD72" s="1277"/>
      <c r="AE72" s="1277"/>
      <c r="AF72" s="1277"/>
      <c r="AG72" s="1277"/>
      <c r="AH72" s="1277"/>
      <c r="AI72" s="1277"/>
      <c r="AJ72" s="1277"/>
      <c r="AK72" s="1277"/>
      <c r="AL72" s="1277"/>
      <c r="AM72" s="1277"/>
      <c r="AN72" s="1277"/>
      <c r="AO72" s="1277"/>
      <c r="AP72" s="1277"/>
      <c r="AQ72" s="1277"/>
      <c r="AR72" s="1277"/>
      <c r="AS72" s="1277"/>
      <c r="AT72" s="1277"/>
      <c r="AU72" s="1277"/>
      <c r="AV72" s="1277"/>
      <c r="AW72" s="1277"/>
      <c r="AX72" s="1277"/>
      <c r="AY72" s="1277"/>
      <c r="AZ72" s="1277"/>
      <c r="BA72" s="1277"/>
      <c r="BB72" s="1277"/>
      <c r="BC72" s="1277"/>
      <c r="BD72" s="1277"/>
      <c r="BE72" s="1277"/>
      <c r="BF72" s="1277"/>
      <c r="BG72" s="1277"/>
      <c r="BH72" s="1277"/>
      <c r="BI72" s="1277"/>
      <c r="BJ72" s="1277"/>
      <c r="BK72" s="1277"/>
      <c r="BL72" s="1277"/>
      <c r="BM72" s="1277"/>
      <c r="BN72" s="1277"/>
    </row>
    <row r="73" spans="1:66" s="273" customFormat="1" ht="13.5" customHeight="1" x14ac:dyDescent="0.2">
      <c r="A73" s="3566"/>
      <c r="B73" s="495" t="s">
        <v>12</v>
      </c>
      <c r="C73" s="3562"/>
      <c r="D73" s="1385">
        <f t="shared" ref="D73:H73" si="61">+D74</f>
        <v>1208580</v>
      </c>
      <c r="E73" s="1386">
        <f t="shared" si="61"/>
        <v>888788</v>
      </c>
      <c r="F73" s="1386">
        <f t="shared" si="61"/>
        <v>123425</v>
      </c>
      <c r="G73" s="1386">
        <f t="shared" si="61"/>
        <v>196367</v>
      </c>
      <c r="H73" s="1386">
        <f t="shared" si="61"/>
        <v>0</v>
      </c>
      <c r="I73" s="1385">
        <f t="shared" si="29"/>
        <v>1173633</v>
      </c>
      <c r="J73" s="1388">
        <f t="shared" si="57"/>
        <v>97.108424762944949</v>
      </c>
      <c r="K73" s="1386">
        <f>+K74</f>
        <v>161420</v>
      </c>
      <c r="L73" s="1431">
        <v>0</v>
      </c>
      <c r="M73" s="1428">
        <f t="shared" si="58"/>
        <v>-34947</v>
      </c>
      <c r="N73" s="3560"/>
      <c r="O73" s="1277"/>
      <c r="P73" s="1277"/>
      <c r="Q73" s="1277"/>
      <c r="R73" s="1277"/>
      <c r="S73" s="1277"/>
      <c r="T73" s="1277"/>
      <c r="U73" s="1277"/>
      <c r="V73" s="1277"/>
      <c r="W73" s="1277"/>
      <c r="X73" s="1277"/>
      <c r="Y73" s="1277"/>
      <c r="Z73" s="1277"/>
      <c r="AA73" s="1277"/>
      <c r="AB73" s="1277"/>
      <c r="AC73" s="1277"/>
      <c r="AD73" s="1277"/>
      <c r="AE73" s="1277"/>
      <c r="AF73" s="1277"/>
      <c r="AG73" s="1277"/>
      <c r="AH73" s="1277"/>
      <c r="AI73" s="1277"/>
      <c r="AJ73" s="1277"/>
      <c r="AK73" s="1277"/>
      <c r="AL73" s="1277"/>
      <c r="AM73" s="1277"/>
      <c r="AN73" s="1277"/>
      <c r="AO73" s="1277"/>
      <c r="AP73" s="1277"/>
      <c r="AQ73" s="1277"/>
      <c r="AR73" s="1277"/>
      <c r="AS73" s="1277"/>
      <c r="AT73" s="1277"/>
      <c r="AU73" s="1277"/>
      <c r="AV73" s="1277"/>
      <c r="AW73" s="1277"/>
      <c r="AX73" s="1277"/>
      <c r="AY73" s="1277"/>
      <c r="AZ73" s="1277"/>
      <c r="BA73" s="1277"/>
      <c r="BB73" s="1277"/>
      <c r="BC73" s="1277"/>
      <c r="BD73" s="1277"/>
      <c r="BE73" s="1277"/>
      <c r="BF73" s="1277"/>
      <c r="BG73" s="1277"/>
      <c r="BH73" s="1277"/>
      <c r="BI73" s="1277"/>
      <c r="BJ73" s="1277"/>
      <c r="BK73" s="1277"/>
      <c r="BL73" s="1277"/>
      <c r="BM73" s="1277"/>
      <c r="BN73" s="1277"/>
    </row>
    <row r="74" spans="1:66" s="273" customFormat="1" ht="13.5" customHeight="1" x14ac:dyDescent="0.2">
      <c r="A74" s="3566"/>
      <c r="B74" s="2216" t="s">
        <v>15</v>
      </c>
      <c r="C74" s="3562"/>
      <c r="D74" s="1378">
        <f>+E74+F74+G74+H74</f>
        <v>1208580</v>
      </c>
      <c r="E74" s="1379">
        <f>114075+774713</f>
        <v>888788</v>
      </c>
      <c r="F74" s="1379">
        <v>123425</v>
      </c>
      <c r="G74" s="1379">
        <v>196367</v>
      </c>
      <c r="H74" s="1379">
        <v>0</v>
      </c>
      <c r="I74" s="1378">
        <f t="shared" si="29"/>
        <v>1173633</v>
      </c>
      <c r="J74" s="1382">
        <f t="shared" si="57"/>
        <v>97.108424762944949</v>
      </c>
      <c r="K74" s="1758">
        <v>161420</v>
      </c>
      <c r="L74" s="1433">
        <v>0</v>
      </c>
      <c r="M74" s="2215">
        <f t="shared" si="58"/>
        <v>-34947</v>
      </c>
      <c r="N74" s="3560"/>
      <c r="O74" s="1277"/>
      <c r="P74" s="1277"/>
      <c r="Q74" s="1277"/>
      <c r="R74" s="1277"/>
      <c r="S74" s="1277"/>
      <c r="T74" s="1277"/>
      <c r="U74" s="1277"/>
      <c r="V74" s="1277"/>
      <c r="W74" s="1277"/>
      <c r="X74" s="1277"/>
      <c r="Y74" s="1277"/>
      <c r="Z74" s="1277"/>
      <c r="AA74" s="1277"/>
      <c r="AB74" s="1277"/>
      <c r="AC74" s="1277"/>
      <c r="AD74" s="1277"/>
      <c r="AE74" s="1277"/>
      <c r="AF74" s="1277"/>
      <c r="AG74" s="1277"/>
      <c r="AH74" s="1277"/>
      <c r="AI74" s="1277"/>
      <c r="AJ74" s="1277"/>
      <c r="AK74" s="1277"/>
      <c r="AL74" s="1277"/>
      <c r="AM74" s="1277"/>
      <c r="AN74" s="1277"/>
      <c r="AO74" s="1277"/>
      <c r="AP74" s="1277"/>
      <c r="AQ74" s="1277"/>
      <c r="AR74" s="1277"/>
      <c r="AS74" s="1277"/>
      <c r="AT74" s="1277"/>
      <c r="AU74" s="1277"/>
      <c r="AV74" s="1277"/>
      <c r="AW74" s="1277"/>
      <c r="AX74" s="1277"/>
      <c r="AY74" s="1277"/>
      <c r="AZ74" s="1277"/>
      <c r="BA74" s="1277"/>
      <c r="BB74" s="1277"/>
      <c r="BC74" s="1277"/>
      <c r="BD74" s="1277"/>
      <c r="BE74" s="1277"/>
      <c r="BF74" s="1277"/>
      <c r="BG74" s="1277"/>
      <c r="BH74" s="1277"/>
      <c r="BI74" s="1277"/>
      <c r="BJ74" s="1277"/>
      <c r="BK74" s="1277"/>
      <c r="BL74" s="1277"/>
      <c r="BM74" s="1277"/>
      <c r="BN74" s="1277"/>
    </row>
    <row r="75" spans="1:66" s="273" customFormat="1" ht="13.5" customHeight="1" x14ac:dyDescent="0.2">
      <c r="A75" s="3566"/>
      <c r="B75" s="512" t="s">
        <v>16</v>
      </c>
      <c r="C75" s="1721"/>
      <c r="D75" s="1722">
        <f>D78+D76</f>
        <v>1208580</v>
      </c>
      <c r="E75" s="1320">
        <f>E78</f>
        <v>124295</v>
      </c>
      <c r="F75" s="1320">
        <f>F78</f>
        <v>794795</v>
      </c>
      <c r="G75" s="1320">
        <f>G78</f>
        <v>289490</v>
      </c>
      <c r="H75" s="1317">
        <f>H78+H76</f>
        <v>0</v>
      </c>
      <c r="I75" s="1722">
        <f t="shared" si="29"/>
        <v>1103509</v>
      </c>
      <c r="J75" s="1723">
        <f t="shared" si="57"/>
        <v>91.306243690943091</v>
      </c>
      <c r="K75" s="1751">
        <f>K78</f>
        <v>184419</v>
      </c>
      <c r="L75" s="1630">
        <v>0</v>
      </c>
      <c r="M75" s="2212">
        <f t="shared" si="58"/>
        <v>-105071</v>
      </c>
      <c r="N75" s="3560"/>
      <c r="O75" s="1277"/>
      <c r="P75" s="1277"/>
      <c r="Q75" s="1277"/>
      <c r="R75" s="1277"/>
      <c r="S75" s="1277"/>
      <c r="T75" s="1277"/>
      <c r="U75" s="1277"/>
      <c r="V75" s="1277"/>
      <c r="W75" s="1277"/>
      <c r="X75" s="1277"/>
      <c r="Y75" s="1277"/>
      <c r="Z75" s="1277"/>
      <c r="AA75" s="1277"/>
      <c r="AB75" s="1277"/>
      <c r="AC75" s="1277"/>
      <c r="AD75" s="1277"/>
      <c r="AE75" s="1277"/>
      <c r="AF75" s="1277"/>
      <c r="AG75" s="1277"/>
      <c r="AH75" s="1277"/>
      <c r="AI75" s="1277"/>
      <c r="AJ75" s="1277"/>
      <c r="AK75" s="1277"/>
      <c r="AL75" s="1277"/>
      <c r="AM75" s="1277"/>
      <c r="AN75" s="1277"/>
      <c r="AO75" s="1277"/>
      <c r="AP75" s="1277"/>
      <c r="AQ75" s="1277"/>
      <c r="AR75" s="1277"/>
      <c r="AS75" s="1277"/>
      <c r="AT75" s="1277"/>
      <c r="AU75" s="1277"/>
      <c r="AV75" s="1277"/>
      <c r="AW75" s="1277"/>
      <c r="AX75" s="1277"/>
      <c r="AY75" s="1277"/>
      <c r="AZ75" s="1277"/>
      <c r="BA75" s="1277"/>
      <c r="BB75" s="1277"/>
      <c r="BC75" s="1277"/>
      <c r="BD75" s="1277"/>
      <c r="BE75" s="1277"/>
      <c r="BF75" s="1277"/>
      <c r="BG75" s="1277"/>
      <c r="BH75" s="1277"/>
      <c r="BI75" s="1277"/>
      <c r="BJ75" s="1277"/>
      <c r="BK75" s="1277"/>
      <c r="BL75" s="1277"/>
      <c r="BM75" s="1277"/>
      <c r="BN75" s="1277"/>
    </row>
    <row r="76" spans="1:66" s="273" customFormat="1" ht="13.5" hidden="1" customHeight="1" x14ac:dyDescent="0.2">
      <c r="A76" s="3566"/>
      <c r="B76" s="454" t="s">
        <v>17</v>
      </c>
      <c r="C76" s="2217"/>
      <c r="D76" s="2218">
        <f t="shared" ref="D76:H76" si="62">+D77</f>
        <v>0</v>
      </c>
      <c r="E76" s="2197">
        <f t="shared" si="62"/>
        <v>0</v>
      </c>
      <c r="F76" s="2197">
        <f t="shared" si="62"/>
        <v>0</v>
      </c>
      <c r="G76" s="2219">
        <f t="shared" si="62"/>
        <v>0</v>
      </c>
      <c r="H76" s="1379">
        <f t="shared" si="62"/>
        <v>0</v>
      </c>
      <c r="I76" s="2218">
        <f t="shared" si="29"/>
        <v>0</v>
      </c>
      <c r="J76" s="2197" t="e">
        <f t="shared" si="57"/>
        <v>#DIV/0!</v>
      </c>
      <c r="K76" s="2198">
        <f>+K77</f>
        <v>0</v>
      </c>
      <c r="L76" s="2220" t="e">
        <f>K76/G76*100</f>
        <v>#DIV/0!</v>
      </c>
      <c r="M76" s="2221">
        <f t="shared" ref="M76:M77" si="63">+K76-G76*0.5</f>
        <v>0</v>
      </c>
      <c r="N76" s="3560"/>
      <c r="O76" s="1277"/>
      <c r="P76" s="1277"/>
      <c r="Q76" s="1277"/>
      <c r="R76" s="1277"/>
      <c r="S76" s="1277"/>
      <c r="T76" s="1277"/>
      <c r="U76" s="1277"/>
      <c r="V76" s="1277"/>
      <c r="W76" s="1277"/>
      <c r="X76" s="1277"/>
      <c r="Y76" s="1277"/>
      <c r="Z76" s="1277"/>
      <c r="AA76" s="1277"/>
      <c r="AB76" s="1277"/>
      <c r="AC76" s="1277"/>
      <c r="AD76" s="1277"/>
      <c r="AE76" s="1277"/>
      <c r="AF76" s="1277"/>
      <c r="AG76" s="1277"/>
      <c r="AH76" s="1277"/>
      <c r="AI76" s="1277"/>
      <c r="AJ76" s="1277"/>
      <c r="AK76" s="1277"/>
      <c r="AL76" s="1277"/>
      <c r="AM76" s="1277"/>
      <c r="AN76" s="1277"/>
      <c r="AO76" s="1277"/>
      <c r="AP76" s="1277"/>
      <c r="AQ76" s="1277"/>
      <c r="AR76" s="1277"/>
      <c r="AS76" s="1277"/>
      <c r="AT76" s="1277"/>
      <c r="AU76" s="1277"/>
      <c r="AV76" s="1277"/>
      <c r="AW76" s="1277"/>
      <c r="AX76" s="1277"/>
      <c r="AY76" s="1277"/>
      <c r="AZ76" s="1277"/>
      <c r="BA76" s="1277"/>
      <c r="BB76" s="1277"/>
      <c r="BC76" s="1277"/>
      <c r="BD76" s="1277"/>
      <c r="BE76" s="1277"/>
      <c r="BF76" s="1277"/>
      <c r="BG76" s="1277"/>
      <c r="BH76" s="1277"/>
      <c r="BI76" s="1277"/>
      <c r="BJ76" s="1277"/>
      <c r="BK76" s="1277"/>
      <c r="BL76" s="1277"/>
      <c r="BM76" s="1277"/>
      <c r="BN76" s="1277"/>
    </row>
    <row r="77" spans="1:66" s="273" customFormat="1" ht="12.75" hidden="1" customHeight="1" x14ac:dyDescent="0.25">
      <c r="A77" s="3566"/>
      <c r="B77" s="2152" t="s">
        <v>151</v>
      </c>
      <c r="C77" s="2222"/>
      <c r="D77" s="2223">
        <f>+E77+F77+G77+H77</f>
        <v>0</v>
      </c>
      <c r="E77" s="2224">
        <v>0</v>
      </c>
      <c r="F77" s="2224">
        <v>0</v>
      </c>
      <c r="G77" s="2225">
        <v>0</v>
      </c>
      <c r="H77" s="1379">
        <v>0</v>
      </c>
      <c r="I77" s="2218">
        <f t="shared" si="29"/>
        <v>0</v>
      </c>
      <c r="J77" s="2197" t="e">
        <f t="shared" si="57"/>
        <v>#DIV/0!</v>
      </c>
      <c r="K77" s="2198">
        <v>0</v>
      </c>
      <c r="L77" s="2220" t="e">
        <f>K77/G77*100</f>
        <v>#DIV/0!</v>
      </c>
      <c r="M77" s="2226">
        <f t="shared" si="63"/>
        <v>0</v>
      </c>
      <c r="N77" s="3560"/>
      <c r="O77" s="1277"/>
      <c r="P77" s="1277"/>
      <c r="Q77" s="1277"/>
      <c r="R77" s="1277"/>
      <c r="S77" s="1277"/>
      <c r="T77" s="1277"/>
      <c r="U77" s="1277"/>
      <c r="V77" s="1277"/>
      <c r="W77" s="1277"/>
      <c r="X77" s="1277"/>
      <c r="Y77" s="1277"/>
      <c r="Z77" s="1277"/>
      <c r="AA77" s="1277"/>
      <c r="AB77" s="1277"/>
      <c r="AC77" s="1277"/>
      <c r="AD77" s="1277"/>
      <c r="AE77" s="1277"/>
      <c r="AF77" s="1277"/>
      <c r="AG77" s="1277"/>
      <c r="AH77" s="1277"/>
      <c r="AI77" s="1277"/>
      <c r="AJ77" s="1277"/>
      <c r="AK77" s="1277"/>
      <c r="AL77" s="1277"/>
      <c r="AM77" s="1277"/>
      <c r="AN77" s="1277"/>
      <c r="AO77" s="1277"/>
      <c r="AP77" s="1277"/>
      <c r="AQ77" s="1277"/>
      <c r="AR77" s="1277"/>
      <c r="AS77" s="1277"/>
      <c r="AT77" s="1277"/>
      <c r="AU77" s="1277"/>
      <c r="AV77" s="1277"/>
      <c r="AW77" s="1277"/>
      <c r="AX77" s="1277"/>
      <c r="AY77" s="1277"/>
      <c r="AZ77" s="1277"/>
      <c r="BA77" s="1277"/>
      <c r="BB77" s="1277"/>
      <c r="BC77" s="1277"/>
      <c r="BD77" s="1277"/>
      <c r="BE77" s="1277"/>
      <c r="BF77" s="1277"/>
      <c r="BG77" s="1277"/>
      <c r="BH77" s="1277"/>
      <c r="BI77" s="1277"/>
      <c r="BJ77" s="1277"/>
      <c r="BK77" s="1277"/>
      <c r="BL77" s="1277"/>
      <c r="BM77" s="1277"/>
      <c r="BN77" s="1277"/>
    </row>
    <row r="78" spans="1:66" s="273" customFormat="1" ht="13.5" customHeight="1" x14ac:dyDescent="0.2">
      <c r="A78" s="3566"/>
      <c r="B78" s="473" t="s">
        <v>12</v>
      </c>
      <c r="C78" s="3569" t="s">
        <v>128</v>
      </c>
      <c r="D78" s="2227">
        <f>+D79</f>
        <v>1208580</v>
      </c>
      <c r="E78" s="2228">
        <f t="shared" ref="E78:F78" si="64">+E79</f>
        <v>124295</v>
      </c>
      <c r="F78" s="2228">
        <f t="shared" si="64"/>
        <v>794795</v>
      </c>
      <c r="G78" s="2229">
        <f>+G79</f>
        <v>289490</v>
      </c>
      <c r="H78" s="1386">
        <f>+H79</f>
        <v>0</v>
      </c>
      <c r="I78" s="1385">
        <f t="shared" si="29"/>
        <v>1103509</v>
      </c>
      <c r="J78" s="2230">
        <f t="shared" si="57"/>
        <v>91.306243690943091</v>
      </c>
      <c r="K78" s="1755">
        <f>+K79</f>
        <v>184419</v>
      </c>
      <c r="L78" s="1433">
        <v>0</v>
      </c>
      <c r="M78" s="1428">
        <f>+K78-G78</f>
        <v>-105071</v>
      </c>
      <c r="N78" s="3560"/>
      <c r="O78" s="1277"/>
      <c r="P78" s="1277"/>
      <c r="Q78" s="1277"/>
      <c r="R78" s="1277"/>
      <c r="S78" s="1277"/>
      <c r="T78" s="1277"/>
      <c r="U78" s="1277"/>
      <c r="V78" s="1277"/>
      <c r="W78" s="1277"/>
      <c r="X78" s="1277"/>
      <c r="Y78" s="1277"/>
      <c r="Z78" s="1277"/>
      <c r="AA78" s="1277"/>
      <c r="AB78" s="1277"/>
      <c r="AC78" s="1277"/>
      <c r="AD78" s="1277"/>
      <c r="AE78" s="1277"/>
      <c r="AF78" s="1277"/>
      <c r="AG78" s="1277"/>
      <c r="AH78" s="1277"/>
      <c r="AI78" s="1277"/>
      <c r="AJ78" s="1277"/>
      <c r="AK78" s="1277"/>
      <c r="AL78" s="1277"/>
      <c r="AM78" s="1277"/>
      <c r="AN78" s="1277"/>
      <c r="AO78" s="1277"/>
      <c r="AP78" s="1277"/>
      <c r="AQ78" s="1277"/>
      <c r="AR78" s="1277"/>
      <c r="AS78" s="1277"/>
      <c r="AT78" s="1277"/>
      <c r="AU78" s="1277"/>
      <c r="AV78" s="1277"/>
      <c r="AW78" s="1277"/>
      <c r="AX78" s="1277"/>
      <c r="AY78" s="1277"/>
      <c r="AZ78" s="1277"/>
      <c r="BA78" s="1277"/>
      <c r="BB78" s="1277"/>
      <c r="BC78" s="1277"/>
      <c r="BD78" s="1277"/>
      <c r="BE78" s="1277"/>
      <c r="BF78" s="1277"/>
      <c r="BG78" s="1277"/>
      <c r="BH78" s="1277"/>
      <c r="BI78" s="1277"/>
      <c r="BJ78" s="1277"/>
      <c r="BK78" s="1277"/>
      <c r="BL78" s="1277"/>
      <c r="BM78" s="1277"/>
      <c r="BN78" s="1277"/>
    </row>
    <row r="79" spans="1:66" s="273" customFormat="1" ht="13.5" customHeight="1" thickBot="1" x14ac:dyDescent="0.25">
      <c r="A79" s="3567"/>
      <c r="B79" s="2231" t="s">
        <v>15</v>
      </c>
      <c r="C79" s="3570"/>
      <c r="D79" s="1769">
        <f>+E79+F79+G79+H79</f>
        <v>1208580</v>
      </c>
      <c r="E79" s="1770">
        <v>124295</v>
      </c>
      <c r="F79" s="1770">
        <v>794795</v>
      </c>
      <c r="G79" s="1770">
        <v>289490</v>
      </c>
      <c r="H79" s="1379">
        <v>0</v>
      </c>
      <c r="I79" s="1769">
        <f t="shared" si="29"/>
        <v>1103509</v>
      </c>
      <c r="J79" s="2232">
        <f t="shared" si="57"/>
        <v>91.306243690943091</v>
      </c>
      <c r="K79" s="1770">
        <v>184419</v>
      </c>
      <c r="L79" s="2233">
        <v>0</v>
      </c>
      <c r="M79" s="1770">
        <f>+K79-G79</f>
        <v>-105071</v>
      </c>
      <c r="N79" s="3568"/>
      <c r="O79" s="1277"/>
      <c r="P79" s="1277"/>
      <c r="Q79" s="1277"/>
      <c r="R79" s="1277"/>
      <c r="S79" s="1277"/>
      <c r="T79" s="1277"/>
      <c r="U79" s="1277"/>
      <c r="V79" s="1277"/>
      <c r="W79" s="1277"/>
      <c r="X79" s="1277"/>
      <c r="Y79" s="1277"/>
      <c r="Z79" s="1277"/>
      <c r="AA79" s="1277"/>
      <c r="AB79" s="1277"/>
      <c r="AC79" s="1277"/>
      <c r="AD79" s="1277"/>
      <c r="AE79" s="1277"/>
      <c r="AF79" s="1277"/>
      <c r="AG79" s="1277"/>
      <c r="AH79" s="1277"/>
      <c r="AI79" s="1277"/>
      <c r="AJ79" s="1277"/>
      <c r="AK79" s="1277"/>
      <c r="AL79" s="1277"/>
      <c r="AM79" s="1277"/>
      <c r="AN79" s="1277"/>
      <c r="AO79" s="1277"/>
      <c r="AP79" s="1277"/>
      <c r="AQ79" s="1277"/>
      <c r="AR79" s="1277"/>
      <c r="AS79" s="1277"/>
      <c r="AT79" s="1277"/>
      <c r="AU79" s="1277"/>
      <c r="AV79" s="1277"/>
      <c r="AW79" s="1277"/>
      <c r="AX79" s="1277"/>
      <c r="AY79" s="1277"/>
      <c r="AZ79" s="1277"/>
      <c r="BA79" s="1277"/>
      <c r="BB79" s="1277"/>
      <c r="BC79" s="1277"/>
      <c r="BD79" s="1277"/>
      <c r="BE79" s="1277"/>
      <c r="BF79" s="1277"/>
      <c r="BG79" s="1277"/>
      <c r="BH79" s="1277"/>
      <c r="BI79" s="1277"/>
      <c r="BJ79" s="1277"/>
      <c r="BK79" s="1277"/>
      <c r="BL79" s="1277"/>
      <c r="BM79" s="1277"/>
      <c r="BN79" s="1277"/>
    </row>
    <row r="80" spans="1:66" s="273" customFormat="1" ht="39" customHeight="1" x14ac:dyDescent="0.2">
      <c r="A80" s="3551" t="s">
        <v>44</v>
      </c>
      <c r="B80" s="2208" t="s">
        <v>159</v>
      </c>
      <c r="C80" s="1501" t="s">
        <v>206</v>
      </c>
      <c r="D80" s="2123"/>
      <c r="E80" s="2124"/>
      <c r="F80" s="2124"/>
      <c r="G80" s="2124"/>
      <c r="H80" s="2150"/>
      <c r="I80" s="2123"/>
      <c r="J80" s="2127"/>
      <c r="K80" s="2125"/>
      <c r="L80" s="2185"/>
      <c r="M80" s="2125"/>
      <c r="N80" s="3554" t="s">
        <v>160</v>
      </c>
      <c r="O80" s="1277"/>
      <c r="P80" s="1277"/>
      <c r="Q80" s="1277"/>
      <c r="R80" s="1277"/>
      <c r="S80" s="1277"/>
      <c r="T80" s="1277"/>
      <c r="U80" s="1277"/>
      <c r="V80" s="1277"/>
      <c r="W80" s="1277"/>
      <c r="X80" s="1277"/>
      <c r="Y80" s="1277"/>
      <c r="Z80" s="1277"/>
      <c r="AA80" s="1277"/>
      <c r="AB80" s="1277"/>
      <c r="AC80" s="1277"/>
      <c r="AD80" s="1277"/>
      <c r="AE80" s="1277"/>
      <c r="AF80" s="1277"/>
      <c r="AG80" s="1277"/>
      <c r="AH80" s="1277"/>
      <c r="AI80" s="1277"/>
      <c r="AJ80" s="1277"/>
      <c r="AK80" s="1277"/>
      <c r="AL80" s="1277"/>
      <c r="AM80" s="1277"/>
      <c r="AN80" s="1277"/>
      <c r="AO80" s="1277"/>
      <c r="AP80" s="1277"/>
      <c r="AQ80" s="1277"/>
      <c r="AR80" s="1277"/>
      <c r="AS80" s="1277"/>
      <c r="AT80" s="1277"/>
      <c r="AU80" s="1277"/>
      <c r="AV80" s="1277"/>
      <c r="AW80" s="1277"/>
      <c r="AX80" s="1277"/>
      <c r="AY80" s="1277"/>
      <c r="AZ80" s="1277"/>
      <c r="BA80" s="1277"/>
      <c r="BB80" s="1277"/>
      <c r="BC80" s="1277"/>
      <c r="BD80" s="1277"/>
      <c r="BE80" s="1277"/>
      <c r="BF80" s="1277"/>
      <c r="BG80" s="1277"/>
      <c r="BH80" s="1277"/>
      <c r="BI80" s="1277"/>
      <c r="BJ80" s="1277"/>
      <c r="BK80" s="1277"/>
      <c r="BL80" s="1277"/>
      <c r="BM80" s="1277"/>
      <c r="BN80" s="1277"/>
    </row>
    <row r="81" spans="1:66" s="273" customFormat="1" ht="13.5" customHeight="1" x14ac:dyDescent="0.2">
      <c r="A81" s="3552"/>
      <c r="B81" s="512" t="s">
        <v>2</v>
      </c>
      <c r="C81" s="1721"/>
      <c r="D81" s="1722">
        <f>+D82+D85</f>
        <v>24935520</v>
      </c>
      <c r="E81" s="1320">
        <f>+E82+E85</f>
        <v>0</v>
      </c>
      <c r="F81" s="1320">
        <f>F82</f>
        <v>145091</v>
      </c>
      <c r="G81" s="1320">
        <f>+G82+G85</f>
        <v>394112</v>
      </c>
      <c r="H81" s="1317">
        <f>+H82+H85</f>
        <v>24396317</v>
      </c>
      <c r="I81" s="1722">
        <f>K81+E81+F81</f>
        <v>539203</v>
      </c>
      <c r="J81" s="1723">
        <f>I81/D81*100</f>
        <v>2.1623892343131406</v>
      </c>
      <c r="K81" s="1320">
        <f>+K82+K85</f>
        <v>394112</v>
      </c>
      <c r="L81" s="1319">
        <f>K81/G81*100</f>
        <v>100</v>
      </c>
      <c r="M81" s="1320">
        <f t="shared" ref="M81:M91" si="65">+K81-G81</f>
        <v>0</v>
      </c>
      <c r="N81" s="3555"/>
      <c r="O81" s="1277"/>
      <c r="P81" s="1277"/>
      <c r="Q81" s="1277"/>
      <c r="R81" s="1277"/>
      <c r="S81" s="1277"/>
      <c r="T81" s="1277"/>
      <c r="U81" s="1277"/>
      <c r="V81" s="1277"/>
      <c r="W81" s="1277"/>
      <c r="X81" s="1277"/>
      <c r="Y81" s="1277"/>
      <c r="Z81" s="1277"/>
      <c r="AA81" s="1277"/>
      <c r="AB81" s="1277"/>
      <c r="AC81" s="1277"/>
      <c r="AD81" s="1277"/>
      <c r="AE81" s="1277"/>
      <c r="AF81" s="1277"/>
      <c r="AG81" s="1277"/>
      <c r="AH81" s="1277"/>
      <c r="AI81" s="1277"/>
      <c r="AJ81" s="1277"/>
      <c r="AK81" s="1277"/>
      <c r="AL81" s="1277"/>
      <c r="AM81" s="1277"/>
      <c r="AN81" s="1277"/>
      <c r="AO81" s="1277"/>
      <c r="AP81" s="1277"/>
      <c r="AQ81" s="1277"/>
      <c r="AR81" s="1277"/>
      <c r="AS81" s="1277"/>
      <c r="AT81" s="1277"/>
      <c r="AU81" s="1277"/>
      <c r="AV81" s="1277"/>
      <c r="AW81" s="1277"/>
      <c r="AX81" s="1277"/>
      <c r="AY81" s="1277"/>
      <c r="AZ81" s="1277"/>
      <c r="BA81" s="1277"/>
      <c r="BB81" s="1277"/>
      <c r="BC81" s="1277"/>
      <c r="BD81" s="1277"/>
      <c r="BE81" s="1277"/>
      <c r="BF81" s="1277"/>
      <c r="BG81" s="1277"/>
      <c r="BH81" s="1277"/>
      <c r="BI81" s="1277"/>
      <c r="BJ81" s="1277"/>
      <c r="BK81" s="1277"/>
      <c r="BL81" s="1277"/>
      <c r="BM81" s="1277"/>
      <c r="BN81" s="1277"/>
    </row>
    <row r="82" spans="1:66" s="273" customFormat="1" ht="13.5" customHeight="1" x14ac:dyDescent="0.2">
      <c r="A82" s="3552"/>
      <c r="B82" s="486" t="s">
        <v>17</v>
      </c>
      <c r="C82" s="3200" t="s">
        <v>161</v>
      </c>
      <c r="D82" s="2234">
        <f t="shared" ref="D82:H82" si="66">D84+D83</f>
        <v>9730935</v>
      </c>
      <c r="E82" s="1481">
        <f t="shared" si="66"/>
        <v>0</v>
      </c>
      <c r="F82" s="1481">
        <f t="shared" si="66"/>
        <v>145091</v>
      </c>
      <c r="G82" s="1481">
        <f t="shared" si="66"/>
        <v>73696</v>
      </c>
      <c r="H82" s="1482">
        <f t="shared" si="66"/>
        <v>9512148</v>
      </c>
      <c r="I82" s="2234">
        <f t="shared" si="29"/>
        <v>218787</v>
      </c>
      <c r="J82" s="2235">
        <f>I82/D82*100</f>
        <v>2.2483656503717269</v>
      </c>
      <c r="K82" s="1481">
        <f>K84+K83</f>
        <v>73696</v>
      </c>
      <c r="L82" s="2236">
        <f>K82/G82*100</f>
        <v>100</v>
      </c>
      <c r="M82" s="1481">
        <f t="shared" si="65"/>
        <v>0</v>
      </c>
      <c r="N82" s="3555"/>
      <c r="O82" s="1277"/>
      <c r="P82" s="1277"/>
      <c r="Q82" s="1277"/>
      <c r="R82" s="1277"/>
      <c r="S82" s="1277"/>
      <c r="T82" s="1277"/>
      <c r="U82" s="1277"/>
      <c r="V82" s="1277"/>
      <c r="W82" s="1277"/>
      <c r="X82" s="1277"/>
      <c r="Y82" s="1277"/>
      <c r="Z82" s="1277"/>
      <c r="AA82" s="1277"/>
      <c r="AB82" s="1277"/>
      <c r="AC82" s="1277"/>
      <c r="AD82" s="1277"/>
      <c r="AE82" s="1277"/>
      <c r="AF82" s="1277"/>
      <c r="AG82" s="1277"/>
      <c r="AH82" s="1277"/>
      <c r="AI82" s="1277"/>
      <c r="AJ82" s="1277"/>
      <c r="AK82" s="1277"/>
      <c r="AL82" s="1277"/>
      <c r="AM82" s="1277"/>
      <c r="AN82" s="1277"/>
      <c r="AO82" s="1277"/>
      <c r="AP82" s="1277"/>
      <c r="AQ82" s="1277"/>
      <c r="AR82" s="1277"/>
      <c r="AS82" s="1277"/>
      <c r="AT82" s="1277"/>
      <c r="AU82" s="1277"/>
      <c r="AV82" s="1277"/>
      <c r="AW82" s="1277"/>
      <c r="AX82" s="1277"/>
      <c r="AY82" s="1277"/>
      <c r="AZ82" s="1277"/>
      <c r="BA82" s="1277"/>
      <c r="BB82" s="1277"/>
      <c r="BC82" s="1277"/>
      <c r="BD82" s="1277"/>
      <c r="BE82" s="1277"/>
      <c r="BF82" s="1277"/>
      <c r="BG82" s="1277"/>
      <c r="BH82" s="1277"/>
      <c r="BI82" s="1277"/>
      <c r="BJ82" s="1277"/>
      <c r="BK82" s="1277"/>
      <c r="BL82" s="1277"/>
      <c r="BM82" s="1277"/>
      <c r="BN82" s="1277"/>
    </row>
    <row r="83" spans="1:66" s="273" customFormat="1" ht="14.25" hidden="1" customHeight="1" x14ac:dyDescent="0.2">
      <c r="A83" s="3552"/>
      <c r="B83" s="2237" t="s">
        <v>6</v>
      </c>
      <c r="C83" s="3200"/>
      <c r="D83" s="2153">
        <f>+E83+F83+G83+H83</f>
        <v>0</v>
      </c>
      <c r="E83" s="2201">
        <v>0</v>
      </c>
      <c r="F83" s="2201">
        <v>0</v>
      </c>
      <c r="G83" s="1463">
        <v>0</v>
      </c>
      <c r="H83" s="1463">
        <v>0</v>
      </c>
      <c r="I83" s="2153">
        <f t="shared" si="29"/>
        <v>0</v>
      </c>
      <c r="J83" s="2238">
        <v>0</v>
      </c>
      <c r="K83" s="1463">
        <v>0</v>
      </c>
      <c r="L83" s="2239">
        <v>0</v>
      </c>
      <c r="M83" s="1463">
        <f t="shared" si="65"/>
        <v>0</v>
      </c>
      <c r="N83" s="3555"/>
      <c r="O83" s="1277"/>
      <c r="P83" s="1277"/>
      <c r="Q83" s="1277"/>
      <c r="R83" s="1277"/>
      <c r="S83" s="1277"/>
      <c r="T83" s="1277"/>
      <c r="U83" s="1277"/>
      <c r="V83" s="1277"/>
      <c r="W83" s="1277"/>
      <c r="X83" s="1277"/>
      <c r="Y83" s="1277"/>
      <c r="Z83" s="1277"/>
      <c r="AA83" s="1277"/>
      <c r="AB83" s="1277"/>
      <c r="AC83" s="1277"/>
      <c r="AD83" s="1277"/>
      <c r="AE83" s="1277"/>
      <c r="AF83" s="1277"/>
      <c r="AG83" s="1277"/>
      <c r="AH83" s="1277"/>
      <c r="AI83" s="1277"/>
      <c r="AJ83" s="1277"/>
      <c r="AK83" s="1277"/>
      <c r="AL83" s="1277"/>
      <c r="AM83" s="1277"/>
      <c r="AN83" s="1277"/>
      <c r="AO83" s="1277"/>
      <c r="AP83" s="1277"/>
      <c r="AQ83" s="1277"/>
      <c r="AR83" s="1277"/>
      <c r="AS83" s="1277"/>
      <c r="AT83" s="1277"/>
      <c r="AU83" s="1277"/>
      <c r="AV83" s="1277"/>
      <c r="AW83" s="1277"/>
      <c r="AX83" s="1277"/>
      <c r="AY83" s="1277"/>
      <c r="AZ83" s="1277"/>
      <c r="BA83" s="1277"/>
      <c r="BB83" s="1277"/>
      <c r="BC83" s="1277"/>
      <c r="BD83" s="1277"/>
      <c r="BE83" s="1277"/>
      <c r="BF83" s="1277"/>
      <c r="BG83" s="1277"/>
      <c r="BH83" s="1277"/>
      <c r="BI83" s="1277"/>
      <c r="BJ83" s="1277"/>
      <c r="BK83" s="1277"/>
      <c r="BL83" s="1277"/>
      <c r="BM83" s="1277"/>
      <c r="BN83" s="1277"/>
    </row>
    <row r="84" spans="1:66" s="273" customFormat="1" ht="13.5" customHeight="1" x14ac:dyDescent="0.2">
      <c r="A84" s="3552"/>
      <c r="B84" s="2237" t="s">
        <v>5</v>
      </c>
      <c r="C84" s="3557"/>
      <c r="D84" s="2153">
        <f>+E84+F84+G84+H84</f>
        <v>9730935</v>
      </c>
      <c r="E84" s="1463">
        <v>0</v>
      </c>
      <c r="F84" s="1463">
        <v>145091</v>
      </c>
      <c r="G84" s="1463">
        <v>73696</v>
      </c>
      <c r="H84" s="1488">
        <v>9512148</v>
      </c>
      <c r="I84" s="2153">
        <f t="shared" si="29"/>
        <v>218787</v>
      </c>
      <c r="J84" s="2240">
        <f t="shared" ref="J84:J91" si="67">I84/D84*100</f>
        <v>2.2483656503717269</v>
      </c>
      <c r="K84" s="1463">
        <v>73696</v>
      </c>
      <c r="L84" s="2241">
        <f t="shared" ref="L84:L89" si="68">K84/G84*100</f>
        <v>100</v>
      </c>
      <c r="M84" s="1463">
        <f t="shared" si="65"/>
        <v>0</v>
      </c>
      <c r="N84" s="3555"/>
      <c r="O84" s="1277"/>
      <c r="P84" s="1277"/>
      <c r="Q84" s="1277"/>
      <c r="R84" s="1277"/>
      <c r="S84" s="1277"/>
      <c r="T84" s="1277"/>
      <c r="U84" s="1277"/>
      <c r="V84" s="1277"/>
      <c r="W84" s="1277"/>
      <c r="X84" s="1277"/>
      <c r="Y84" s="1277"/>
      <c r="Z84" s="1277"/>
      <c r="AA84" s="1277"/>
      <c r="AB84" s="1277"/>
      <c r="AC84" s="1277"/>
      <c r="AD84" s="1277"/>
      <c r="AE84" s="1277"/>
      <c r="AF84" s="1277"/>
      <c r="AG84" s="1277"/>
      <c r="AH84" s="1277"/>
      <c r="AI84" s="1277"/>
      <c r="AJ84" s="1277"/>
      <c r="AK84" s="1277"/>
      <c r="AL84" s="1277"/>
      <c r="AM84" s="1277"/>
      <c r="AN84" s="1277"/>
      <c r="AO84" s="1277"/>
      <c r="AP84" s="1277"/>
      <c r="AQ84" s="1277"/>
      <c r="AR84" s="1277"/>
      <c r="AS84" s="1277"/>
      <c r="AT84" s="1277"/>
      <c r="AU84" s="1277"/>
      <c r="AV84" s="1277"/>
      <c r="AW84" s="1277"/>
      <c r="AX84" s="1277"/>
      <c r="AY84" s="1277"/>
      <c r="AZ84" s="1277"/>
      <c r="BA84" s="1277"/>
      <c r="BB84" s="1277"/>
      <c r="BC84" s="1277"/>
      <c r="BD84" s="1277"/>
      <c r="BE84" s="1277"/>
      <c r="BF84" s="1277"/>
      <c r="BG84" s="1277"/>
      <c r="BH84" s="1277"/>
      <c r="BI84" s="1277"/>
      <c r="BJ84" s="1277"/>
      <c r="BK84" s="1277"/>
      <c r="BL84" s="1277"/>
      <c r="BM84" s="1277"/>
      <c r="BN84" s="1277"/>
    </row>
    <row r="85" spans="1:66" s="273" customFormat="1" ht="13.5" customHeight="1" x14ac:dyDescent="0.2">
      <c r="A85" s="3552"/>
      <c r="B85" s="495" t="s">
        <v>12</v>
      </c>
      <c r="C85" s="3557"/>
      <c r="D85" s="2234">
        <f>+D86</f>
        <v>15204585</v>
      </c>
      <c r="E85" s="1481">
        <f t="shared" ref="E85:H85" si="69">+E86</f>
        <v>0</v>
      </c>
      <c r="F85" s="1481">
        <f t="shared" si="69"/>
        <v>0</v>
      </c>
      <c r="G85" s="1481">
        <f>+G86</f>
        <v>320416</v>
      </c>
      <c r="H85" s="1482">
        <f t="shared" si="69"/>
        <v>14884169</v>
      </c>
      <c r="I85" s="2234">
        <f t="shared" si="29"/>
        <v>320416</v>
      </c>
      <c r="J85" s="2235">
        <f t="shared" si="67"/>
        <v>2.1073643246428628</v>
      </c>
      <c r="K85" s="1481">
        <f>+K86</f>
        <v>320416</v>
      </c>
      <c r="L85" s="2236">
        <f t="shared" si="68"/>
        <v>100</v>
      </c>
      <c r="M85" s="1481">
        <f t="shared" si="65"/>
        <v>0</v>
      </c>
      <c r="N85" s="3555"/>
      <c r="O85" s="1277"/>
      <c r="P85" s="1277"/>
      <c r="Q85" s="1277"/>
      <c r="R85" s="1277"/>
      <c r="S85" s="1277"/>
      <c r="T85" s="1277"/>
      <c r="U85" s="1277"/>
      <c r="V85" s="1277"/>
      <c r="W85" s="1277"/>
      <c r="X85" s="1277"/>
      <c r="Y85" s="1277"/>
      <c r="Z85" s="1277"/>
      <c r="AA85" s="1277"/>
      <c r="AB85" s="1277"/>
      <c r="AC85" s="1277"/>
      <c r="AD85" s="1277"/>
      <c r="AE85" s="1277"/>
      <c r="AF85" s="1277"/>
      <c r="AG85" s="1277"/>
      <c r="AH85" s="1277"/>
      <c r="AI85" s="1277"/>
      <c r="AJ85" s="1277"/>
      <c r="AK85" s="1277"/>
      <c r="AL85" s="1277"/>
      <c r="AM85" s="1277"/>
      <c r="AN85" s="1277"/>
      <c r="AO85" s="1277"/>
      <c r="AP85" s="1277"/>
      <c r="AQ85" s="1277"/>
      <c r="AR85" s="1277"/>
      <c r="AS85" s="1277"/>
      <c r="AT85" s="1277"/>
      <c r="AU85" s="1277"/>
      <c r="AV85" s="1277"/>
      <c r="AW85" s="1277"/>
      <c r="AX85" s="1277"/>
      <c r="AY85" s="1277"/>
      <c r="AZ85" s="1277"/>
      <c r="BA85" s="1277"/>
      <c r="BB85" s="1277"/>
      <c r="BC85" s="1277"/>
      <c r="BD85" s="1277"/>
      <c r="BE85" s="1277"/>
      <c r="BF85" s="1277"/>
      <c r="BG85" s="1277"/>
      <c r="BH85" s="1277"/>
      <c r="BI85" s="1277"/>
      <c r="BJ85" s="1277"/>
      <c r="BK85" s="1277"/>
      <c r="BL85" s="1277"/>
      <c r="BM85" s="1277"/>
      <c r="BN85" s="1277"/>
    </row>
    <row r="86" spans="1:66" s="273" customFormat="1" ht="13.5" customHeight="1" x14ac:dyDescent="0.2">
      <c r="A86" s="3552"/>
      <c r="B86" s="2242" t="s">
        <v>15</v>
      </c>
      <c r="C86" s="3557"/>
      <c r="D86" s="2153">
        <f>+E86+F86+G86+H86</f>
        <v>15204585</v>
      </c>
      <c r="E86" s="1463">
        <v>0</v>
      </c>
      <c r="F86" s="1463">
        <v>0</v>
      </c>
      <c r="G86" s="1463">
        <v>320416</v>
      </c>
      <c r="H86" s="1488">
        <v>14884169</v>
      </c>
      <c r="I86" s="2153">
        <f t="shared" si="29"/>
        <v>320416</v>
      </c>
      <c r="J86" s="2240">
        <f t="shared" si="67"/>
        <v>2.1073643246428628</v>
      </c>
      <c r="K86" s="1463">
        <v>320416</v>
      </c>
      <c r="L86" s="2241">
        <f t="shared" si="68"/>
        <v>100</v>
      </c>
      <c r="M86" s="1463">
        <f t="shared" si="65"/>
        <v>0</v>
      </c>
      <c r="N86" s="3555"/>
      <c r="O86" s="1277"/>
      <c r="P86" s="1277"/>
      <c r="Q86" s="1277"/>
      <c r="R86" s="1277"/>
      <c r="S86" s="1277"/>
      <c r="T86" s="1277"/>
      <c r="U86" s="1277"/>
      <c r="V86" s="1277"/>
      <c r="W86" s="1277"/>
      <c r="X86" s="1277"/>
      <c r="Y86" s="1277"/>
      <c r="Z86" s="1277"/>
      <c r="AA86" s="1277"/>
      <c r="AB86" s="1277"/>
      <c r="AC86" s="1277"/>
      <c r="AD86" s="1277"/>
      <c r="AE86" s="1277"/>
      <c r="AF86" s="1277"/>
      <c r="AG86" s="1277"/>
      <c r="AH86" s="1277"/>
      <c r="AI86" s="1277"/>
      <c r="AJ86" s="1277"/>
      <c r="AK86" s="1277"/>
      <c r="AL86" s="1277"/>
      <c r="AM86" s="1277"/>
      <c r="AN86" s="1277"/>
      <c r="AO86" s="1277"/>
      <c r="AP86" s="1277"/>
      <c r="AQ86" s="1277"/>
      <c r="AR86" s="1277"/>
      <c r="AS86" s="1277"/>
      <c r="AT86" s="1277"/>
      <c r="AU86" s="1277"/>
      <c r="AV86" s="1277"/>
      <c r="AW86" s="1277"/>
      <c r="AX86" s="1277"/>
      <c r="AY86" s="1277"/>
      <c r="AZ86" s="1277"/>
      <c r="BA86" s="1277"/>
      <c r="BB86" s="1277"/>
      <c r="BC86" s="1277"/>
      <c r="BD86" s="1277"/>
      <c r="BE86" s="1277"/>
      <c r="BF86" s="1277"/>
      <c r="BG86" s="1277"/>
      <c r="BH86" s="1277"/>
      <c r="BI86" s="1277"/>
      <c r="BJ86" s="1277"/>
      <c r="BK86" s="1277"/>
      <c r="BL86" s="1277"/>
      <c r="BM86" s="1277"/>
      <c r="BN86" s="1277"/>
    </row>
    <row r="87" spans="1:66" s="273" customFormat="1" ht="13.5" customHeight="1" x14ac:dyDescent="0.2">
      <c r="A87" s="3552"/>
      <c r="B87" s="512" t="s">
        <v>16</v>
      </c>
      <c r="C87" s="1721"/>
      <c r="D87" s="1722">
        <f>D90+D88</f>
        <v>19634187</v>
      </c>
      <c r="E87" s="1320">
        <f>E90</f>
        <v>0</v>
      </c>
      <c r="F87" s="1320">
        <f>F90+F88</f>
        <v>6444</v>
      </c>
      <c r="G87" s="1320">
        <f>G90+G88</f>
        <v>89342</v>
      </c>
      <c r="H87" s="1317">
        <f>H90+H88</f>
        <v>19538401</v>
      </c>
      <c r="I87" s="1722">
        <f>K87+E87+F87</f>
        <v>95786</v>
      </c>
      <c r="J87" s="1723">
        <f t="shared" si="67"/>
        <v>0.48785315124074147</v>
      </c>
      <c r="K87" s="1320">
        <f>K90+K88</f>
        <v>89342</v>
      </c>
      <c r="L87" s="1319">
        <f t="shared" si="68"/>
        <v>100</v>
      </c>
      <c r="M87" s="1320">
        <f t="shared" si="65"/>
        <v>0</v>
      </c>
      <c r="N87" s="3555"/>
      <c r="O87" s="1277"/>
      <c r="P87" s="1277"/>
      <c r="Q87" s="1277"/>
      <c r="R87" s="1277"/>
      <c r="S87" s="1277"/>
      <c r="T87" s="1277"/>
      <c r="U87" s="1277"/>
      <c r="V87" s="1277"/>
      <c r="W87" s="1277"/>
      <c r="X87" s="1277"/>
      <c r="Y87" s="1277"/>
      <c r="Z87" s="1277"/>
      <c r="AA87" s="1277"/>
      <c r="AB87" s="1277"/>
      <c r="AC87" s="1277"/>
      <c r="AD87" s="1277"/>
      <c r="AE87" s="1277"/>
      <c r="AF87" s="1277"/>
      <c r="AG87" s="1277"/>
      <c r="AH87" s="1277"/>
      <c r="AI87" s="1277"/>
      <c r="AJ87" s="1277"/>
      <c r="AK87" s="1277"/>
      <c r="AL87" s="1277"/>
      <c r="AM87" s="1277"/>
      <c r="AN87" s="1277"/>
      <c r="AO87" s="1277"/>
      <c r="AP87" s="1277"/>
      <c r="AQ87" s="1277"/>
      <c r="AR87" s="1277"/>
      <c r="AS87" s="1277"/>
      <c r="AT87" s="1277"/>
      <c r="AU87" s="1277"/>
      <c r="AV87" s="1277"/>
      <c r="AW87" s="1277"/>
      <c r="AX87" s="1277"/>
      <c r="AY87" s="1277"/>
      <c r="AZ87" s="1277"/>
      <c r="BA87" s="1277"/>
      <c r="BB87" s="1277"/>
      <c r="BC87" s="1277"/>
      <c r="BD87" s="1277"/>
      <c r="BE87" s="1277"/>
      <c r="BF87" s="1277"/>
      <c r="BG87" s="1277"/>
      <c r="BH87" s="1277"/>
      <c r="BI87" s="1277"/>
      <c r="BJ87" s="1277"/>
      <c r="BK87" s="1277"/>
      <c r="BL87" s="1277"/>
      <c r="BM87" s="1277"/>
      <c r="BN87" s="1277"/>
    </row>
    <row r="88" spans="1:66" s="273" customFormat="1" ht="13.5" customHeight="1" x14ac:dyDescent="0.2">
      <c r="A88" s="3552"/>
      <c r="B88" s="486" t="s">
        <v>17</v>
      </c>
      <c r="C88" s="2177"/>
      <c r="D88" s="2234">
        <f t="shared" ref="D88:H88" si="70">+D89</f>
        <v>4429602</v>
      </c>
      <c r="E88" s="2159">
        <f t="shared" si="70"/>
        <v>0</v>
      </c>
      <c r="F88" s="2159">
        <f t="shared" si="70"/>
        <v>6444</v>
      </c>
      <c r="G88" s="1481">
        <f t="shared" si="70"/>
        <v>89342</v>
      </c>
      <c r="H88" s="1482">
        <f t="shared" si="70"/>
        <v>4333816</v>
      </c>
      <c r="I88" s="2234">
        <f t="shared" si="29"/>
        <v>95786</v>
      </c>
      <c r="J88" s="2243">
        <f t="shared" si="67"/>
        <v>2.1624064645085492</v>
      </c>
      <c r="K88" s="1481">
        <f>+K89</f>
        <v>89342</v>
      </c>
      <c r="L88" s="2244">
        <f t="shared" si="68"/>
        <v>100</v>
      </c>
      <c r="M88" s="1481">
        <f t="shared" si="65"/>
        <v>0</v>
      </c>
      <c r="N88" s="3555"/>
      <c r="O88" s="1277"/>
      <c r="P88" s="1277"/>
      <c r="Q88" s="1277"/>
      <c r="R88" s="1277"/>
      <c r="S88" s="1277"/>
      <c r="T88" s="1277"/>
      <c r="U88" s="1277"/>
      <c r="V88" s="1277"/>
      <c r="W88" s="1277"/>
      <c r="X88" s="1277"/>
      <c r="Y88" s="1277"/>
      <c r="Z88" s="1277"/>
      <c r="AA88" s="1277"/>
      <c r="AB88" s="1277"/>
      <c r="AC88" s="1277"/>
      <c r="AD88" s="1277"/>
      <c r="AE88" s="1277"/>
      <c r="AF88" s="1277"/>
      <c r="AG88" s="1277"/>
      <c r="AH88" s="1277"/>
      <c r="AI88" s="1277"/>
      <c r="AJ88" s="1277"/>
      <c r="AK88" s="1277"/>
      <c r="AL88" s="1277"/>
      <c r="AM88" s="1277"/>
      <c r="AN88" s="1277"/>
      <c r="AO88" s="1277"/>
      <c r="AP88" s="1277"/>
      <c r="AQ88" s="1277"/>
      <c r="AR88" s="1277"/>
      <c r="AS88" s="1277"/>
      <c r="AT88" s="1277"/>
      <c r="AU88" s="1277"/>
      <c r="AV88" s="1277"/>
      <c r="AW88" s="1277"/>
      <c r="AX88" s="1277"/>
      <c r="AY88" s="1277"/>
      <c r="AZ88" s="1277"/>
      <c r="BA88" s="1277"/>
      <c r="BB88" s="1277"/>
      <c r="BC88" s="1277"/>
      <c r="BD88" s="1277"/>
      <c r="BE88" s="1277"/>
      <c r="BF88" s="1277"/>
      <c r="BG88" s="1277"/>
      <c r="BH88" s="1277"/>
      <c r="BI88" s="1277"/>
      <c r="BJ88" s="1277"/>
      <c r="BK88" s="1277"/>
      <c r="BL88" s="1277"/>
      <c r="BM88" s="1277"/>
      <c r="BN88" s="1277"/>
    </row>
    <row r="89" spans="1:66" s="273" customFormat="1" ht="13.5" customHeight="1" x14ac:dyDescent="0.2">
      <c r="A89" s="3552"/>
      <c r="B89" s="2237" t="s">
        <v>151</v>
      </c>
      <c r="C89" s="2177"/>
      <c r="D89" s="2153">
        <f>+E89+F89+G89+H89</f>
        <v>4429602</v>
      </c>
      <c r="E89" s="1463">
        <v>0</v>
      </c>
      <c r="F89" s="1463">
        <v>6444</v>
      </c>
      <c r="G89" s="1463">
        <v>89342</v>
      </c>
      <c r="H89" s="1488">
        <v>4333816</v>
      </c>
      <c r="I89" s="2158">
        <f t="shared" si="29"/>
        <v>95786</v>
      </c>
      <c r="J89" s="2243">
        <f t="shared" si="67"/>
        <v>2.1624064645085492</v>
      </c>
      <c r="K89" s="1463">
        <v>89342</v>
      </c>
      <c r="L89" s="2244">
        <f t="shared" si="68"/>
        <v>100</v>
      </c>
      <c r="M89" s="1463">
        <f t="shared" si="65"/>
        <v>0</v>
      </c>
      <c r="N89" s="3555"/>
      <c r="O89" s="1277"/>
      <c r="P89" s="1277"/>
      <c r="Q89" s="1277"/>
      <c r="R89" s="1277"/>
      <c r="S89" s="1277"/>
      <c r="T89" s="1277"/>
      <c r="U89" s="1277"/>
      <c r="V89" s="1277"/>
      <c r="W89" s="1277"/>
      <c r="X89" s="1277"/>
      <c r="Y89" s="1277"/>
      <c r="Z89" s="1277"/>
      <c r="AA89" s="1277"/>
      <c r="AB89" s="1277"/>
      <c r="AC89" s="1277"/>
      <c r="AD89" s="1277"/>
      <c r="AE89" s="1277"/>
      <c r="AF89" s="1277"/>
      <c r="AG89" s="1277"/>
      <c r="AH89" s="1277"/>
      <c r="AI89" s="1277"/>
      <c r="AJ89" s="1277"/>
      <c r="AK89" s="1277"/>
      <c r="AL89" s="1277"/>
      <c r="AM89" s="1277"/>
      <c r="AN89" s="1277"/>
      <c r="AO89" s="1277"/>
      <c r="AP89" s="1277"/>
      <c r="AQ89" s="1277"/>
      <c r="AR89" s="1277"/>
      <c r="AS89" s="1277"/>
      <c r="AT89" s="1277"/>
      <c r="AU89" s="1277"/>
      <c r="AV89" s="1277"/>
      <c r="AW89" s="1277"/>
      <c r="AX89" s="1277"/>
      <c r="AY89" s="1277"/>
      <c r="AZ89" s="1277"/>
      <c r="BA89" s="1277"/>
      <c r="BB89" s="1277"/>
      <c r="BC89" s="1277"/>
      <c r="BD89" s="1277"/>
      <c r="BE89" s="1277"/>
      <c r="BF89" s="1277"/>
      <c r="BG89" s="1277"/>
      <c r="BH89" s="1277"/>
      <c r="BI89" s="1277"/>
      <c r="BJ89" s="1277"/>
      <c r="BK89" s="1277"/>
      <c r="BL89" s="1277"/>
      <c r="BM89" s="1277"/>
      <c r="BN89" s="1277"/>
    </row>
    <row r="90" spans="1:66" s="273" customFormat="1" ht="13.5" customHeight="1" x14ac:dyDescent="0.2">
      <c r="A90" s="3552"/>
      <c r="B90" s="1878" t="s">
        <v>12</v>
      </c>
      <c r="C90" s="3200" t="s">
        <v>128</v>
      </c>
      <c r="D90" s="2234">
        <f>+D91</f>
        <v>15204585</v>
      </c>
      <c r="E90" s="1481">
        <f t="shared" ref="E90:F90" si="71">+E91</f>
        <v>0</v>
      </c>
      <c r="F90" s="1481">
        <f t="shared" si="71"/>
        <v>0</v>
      </c>
      <c r="G90" s="1481">
        <f>+G91</f>
        <v>0</v>
      </c>
      <c r="H90" s="1482">
        <f>+H91</f>
        <v>15204585</v>
      </c>
      <c r="I90" s="2234">
        <f t="shared" si="29"/>
        <v>0</v>
      </c>
      <c r="J90" s="2235">
        <f t="shared" si="67"/>
        <v>0</v>
      </c>
      <c r="K90" s="1481">
        <f>+K91</f>
        <v>0</v>
      </c>
      <c r="L90" s="2239">
        <v>0</v>
      </c>
      <c r="M90" s="1481">
        <f t="shared" si="65"/>
        <v>0</v>
      </c>
      <c r="N90" s="3555"/>
      <c r="O90" s="1277"/>
      <c r="P90" s="1277"/>
      <c r="Q90" s="1277"/>
      <c r="R90" s="1277"/>
      <c r="S90" s="1277"/>
      <c r="T90" s="1277"/>
      <c r="U90" s="1277"/>
      <c r="V90" s="1277"/>
      <c r="W90" s="1277"/>
      <c r="X90" s="1277"/>
      <c r="Y90" s="1277"/>
      <c r="Z90" s="1277"/>
      <c r="AA90" s="1277"/>
      <c r="AB90" s="1277"/>
      <c r="AC90" s="1277"/>
      <c r="AD90" s="1277"/>
      <c r="AE90" s="1277"/>
      <c r="AF90" s="1277"/>
      <c r="AG90" s="1277"/>
      <c r="AH90" s="1277"/>
      <c r="AI90" s="1277"/>
      <c r="AJ90" s="1277"/>
      <c r="AK90" s="1277"/>
      <c r="AL90" s="1277"/>
      <c r="AM90" s="1277"/>
      <c r="AN90" s="1277"/>
      <c r="AO90" s="1277"/>
      <c r="AP90" s="1277"/>
      <c r="AQ90" s="1277"/>
      <c r="AR90" s="1277"/>
      <c r="AS90" s="1277"/>
      <c r="AT90" s="1277"/>
      <c r="AU90" s="1277"/>
      <c r="AV90" s="1277"/>
      <c r="AW90" s="1277"/>
      <c r="AX90" s="1277"/>
      <c r="AY90" s="1277"/>
      <c r="AZ90" s="1277"/>
      <c r="BA90" s="1277"/>
      <c r="BB90" s="1277"/>
      <c r="BC90" s="1277"/>
      <c r="BD90" s="1277"/>
      <c r="BE90" s="1277"/>
      <c r="BF90" s="1277"/>
      <c r="BG90" s="1277"/>
      <c r="BH90" s="1277"/>
      <c r="BI90" s="1277"/>
      <c r="BJ90" s="1277"/>
      <c r="BK90" s="1277"/>
      <c r="BL90" s="1277"/>
      <c r="BM90" s="1277"/>
      <c r="BN90" s="1277"/>
    </row>
    <row r="91" spans="1:66" s="273" customFormat="1" ht="13.5" customHeight="1" thickBot="1" x14ac:dyDescent="0.25">
      <c r="A91" s="3553"/>
      <c r="B91" s="2231" t="s">
        <v>15</v>
      </c>
      <c r="C91" s="3558"/>
      <c r="D91" s="1769">
        <f>+E91+F91+G91+H91</f>
        <v>15204585</v>
      </c>
      <c r="E91" s="1770">
        <v>0</v>
      </c>
      <c r="F91" s="1770">
        <v>0</v>
      </c>
      <c r="G91" s="1770">
        <v>0</v>
      </c>
      <c r="H91" s="2245">
        <v>15204585</v>
      </c>
      <c r="I91" s="1769">
        <f t="shared" si="29"/>
        <v>0</v>
      </c>
      <c r="J91" s="2232">
        <f t="shared" si="67"/>
        <v>0</v>
      </c>
      <c r="K91" s="1770">
        <v>0</v>
      </c>
      <c r="L91" s="2233">
        <v>0</v>
      </c>
      <c r="M91" s="1770">
        <f t="shared" si="65"/>
        <v>0</v>
      </c>
      <c r="N91" s="3556"/>
      <c r="O91" s="1277"/>
      <c r="P91" s="1277"/>
      <c r="Q91" s="1277"/>
      <c r="R91" s="1277"/>
      <c r="S91" s="1277"/>
      <c r="T91" s="1277"/>
      <c r="U91" s="1277"/>
      <c r="V91" s="1277"/>
      <c r="W91" s="1277"/>
      <c r="X91" s="1277"/>
      <c r="Y91" s="1277"/>
      <c r="Z91" s="1277"/>
      <c r="AA91" s="1277"/>
      <c r="AB91" s="1277"/>
      <c r="AC91" s="1277"/>
      <c r="AD91" s="1277"/>
      <c r="AE91" s="1277"/>
      <c r="AF91" s="1277"/>
      <c r="AG91" s="1277"/>
      <c r="AH91" s="1277"/>
      <c r="AI91" s="1277"/>
      <c r="AJ91" s="1277"/>
      <c r="AK91" s="1277"/>
      <c r="AL91" s="1277"/>
      <c r="AM91" s="1277"/>
      <c r="AN91" s="1277"/>
      <c r="AO91" s="1277"/>
      <c r="AP91" s="1277"/>
      <c r="AQ91" s="1277"/>
      <c r="AR91" s="1277"/>
      <c r="AS91" s="1277"/>
      <c r="AT91" s="1277"/>
      <c r="AU91" s="1277"/>
      <c r="AV91" s="1277"/>
      <c r="AW91" s="1277"/>
      <c r="AX91" s="1277"/>
      <c r="AY91" s="1277"/>
      <c r="AZ91" s="1277"/>
      <c r="BA91" s="1277"/>
      <c r="BB91" s="1277"/>
      <c r="BC91" s="1277"/>
      <c r="BD91" s="1277"/>
      <c r="BE91" s="1277"/>
      <c r="BF91" s="1277"/>
      <c r="BG91" s="1277"/>
      <c r="BH91" s="1277"/>
      <c r="BI91" s="1277"/>
      <c r="BJ91" s="1277"/>
      <c r="BK91" s="1277"/>
      <c r="BL91" s="1277"/>
      <c r="BM91" s="1277"/>
      <c r="BN91" s="1277"/>
    </row>
  </sheetData>
  <mergeCells count="49">
    <mergeCell ref="N4:N7"/>
    <mergeCell ref="J5:J7"/>
    <mergeCell ref="K5:M5"/>
    <mergeCell ref="D5:D7"/>
    <mergeCell ref="E5:E7"/>
    <mergeCell ref="F5:F7"/>
    <mergeCell ref="G5:H5"/>
    <mergeCell ref="G6:G7"/>
    <mergeCell ref="H6:H7"/>
    <mergeCell ref="D4:H4"/>
    <mergeCell ref="I5:I7"/>
    <mergeCell ref="K6:K7"/>
    <mergeCell ref="L6:L7"/>
    <mergeCell ref="M6:M7"/>
    <mergeCell ref="I4:M4"/>
    <mergeCell ref="A4:A7"/>
    <mergeCell ref="B4:B7"/>
    <mergeCell ref="C4:C7"/>
    <mergeCell ref="C19:C20"/>
    <mergeCell ref="C21:C22"/>
    <mergeCell ref="A8:B8"/>
    <mergeCell ref="A23:A31"/>
    <mergeCell ref="N23:N31"/>
    <mergeCell ref="C25:C28"/>
    <mergeCell ref="C30:C31"/>
    <mergeCell ref="A12:A22"/>
    <mergeCell ref="C13:C17"/>
    <mergeCell ref="C46:C50"/>
    <mergeCell ref="C54:C55"/>
    <mergeCell ref="A32:A43"/>
    <mergeCell ref="N32:N43"/>
    <mergeCell ref="C34:C38"/>
    <mergeCell ref="C42:C43"/>
    <mergeCell ref="C64:C67"/>
    <mergeCell ref="K1:L1"/>
    <mergeCell ref="A80:A91"/>
    <mergeCell ref="N80:N91"/>
    <mergeCell ref="C82:C86"/>
    <mergeCell ref="C90:C91"/>
    <mergeCell ref="N56:N65"/>
    <mergeCell ref="C58:C59"/>
    <mergeCell ref="A56:A65"/>
    <mergeCell ref="A68:A79"/>
    <mergeCell ref="N68:N79"/>
    <mergeCell ref="C70:C74"/>
    <mergeCell ref="C78:C79"/>
    <mergeCell ref="N12:N22"/>
    <mergeCell ref="A44:A55"/>
    <mergeCell ref="N44:N55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07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7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I335"/>
  <sheetViews>
    <sheetView showGridLines="0" view="pageBreakPreview" zoomScaleNormal="100" zoomScaleSheetLayoutView="100" workbookViewId="0">
      <selection activeCell="M258" sqref="M258"/>
    </sheetView>
  </sheetViews>
  <sheetFormatPr defaultRowHeight="11.25" outlineLevelRow="1" x14ac:dyDescent="0.2"/>
  <cols>
    <col min="1" max="1" width="3.7109375" style="2249" customWidth="1"/>
    <col min="2" max="2" width="49.7109375" style="274" customWidth="1"/>
    <col min="3" max="3" width="10.85546875" style="274" customWidth="1"/>
    <col min="4" max="4" width="14.140625" style="274" customWidth="1"/>
    <col min="5" max="5" width="16.140625" style="274" hidden="1" customWidth="1"/>
    <col min="6" max="6" width="13" style="274" hidden="1" customWidth="1"/>
    <col min="7" max="7" width="12.28515625" style="274" customWidth="1"/>
    <col min="8" max="8" width="12.7109375" style="274" customWidth="1"/>
    <col min="9" max="9" width="13.28515625" style="1582" customWidth="1"/>
    <col min="10" max="10" width="9.7109375" style="1582" customWidth="1"/>
    <col min="11" max="11" width="11" style="1582" customWidth="1"/>
    <col min="12" max="12" width="9.140625" style="1582" customWidth="1"/>
    <col min="13" max="13" width="11.85546875" style="1582" customWidth="1"/>
    <col min="14" max="14" width="14.28515625" style="2253" customWidth="1"/>
    <col min="15" max="16384" width="9.140625" style="274"/>
  </cols>
  <sheetData>
    <row r="1" spans="1:61" ht="20.25" customHeight="1" x14ac:dyDescent="0.3">
      <c r="A1" s="1559"/>
      <c r="I1" s="43"/>
      <c r="J1" s="43"/>
      <c r="K1" s="43" t="s">
        <v>377</v>
      </c>
      <c r="L1" s="43"/>
    </row>
    <row r="2" spans="1:61" ht="25.5" customHeight="1" thickBot="1" x14ac:dyDescent="0.25">
      <c r="A2" s="1559"/>
      <c r="C2" s="1582"/>
      <c r="D2" s="2254"/>
      <c r="G2" s="1582"/>
      <c r="H2" s="1582"/>
      <c r="I2" s="1079"/>
      <c r="J2" s="1256"/>
      <c r="K2" s="1079"/>
      <c r="L2" s="1079"/>
      <c r="M2" s="1079"/>
      <c r="N2" s="1080"/>
    </row>
    <row r="3" spans="1:61" s="2079" customFormat="1" ht="50.25" customHeight="1" thickBot="1" x14ac:dyDescent="0.25">
      <c r="A3" s="3498" t="s">
        <v>162</v>
      </c>
      <c r="B3" s="3712"/>
      <c r="C3" s="3712"/>
      <c r="D3" s="3712"/>
      <c r="E3" s="3712"/>
      <c r="F3" s="3712"/>
      <c r="G3" s="3712"/>
      <c r="H3" s="3712"/>
      <c r="I3" s="3712"/>
      <c r="J3" s="3712"/>
      <c r="K3" s="3712"/>
      <c r="L3" s="3712"/>
      <c r="M3" s="3712"/>
      <c r="N3" s="3713"/>
      <c r="O3" s="2078"/>
      <c r="P3" s="2078"/>
      <c r="Q3" s="2078"/>
      <c r="R3" s="2078"/>
      <c r="S3" s="2078"/>
      <c r="T3" s="2078"/>
      <c r="U3" s="2078"/>
      <c r="V3" s="2078"/>
      <c r="W3" s="2078"/>
      <c r="X3" s="2078"/>
      <c r="Y3" s="2078"/>
      <c r="Z3" s="2078"/>
      <c r="AA3" s="2078"/>
      <c r="AB3" s="2078"/>
      <c r="AC3" s="2078"/>
      <c r="AD3" s="2078"/>
      <c r="AE3" s="2078"/>
      <c r="AF3" s="2078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</row>
    <row r="4" spans="1:61" s="20" customFormat="1" ht="33.75" customHeight="1" x14ac:dyDescent="0.2">
      <c r="A4" s="3714" t="s">
        <v>24</v>
      </c>
      <c r="B4" s="3717" t="s">
        <v>25</v>
      </c>
      <c r="C4" s="3720" t="s">
        <v>26</v>
      </c>
      <c r="D4" s="3010" t="s">
        <v>317</v>
      </c>
      <c r="E4" s="3011"/>
      <c r="F4" s="3011"/>
      <c r="G4" s="3011"/>
      <c r="H4" s="3012"/>
      <c r="I4" s="3010" t="s">
        <v>314</v>
      </c>
      <c r="J4" s="3011"/>
      <c r="K4" s="3011"/>
      <c r="L4" s="3011"/>
      <c r="M4" s="3011"/>
      <c r="N4" s="3253" t="s">
        <v>27</v>
      </c>
    </row>
    <row r="5" spans="1:61" ht="27" customHeight="1" x14ac:dyDescent="0.2">
      <c r="A5" s="3715"/>
      <c r="B5" s="3718"/>
      <c r="C5" s="3721"/>
      <c r="D5" s="3013" t="s">
        <v>0</v>
      </c>
      <c r="E5" s="3042" t="s">
        <v>163</v>
      </c>
      <c r="F5" s="3045" t="s">
        <v>286</v>
      </c>
      <c r="G5" s="3032" t="s">
        <v>260</v>
      </c>
      <c r="H5" s="3033"/>
      <c r="I5" s="3226" t="s">
        <v>311</v>
      </c>
      <c r="J5" s="3256" t="s">
        <v>309</v>
      </c>
      <c r="K5" s="3040" t="s">
        <v>339</v>
      </c>
      <c r="L5" s="3041"/>
      <c r="M5" s="3041"/>
      <c r="N5" s="3254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</row>
    <row r="6" spans="1:61" ht="41.25" customHeight="1" x14ac:dyDescent="0.2">
      <c r="A6" s="3715"/>
      <c r="B6" s="3718"/>
      <c r="C6" s="3721"/>
      <c r="D6" s="3014"/>
      <c r="E6" s="3043"/>
      <c r="F6" s="3046"/>
      <c r="G6" s="3034" t="s">
        <v>318</v>
      </c>
      <c r="H6" s="3036" t="s">
        <v>221</v>
      </c>
      <c r="I6" s="3227"/>
      <c r="J6" s="3257"/>
      <c r="K6" s="2998" t="s">
        <v>319</v>
      </c>
      <c r="L6" s="3230" t="s">
        <v>310</v>
      </c>
      <c r="M6" s="3723" t="s">
        <v>315</v>
      </c>
      <c r="N6" s="3710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</row>
    <row r="7" spans="1:61" ht="58.5" customHeight="1" thickBot="1" x14ac:dyDescent="0.25">
      <c r="A7" s="3716"/>
      <c r="B7" s="3719"/>
      <c r="C7" s="3722"/>
      <c r="D7" s="3234"/>
      <c r="E7" s="3235"/>
      <c r="F7" s="3236"/>
      <c r="G7" s="3237"/>
      <c r="H7" s="3238"/>
      <c r="I7" s="3228"/>
      <c r="J7" s="3258"/>
      <c r="K7" s="3229"/>
      <c r="L7" s="3231"/>
      <c r="M7" s="3724"/>
      <c r="N7" s="3711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</row>
    <row r="8" spans="1:61" ht="14.25" customHeight="1" thickBot="1" x14ac:dyDescent="0.25">
      <c r="A8" s="3708">
        <v>1</v>
      </c>
      <c r="B8" s="3709"/>
      <c r="C8" s="2255">
        <v>2</v>
      </c>
      <c r="D8" s="1589">
        <v>3</v>
      </c>
      <c r="E8" s="1590"/>
      <c r="F8" s="1590"/>
      <c r="G8" s="1590">
        <v>4</v>
      </c>
      <c r="H8" s="1591">
        <v>5</v>
      </c>
      <c r="I8" s="1589">
        <v>6</v>
      </c>
      <c r="J8" s="1801">
        <v>7</v>
      </c>
      <c r="K8" s="1801">
        <v>8</v>
      </c>
      <c r="L8" s="1802">
        <v>9</v>
      </c>
      <c r="M8" s="1801">
        <v>10</v>
      </c>
      <c r="N8" s="2256">
        <v>11</v>
      </c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</row>
    <row r="9" spans="1:61" ht="24.75" customHeight="1" thickBot="1" x14ac:dyDescent="0.25">
      <c r="A9" s="2257"/>
      <c r="B9" s="267" t="s">
        <v>164</v>
      </c>
      <c r="C9" s="268"/>
      <c r="D9" s="50">
        <f t="shared" ref="D9:H9" si="0">D10+D11</f>
        <v>291264055.04000002</v>
      </c>
      <c r="E9" s="51">
        <f t="shared" si="0"/>
        <v>122856953.39999999</v>
      </c>
      <c r="F9" s="51">
        <f t="shared" si="0"/>
        <v>56128098.640000001</v>
      </c>
      <c r="G9" s="51">
        <f t="shared" si="0"/>
        <v>41646446</v>
      </c>
      <c r="H9" s="55">
        <f t="shared" si="0"/>
        <v>70632557</v>
      </c>
      <c r="I9" s="2258">
        <f t="shared" ref="I9" si="1">I10+I11</f>
        <v>220200040.48999998</v>
      </c>
      <c r="J9" s="2259">
        <f t="shared" ref="J9:J32" si="2">I9/D9*100</f>
        <v>75.601515765396925</v>
      </c>
      <c r="K9" s="2260">
        <f>K10+K11</f>
        <v>41214988.450000003</v>
      </c>
      <c r="L9" s="2259">
        <f t="shared" ref="L9:L18" si="3">K9/G9*100</f>
        <v>98.963999112913498</v>
      </c>
      <c r="M9" s="51">
        <f>+K9-G9</f>
        <v>-431457.54999999702</v>
      </c>
      <c r="N9" s="1244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</row>
    <row r="10" spans="1:61" s="285" customFormat="1" ht="15.75" customHeight="1" thickTop="1" x14ac:dyDescent="0.2">
      <c r="A10" s="1806"/>
      <c r="B10" s="276" t="s">
        <v>165</v>
      </c>
      <c r="C10" s="277"/>
      <c r="D10" s="62">
        <f t="shared" ref="D10:H10" si="4">D74+D191+D221</f>
        <v>44734305.700000003</v>
      </c>
      <c r="E10" s="1262">
        <f t="shared" si="4"/>
        <v>17470258.699999999</v>
      </c>
      <c r="F10" s="60">
        <f t="shared" si="4"/>
        <v>6462196</v>
      </c>
      <c r="G10" s="60">
        <f t="shared" si="4"/>
        <v>8347064</v>
      </c>
      <c r="H10" s="61">
        <f t="shared" si="4"/>
        <v>12454787</v>
      </c>
      <c r="I10" s="2261">
        <f t="shared" ref="I10" si="5">I74+I191+I221</f>
        <v>31797057.040000003</v>
      </c>
      <c r="J10" s="2262">
        <f t="shared" si="2"/>
        <v>71.079804508958773</v>
      </c>
      <c r="K10" s="2263">
        <f>K74+K191+K221</f>
        <v>7864602.3399999999</v>
      </c>
      <c r="L10" s="2262">
        <f t="shared" si="3"/>
        <v>94.219983697261682</v>
      </c>
      <c r="M10" s="60">
        <f t="shared" ref="M10:M72" si="6">+K10-G10</f>
        <v>-482461.66000000015</v>
      </c>
      <c r="N10" s="1805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</row>
    <row r="11" spans="1:61" s="285" customFormat="1" ht="17.25" customHeight="1" thickBot="1" x14ac:dyDescent="0.25">
      <c r="A11" s="1806"/>
      <c r="B11" s="1807" t="s">
        <v>166</v>
      </c>
      <c r="C11" s="1808"/>
      <c r="D11" s="2264">
        <f t="shared" ref="D11:H11" si="7">D34+D48+D61+D93+D109+D120+D131+D206</f>
        <v>246529749.34</v>
      </c>
      <c r="E11" s="2265">
        <f t="shared" si="7"/>
        <v>105386694.69999999</v>
      </c>
      <c r="F11" s="2266">
        <f t="shared" si="7"/>
        <v>49665902.640000001</v>
      </c>
      <c r="G11" s="2266">
        <f>G34+G48+G61+G93+G109+G120+G131+G206</f>
        <v>33299382</v>
      </c>
      <c r="H11" s="2267">
        <f t="shared" si="7"/>
        <v>58177770</v>
      </c>
      <c r="I11" s="2268">
        <f t="shared" ref="I11" si="8">I34+I48+I61+I93+I109+I120+I131+I206</f>
        <v>188402983.44999999</v>
      </c>
      <c r="J11" s="2269">
        <f t="shared" si="2"/>
        <v>76.422007467409202</v>
      </c>
      <c r="K11" s="2270">
        <f>K34+K48+K61+K93+K109+K120+K131+K206</f>
        <v>33350386.109999999</v>
      </c>
      <c r="L11" s="2269">
        <f t="shared" si="3"/>
        <v>100.15316833807906</v>
      </c>
      <c r="M11" s="1810">
        <f t="shared" si="6"/>
        <v>51004.109999999404</v>
      </c>
      <c r="N11" s="1805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</row>
    <row r="12" spans="1:61" s="2276" customFormat="1" ht="16.5" customHeight="1" x14ac:dyDescent="0.2">
      <c r="A12" s="3617"/>
      <c r="B12" s="297" t="s">
        <v>2</v>
      </c>
      <c r="C12" s="2271"/>
      <c r="D12" s="2272">
        <f>+D13+D18</f>
        <v>291264055.03999996</v>
      </c>
      <c r="E12" s="1276">
        <f t="shared" ref="E12:G12" si="9">+E13+E18</f>
        <v>122856953.40000001</v>
      </c>
      <c r="F12" s="1276">
        <f t="shared" si="9"/>
        <v>56128098.640000001</v>
      </c>
      <c r="G12" s="1276">
        <f t="shared" si="9"/>
        <v>41646446</v>
      </c>
      <c r="H12" s="1271">
        <f>+H13+H18</f>
        <v>70632557</v>
      </c>
      <c r="I12" s="2272">
        <f>+I13+I18</f>
        <v>220200040.49000001</v>
      </c>
      <c r="J12" s="2273">
        <f t="shared" si="2"/>
        <v>75.60151576539694</v>
      </c>
      <c r="K12" s="2274">
        <f>+K13+K18</f>
        <v>41214988.450000003</v>
      </c>
      <c r="L12" s="2273">
        <f t="shared" si="3"/>
        <v>98.963999112913498</v>
      </c>
      <c r="M12" s="1276">
        <f t="shared" si="6"/>
        <v>-431457.54999999702</v>
      </c>
      <c r="N12" s="3705"/>
      <c r="O12" s="2275"/>
      <c r="P12" s="2275"/>
      <c r="Q12" s="2275"/>
      <c r="R12" s="2275"/>
      <c r="S12" s="2275"/>
      <c r="T12" s="2275"/>
      <c r="U12" s="2275"/>
      <c r="V12" s="2275"/>
      <c r="W12" s="2275"/>
      <c r="X12" s="2275"/>
      <c r="Y12" s="2275"/>
      <c r="Z12" s="2275"/>
      <c r="AA12" s="2275"/>
      <c r="AB12" s="2275"/>
      <c r="AC12" s="2275"/>
      <c r="AD12" s="2275"/>
      <c r="AE12" s="2275"/>
      <c r="AF12" s="2275"/>
      <c r="AG12" s="2275"/>
      <c r="AH12" s="2275"/>
      <c r="AI12" s="2275"/>
      <c r="AJ12" s="2275"/>
      <c r="AK12" s="2275"/>
      <c r="AL12" s="2275"/>
      <c r="AM12" s="2275"/>
      <c r="AN12" s="2275"/>
      <c r="AO12" s="2275"/>
      <c r="AP12" s="2275"/>
      <c r="AQ12" s="2275"/>
      <c r="AR12" s="2275"/>
      <c r="AS12" s="2275"/>
      <c r="AT12" s="2275"/>
      <c r="AU12" s="2275"/>
      <c r="AV12" s="2275"/>
      <c r="AW12" s="2275"/>
      <c r="AX12" s="2275"/>
      <c r="AY12" s="2275"/>
      <c r="AZ12" s="2275"/>
      <c r="BA12" s="2275"/>
      <c r="BB12" s="2275"/>
      <c r="BC12" s="2275"/>
      <c r="BD12" s="2275"/>
      <c r="BE12" s="2275"/>
      <c r="BF12" s="2275"/>
      <c r="BG12" s="2275"/>
      <c r="BH12" s="2275"/>
      <c r="BI12" s="2275"/>
    </row>
    <row r="13" spans="1:61" s="2282" customFormat="1" ht="16.5" customHeight="1" x14ac:dyDescent="0.2">
      <c r="A13" s="3618"/>
      <c r="B13" s="1971" t="s">
        <v>3</v>
      </c>
      <c r="C13" s="3706"/>
      <c r="D13" s="2277">
        <f t="shared" ref="D13" si="10">SUM(D14:D17)</f>
        <v>116190620.40000001</v>
      </c>
      <c r="E13" s="2278">
        <f>SUM(E14:E17)</f>
        <v>48987226.399999999</v>
      </c>
      <c r="F13" s="2278">
        <f t="shared" ref="F13:H13" si="11">SUM(F14:F17)</f>
        <v>24656846</v>
      </c>
      <c r="G13" s="2278">
        <f t="shared" si="11"/>
        <v>17352953</v>
      </c>
      <c r="H13" s="2279">
        <f t="shared" si="11"/>
        <v>25193595</v>
      </c>
      <c r="I13" s="2277">
        <f t="shared" ref="I13" si="12">SUM(I14:I17)</f>
        <v>90761439.939999998</v>
      </c>
      <c r="J13" s="2280">
        <f t="shared" si="2"/>
        <v>78.11425709540319</v>
      </c>
      <c r="K13" s="2281">
        <f>SUM(K14:K17)</f>
        <v>17117367.539999999</v>
      </c>
      <c r="L13" s="2280">
        <f t="shared" si="3"/>
        <v>98.642389799592038</v>
      </c>
      <c r="M13" s="2278">
        <f t="shared" si="6"/>
        <v>-235585.46000000089</v>
      </c>
      <c r="N13" s="3673"/>
    </row>
    <row r="14" spans="1:61" s="20" customFormat="1" ht="16.5" customHeight="1" x14ac:dyDescent="0.2">
      <c r="A14" s="3618"/>
      <c r="B14" s="324" t="s">
        <v>4</v>
      </c>
      <c r="C14" s="3308"/>
      <c r="D14" s="1096">
        <f>D76+D95+D193+D208+D223</f>
        <v>2850623</v>
      </c>
      <c r="E14" s="1097">
        <f>E76+E95+E193+E208+E223</f>
        <v>1922209</v>
      </c>
      <c r="F14" s="1097">
        <f>F76+F95+F193+F208+F223</f>
        <v>88443</v>
      </c>
      <c r="G14" s="1097">
        <f>G76+G95+G193+G208+G223</f>
        <v>229971</v>
      </c>
      <c r="H14" s="1098">
        <f>H76+H95+H193+H208+H223</f>
        <v>610000</v>
      </c>
      <c r="I14" s="1096">
        <f t="shared" ref="I14" si="13">I76+I95+I193+I208+I223</f>
        <v>2183362.41</v>
      </c>
      <c r="J14" s="2283">
        <f t="shared" si="2"/>
        <v>76.592464524421516</v>
      </c>
      <c r="K14" s="1097">
        <f>K76+K95+K193+K208+K223</f>
        <v>172710.41</v>
      </c>
      <c r="L14" s="2283">
        <f t="shared" si="3"/>
        <v>75.100951859147457</v>
      </c>
      <c r="M14" s="1097">
        <f t="shared" si="6"/>
        <v>-57260.59</v>
      </c>
      <c r="N14" s="3673"/>
    </row>
    <row r="15" spans="1:61" s="20" customFormat="1" ht="16.5" customHeight="1" outlineLevel="1" x14ac:dyDescent="0.2">
      <c r="A15" s="3618"/>
      <c r="B15" s="324" t="s">
        <v>7</v>
      </c>
      <c r="C15" s="3308"/>
      <c r="D15" s="1096">
        <f>+D37+D51+D64+D77+D96</f>
        <v>30932305</v>
      </c>
      <c r="E15" s="1097">
        <f t="shared" ref="E15:H15" si="14">+E37+E51+E64+E77+E96</f>
        <v>18047539</v>
      </c>
      <c r="F15" s="1097">
        <f t="shared" si="14"/>
        <v>8021815</v>
      </c>
      <c r="G15" s="1097">
        <f t="shared" si="14"/>
        <v>4134951</v>
      </c>
      <c r="H15" s="1098">
        <f t="shared" si="14"/>
        <v>728000</v>
      </c>
      <c r="I15" s="1096">
        <f>+I37+I51+I64+I77+I96</f>
        <v>30092730.919999998</v>
      </c>
      <c r="J15" s="2283">
        <f t="shared" si="2"/>
        <v>97.285769424554687</v>
      </c>
      <c r="K15" s="1097">
        <f>+K37+K51+K64+K77+K96</f>
        <v>4023376.92</v>
      </c>
      <c r="L15" s="2283">
        <f t="shared" si="3"/>
        <v>97.301683139655097</v>
      </c>
      <c r="M15" s="1097">
        <f t="shared" si="6"/>
        <v>-111574.08000000007</v>
      </c>
      <c r="N15" s="3673"/>
    </row>
    <row r="16" spans="1:61" s="20" customFormat="1" ht="16.5" customHeight="1" outlineLevel="1" x14ac:dyDescent="0.2">
      <c r="A16" s="3618"/>
      <c r="B16" s="324" t="s">
        <v>8</v>
      </c>
      <c r="C16" s="3308"/>
      <c r="D16" s="1096">
        <f>+D133+D148+D194+D209+D78+D97</f>
        <v>65855448.400000006</v>
      </c>
      <c r="E16" s="1097">
        <f>+E133+E148+E194+E209+E78+E97</f>
        <v>29017478.399999999</v>
      </c>
      <c r="F16" s="1097">
        <f t="shared" ref="F16:H16" si="15">+F133+F148+F194+F209+F78+F97</f>
        <v>12744811</v>
      </c>
      <c r="G16" s="1097">
        <f t="shared" si="15"/>
        <v>9726690</v>
      </c>
      <c r="H16" s="1098">
        <f t="shared" si="15"/>
        <v>14366469</v>
      </c>
      <c r="I16" s="1096">
        <f t="shared" ref="I16:K16" si="16">+I133+I148+I194+I209+I78+I97</f>
        <v>51422230.020000003</v>
      </c>
      <c r="J16" s="2283">
        <f t="shared" si="2"/>
        <v>78.083486286003335</v>
      </c>
      <c r="K16" s="1097">
        <f t="shared" si="16"/>
        <v>9659940.6199999992</v>
      </c>
      <c r="L16" s="2283">
        <f t="shared" si="3"/>
        <v>99.313750309714806</v>
      </c>
      <c r="M16" s="1097">
        <f t="shared" si="6"/>
        <v>-66749.38000000082</v>
      </c>
      <c r="N16" s="3673"/>
    </row>
    <row r="17" spans="1:14" s="20" customFormat="1" ht="16.5" customHeight="1" outlineLevel="1" x14ac:dyDescent="0.2">
      <c r="A17" s="3618"/>
      <c r="B17" s="324" t="s">
        <v>29</v>
      </c>
      <c r="C17" s="3308"/>
      <c r="D17" s="1096">
        <f t="shared" ref="D17:H17" si="17">+D111+D122</f>
        <v>16552244</v>
      </c>
      <c r="E17" s="1097">
        <f t="shared" si="17"/>
        <v>0</v>
      </c>
      <c r="F17" s="1097">
        <f t="shared" si="17"/>
        <v>3801777</v>
      </c>
      <c r="G17" s="1097">
        <f t="shared" si="17"/>
        <v>3261341</v>
      </c>
      <c r="H17" s="1098">
        <f t="shared" si="17"/>
        <v>9489126</v>
      </c>
      <c r="I17" s="1096">
        <f t="shared" ref="I17" si="18">+I111+I122</f>
        <v>7063116.5899999999</v>
      </c>
      <c r="J17" s="2283">
        <f t="shared" si="2"/>
        <v>42.671655818993486</v>
      </c>
      <c r="K17" s="1097">
        <f>+K111+K122</f>
        <v>3261339.5900000003</v>
      </c>
      <c r="L17" s="2283">
        <f t="shared" si="3"/>
        <v>99.999956766250449</v>
      </c>
      <c r="M17" s="1097">
        <f t="shared" si="6"/>
        <v>-1.4099999996833503</v>
      </c>
      <c r="N17" s="3673"/>
    </row>
    <row r="18" spans="1:14" s="472" customFormat="1" ht="16.5" customHeight="1" outlineLevel="1" x14ac:dyDescent="0.2">
      <c r="A18" s="3618"/>
      <c r="B18" s="2284" t="s">
        <v>12</v>
      </c>
      <c r="C18" s="3308"/>
      <c r="D18" s="2285">
        <f>+D20+D21+D22+D19</f>
        <v>175073434.63999999</v>
      </c>
      <c r="E18" s="2286">
        <f>+E20+E21+E22+E19</f>
        <v>73869727</v>
      </c>
      <c r="F18" s="2286">
        <f>+F20+F21+F22+F19</f>
        <v>31471252.640000001</v>
      </c>
      <c r="G18" s="2286">
        <f t="shared" ref="G18:H18" si="19">+G20+G21+G22+G19</f>
        <v>24293493</v>
      </c>
      <c r="H18" s="2287">
        <f t="shared" si="19"/>
        <v>45438962</v>
      </c>
      <c r="I18" s="2285">
        <f t="shared" ref="I18:K18" si="20">+I20+I21+I22+I19</f>
        <v>129438600.55</v>
      </c>
      <c r="J18" s="311">
        <f t="shared" si="2"/>
        <v>73.933889979460346</v>
      </c>
      <c r="K18" s="2288">
        <f t="shared" si="20"/>
        <v>24097620.91</v>
      </c>
      <c r="L18" s="311">
        <f t="shared" si="3"/>
        <v>99.193726114231495</v>
      </c>
      <c r="M18" s="2286">
        <f t="shared" si="6"/>
        <v>-195872.08999999985</v>
      </c>
      <c r="N18" s="3673"/>
    </row>
    <row r="19" spans="1:14" s="472" customFormat="1" ht="16.5" customHeight="1" outlineLevel="1" x14ac:dyDescent="0.2">
      <c r="A19" s="3618"/>
      <c r="B19" s="324" t="s">
        <v>4</v>
      </c>
      <c r="C19" s="3308"/>
      <c r="D19" s="2289">
        <f>D196+D211+D80</f>
        <v>5118817</v>
      </c>
      <c r="E19" s="1098">
        <f t="shared" ref="E19" si="21">E196+E211+E80</f>
        <v>5093947</v>
      </c>
      <c r="F19" s="1097">
        <f>F196+F211+F80</f>
        <v>24870</v>
      </c>
      <c r="G19" s="2290">
        <f t="shared" ref="G19:H19" si="22">G196+G211</f>
        <v>0</v>
      </c>
      <c r="H19" s="2291">
        <f t="shared" si="22"/>
        <v>0</v>
      </c>
      <c r="I19" s="2289">
        <f>I196+I211+I80</f>
        <v>5118817</v>
      </c>
      <c r="J19" s="2283">
        <f t="shared" si="2"/>
        <v>100</v>
      </c>
      <c r="K19" s="2292">
        <f>K196+K211+K80</f>
        <v>0</v>
      </c>
      <c r="L19" s="2290">
        <v>0</v>
      </c>
      <c r="M19" s="2290">
        <f t="shared" si="6"/>
        <v>0</v>
      </c>
      <c r="N19" s="3673"/>
    </row>
    <row r="20" spans="1:14" s="20" customFormat="1" ht="16.5" customHeight="1" outlineLevel="1" x14ac:dyDescent="0.2">
      <c r="A20" s="3618"/>
      <c r="B20" s="324" t="s">
        <v>14</v>
      </c>
      <c r="C20" s="3308"/>
      <c r="D20" s="1096">
        <f>+D39+D53+D66+D135+D81+D99+D225</f>
        <v>104717010.03999999</v>
      </c>
      <c r="E20" s="1097">
        <f t="shared" ref="E20:H20" si="23">+E39+E53+E66+E135+E81+E99+E225</f>
        <v>36861535.399999999</v>
      </c>
      <c r="F20" s="1097">
        <f t="shared" si="23"/>
        <v>25504853.640000001</v>
      </c>
      <c r="G20" s="1097">
        <f t="shared" si="23"/>
        <v>18204200</v>
      </c>
      <c r="H20" s="1098">
        <f t="shared" si="23"/>
        <v>24146421</v>
      </c>
      <c r="I20" s="1096">
        <f>+I39+I53+I66+I135+I81+I99+I225</f>
        <v>80702045.920000002</v>
      </c>
      <c r="J20" s="2283">
        <f t="shared" si="2"/>
        <v>77.066797351426757</v>
      </c>
      <c r="K20" s="1097">
        <f>+K39+K53+K66+K135+K81+K99+K225</f>
        <v>18335656.879999999</v>
      </c>
      <c r="L20" s="2283">
        <f t="shared" ref="L20:L27" si="24">K20/G20*100</f>
        <v>100.72212390547234</v>
      </c>
      <c r="M20" s="1097">
        <f t="shared" si="6"/>
        <v>131456.87999999896</v>
      </c>
      <c r="N20" s="3673"/>
    </row>
    <row r="21" spans="1:14" s="20" customFormat="1" ht="16.5" customHeight="1" outlineLevel="1" x14ac:dyDescent="0.2">
      <c r="A21" s="3618"/>
      <c r="B21" s="324" t="s">
        <v>8</v>
      </c>
      <c r="C21" s="3308"/>
      <c r="D21" s="1096">
        <f>+D136+D150+D197+D212+D82+D100</f>
        <v>46846207.599999994</v>
      </c>
      <c r="E21" s="1097">
        <f>+E136+E150+E197+E212+E82+E100</f>
        <v>31284995.600000001</v>
      </c>
      <c r="F21" s="1097">
        <f t="shared" ref="F21:H21" si="25">+F136+F150+F197+F212+F82+F100</f>
        <v>3753212</v>
      </c>
      <c r="G21" s="1097">
        <f t="shared" si="25"/>
        <v>5011660</v>
      </c>
      <c r="H21" s="1098">
        <f t="shared" si="25"/>
        <v>6796340</v>
      </c>
      <c r="I21" s="1096">
        <f>+I136+I150+I197+I212+I82+I100</f>
        <v>39750071.789999992</v>
      </c>
      <c r="J21" s="2283">
        <f t="shared" si="2"/>
        <v>84.852272630922627</v>
      </c>
      <c r="K21" s="1097">
        <f>+K136+K150+K197+K212+K82+K100</f>
        <v>4711864.1900000004</v>
      </c>
      <c r="L21" s="2283">
        <f t="shared" si="24"/>
        <v>94.018033745305956</v>
      </c>
      <c r="M21" s="1097">
        <f t="shared" si="6"/>
        <v>-299795.80999999959</v>
      </c>
      <c r="N21" s="3673"/>
    </row>
    <row r="22" spans="1:14" s="20" customFormat="1" ht="16.5" customHeight="1" outlineLevel="1" x14ac:dyDescent="0.2">
      <c r="A22" s="3618"/>
      <c r="B22" s="324" t="s">
        <v>13</v>
      </c>
      <c r="C22" s="3707"/>
      <c r="D22" s="1096">
        <f t="shared" ref="D22:H22" si="26">+D113+D124</f>
        <v>18391400</v>
      </c>
      <c r="E22" s="1097">
        <f t="shared" si="26"/>
        <v>629249</v>
      </c>
      <c r="F22" s="1097">
        <f t="shared" si="26"/>
        <v>2188317</v>
      </c>
      <c r="G22" s="1097">
        <f t="shared" si="26"/>
        <v>1077633</v>
      </c>
      <c r="H22" s="1098">
        <f t="shared" si="26"/>
        <v>14496201</v>
      </c>
      <c r="I22" s="1096">
        <f t="shared" ref="I22" si="27">+I113+I124</f>
        <v>3867665.84</v>
      </c>
      <c r="J22" s="2283">
        <f t="shared" si="2"/>
        <v>21.029752166773598</v>
      </c>
      <c r="K22" s="1097">
        <f>+K113+K124</f>
        <v>1050099.8399999999</v>
      </c>
      <c r="L22" s="2283">
        <f t="shared" si="24"/>
        <v>97.445033698856648</v>
      </c>
      <c r="M22" s="1097">
        <f t="shared" si="6"/>
        <v>-27533.160000000149</v>
      </c>
      <c r="N22" s="3673"/>
    </row>
    <row r="23" spans="1:14" s="472" customFormat="1" ht="16.5" customHeight="1" outlineLevel="1" x14ac:dyDescent="0.2">
      <c r="A23" s="3618"/>
      <c r="B23" s="334" t="s">
        <v>16</v>
      </c>
      <c r="C23" s="27"/>
      <c r="D23" s="2293">
        <f t="shared" ref="D23" si="28">+D24+D29</f>
        <v>290037764.74000001</v>
      </c>
      <c r="E23" s="2294">
        <f>+E24+E29</f>
        <v>123086739.40000001</v>
      </c>
      <c r="F23" s="2294">
        <f>+F24+F29</f>
        <v>60136650.340000004</v>
      </c>
      <c r="G23" s="2294">
        <f>+G24+G29</f>
        <v>44252605</v>
      </c>
      <c r="H23" s="2295">
        <f>+H24+H29</f>
        <v>62561770</v>
      </c>
      <c r="I23" s="2293">
        <f>+I24+I29</f>
        <v>227131857.72000003</v>
      </c>
      <c r="J23" s="2296">
        <f t="shared" si="2"/>
        <v>78.311132318789234</v>
      </c>
      <c r="K23" s="2297">
        <f>+K24+K29</f>
        <v>43908467.979999997</v>
      </c>
      <c r="L23" s="2296">
        <f t="shared" si="24"/>
        <v>99.222335001521373</v>
      </c>
      <c r="M23" s="2294">
        <f t="shared" si="6"/>
        <v>-344137.02000000328</v>
      </c>
      <c r="N23" s="3673"/>
    </row>
    <row r="24" spans="1:14" s="472" customFormat="1" ht="16.5" customHeight="1" outlineLevel="1" x14ac:dyDescent="0.2">
      <c r="A24" s="3618"/>
      <c r="B24" s="2298" t="s">
        <v>3</v>
      </c>
      <c r="C24" s="3706"/>
      <c r="D24" s="2285">
        <f t="shared" ref="D24:H24" si="29">SUM(D25:D28)</f>
        <v>114964330.10000001</v>
      </c>
      <c r="E24" s="345">
        <f t="shared" si="29"/>
        <v>48088683.399999999</v>
      </c>
      <c r="F24" s="345">
        <f t="shared" si="29"/>
        <v>25042889.699999999</v>
      </c>
      <c r="G24" s="345">
        <f t="shared" si="29"/>
        <v>17249162</v>
      </c>
      <c r="H24" s="343">
        <f t="shared" si="29"/>
        <v>24583595</v>
      </c>
      <c r="I24" s="2285">
        <f t="shared" ref="I24" si="30">SUM(I25:I28)</f>
        <v>90202779.040000007</v>
      </c>
      <c r="J24" s="2299">
        <f t="shared" si="2"/>
        <v>78.461535818578227</v>
      </c>
      <c r="K24" s="2300">
        <f>SUM(K25:K28)</f>
        <v>17071205.939999998</v>
      </c>
      <c r="L24" s="2299">
        <f t="shared" si="24"/>
        <v>98.96832054797791</v>
      </c>
      <c r="M24" s="345">
        <f t="shared" si="6"/>
        <v>-177956.06000000238</v>
      </c>
      <c r="N24" s="3673"/>
    </row>
    <row r="25" spans="1:14" s="20" customFormat="1" ht="16.5" customHeight="1" outlineLevel="1" x14ac:dyDescent="0.2">
      <c r="A25" s="3618"/>
      <c r="B25" s="324" t="s">
        <v>7</v>
      </c>
      <c r="C25" s="3308"/>
      <c r="D25" s="1096">
        <f t="shared" ref="D25:H25" si="31">+D42+D56+D69+D85+D103</f>
        <v>30932304.699999999</v>
      </c>
      <c r="E25" s="1097">
        <f t="shared" si="31"/>
        <v>18047539</v>
      </c>
      <c r="F25" s="1097">
        <f t="shared" si="31"/>
        <v>8021814.7000000002</v>
      </c>
      <c r="G25" s="1097">
        <f t="shared" si="31"/>
        <v>4134951</v>
      </c>
      <c r="H25" s="1098">
        <f t="shared" si="31"/>
        <v>728000</v>
      </c>
      <c r="I25" s="1096">
        <f t="shared" ref="I25" si="32">+I42+I56+I69+I85+I103</f>
        <v>30092730.620000001</v>
      </c>
      <c r="J25" s="2283">
        <f t="shared" si="2"/>
        <v>97.285769398230457</v>
      </c>
      <c r="K25" s="1097">
        <f>+K42+K56+K69+K85+K103</f>
        <v>4023376.92</v>
      </c>
      <c r="L25" s="2283">
        <f t="shared" si="24"/>
        <v>97.301683139655097</v>
      </c>
      <c r="M25" s="1097">
        <f t="shared" si="6"/>
        <v>-111574.08000000007</v>
      </c>
      <c r="N25" s="3673"/>
    </row>
    <row r="26" spans="1:14" s="20" customFormat="1" ht="16.5" customHeight="1" outlineLevel="1" x14ac:dyDescent="0.2">
      <c r="A26" s="3618"/>
      <c r="B26" s="324" t="s">
        <v>8</v>
      </c>
      <c r="C26" s="3308"/>
      <c r="D26" s="1096">
        <f t="shared" ref="D26" si="33">+D139+D153+D86+D104+D200+D215</f>
        <v>65855448.400000006</v>
      </c>
      <c r="E26" s="1097">
        <f>+E139+E153+E86+E104+E200+E215</f>
        <v>29017478.399999999</v>
      </c>
      <c r="F26" s="1097">
        <f t="shared" ref="F26:H26" si="34">+F139+F153+F86+F104+F200+F215</f>
        <v>12744811</v>
      </c>
      <c r="G26" s="1097">
        <f t="shared" si="34"/>
        <v>9726690</v>
      </c>
      <c r="H26" s="1098">
        <f t="shared" si="34"/>
        <v>14366469</v>
      </c>
      <c r="I26" s="1096">
        <f t="shared" ref="I26:K26" si="35">+I139+I153+I86+I104+I200+I215</f>
        <v>51422230.020000003</v>
      </c>
      <c r="J26" s="2283">
        <f t="shared" si="2"/>
        <v>78.083486286003335</v>
      </c>
      <c r="K26" s="1097">
        <f t="shared" si="35"/>
        <v>9659940.6199999992</v>
      </c>
      <c r="L26" s="2283">
        <f t="shared" si="24"/>
        <v>99.313750309714806</v>
      </c>
      <c r="M26" s="1097">
        <f t="shared" si="6"/>
        <v>-66749.38000000082</v>
      </c>
      <c r="N26" s="3673"/>
    </row>
    <row r="27" spans="1:14" s="20" customFormat="1" ht="16.5" customHeight="1" outlineLevel="1" x14ac:dyDescent="0.2">
      <c r="A27" s="3618"/>
      <c r="B27" s="324" t="s">
        <v>29</v>
      </c>
      <c r="C27" s="3308"/>
      <c r="D27" s="1096">
        <f t="shared" ref="D27:H27" si="36">+D116+D127</f>
        <v>16552244</v>
      </c>
      <c r="E27" s="1097">
        <f t="shared" si="36"/>
        <v>0</v>
      </c>
      <c r="F27" s="1097">
        <f t="shared" si="36"/>
        <v>3801777</v>
      </c>
      <c r="G27" s="1097">
        <f t="shared" si="36"/>
        <v>3261341</v>
      </c>
      <c r="H27" s="1098">
        <f t="shared" si="36"/>
        <v>9489126</v>
      </c>
      <c r="I27" s="1096">
        <f>+I116+I127</f>
        <v>7063116.5899999999</v>
      </c>
      <c r="J27" s="2283">
        <f t="shared" si="2"/>
        <v>42.671655818993486</v>
      </c>
      <c r="K27" s="1097">
        <f>+K116+K127</f>
        <v>3261339.5900000003</v>
      </c>
      <c r="L27" s="2283">
        <f t="shared" si="24"/>
        <v>99.999956766250449</v>
      </c>
      <c r="M27" s="1097">
        <f t="shared" si="6"/>
        <v>-1.4099999996833503</v>
      </c>
      <c r="N27" s="3673"/>
    </row>
    <row r="28" spans="1:14" s="20" customFormat="1" ht="16.5" customHeight="1" outlineLevel="1" x14ac:dyDescent="0.2">
      <c r="A28" s="3618"/>
      <c r="B28" s="324" t="s">
        <v>167</v>
      </c>
      <c r="C28" s="3308"/>
      <c r="D28" s="1096">
        <f>D201+D87</f>
        <v>1624333</v>
      </c>
      <c r="E28" s="1097">
        <f t="shared" ref="E28:K28" si="37">E201+E87</f>
        <v>1023666</v>
      </c>
      <c r="F28" s="1097">
        <f t="shared" si="37"/>
        <v>474487</v>
      </c>
      <c r="G28" s="1097">
        <f t="shared" si="37"/>
        <v>126180</v>
      </c>
      <c r="H28" s="1098">
        <f t="shared" si="37"/>
        <v>0</v>
      </c>
      <c r="I28" s="1096">
        <f t="shared" si="37"/>
        <v>1624701.81</v>
      </c>
      <c r="J28" s="2283">
        <f t="shared" si="2"/>
        <v>100.02270531966045</v>
      </c>
      <c r="K28" s="1097">
        <f t="shared" si="37"/>
        <v>126548.81</v>
      </c>
      <c r="L28" s="2290">
        <v>0</v>
      </c>
      <c r="M28" s="1097">
        <f t="shared" si="6"/>
        <v>368.80999999999767</v>
      </c>
      <c r="N28" s="3673"/>
    </row>
    <row r="29" spans="1:14" s="472" customFormat="1" ht="16.5" customHeight="1" outlineLevel="1" x14ac:dyDescent="0.2">
      <c r="A29" s="3618"/>
      <c r="B29" s="2284" t="s">
        <v>12</v>
      </c>
      <c r="C29" s="3308"/>
      <c r="D29" s="354">
        <f t="shared" ref="D29:H29" si="38">+D30+D31+D32</f>
        <v>175073434.63999999</v>
      </c>
      <c r="E29" s="356">
        <f t="shared" si="38"/>
        <v>74998056</v>
      </c>
      <c r="F29" s="356">
        <f t="shared" si="38"/>
        <v>35093760.640000001</v>
      </c>
      <c r="G29" s="356">
        <f t="shared" si="38"/>
        <v>27003443</v>
      </c>
      <c r="H29" s="308">
        <f t="shared" si="38"/>
        <v>37978175</v>
      </c>
      <c r="I29" s="354">
        <f t="shared" ref="I29:K29" si="39">+I30+I31+I32</f>
        <v>136929078.68000001</v>
      </c>
      <c r="J29" s="312">
        <f t="shared" si="2"/>
        <v>78.212367833854714</v>
      </c>
      <c r="K29" s="310">
        <f t="shared" si="39"/>
        <v>26837262.039999999</v>
      </c>
      <c r="L29" s="311">
        <f>K29/G29*100</f>
        <v>99.384593438695944</v>
      </c>
      <c r="M29" s="356">
        <f t="shared" si="6"/>
        <v>-166180.96000000089</v>
      </c>
      <c r="N29" s="3673"/>
    </row>
    <row r="30" spans="1:14" s="20" customFormat="1" ht="16.5" customHeight="1" outlineLevel="1" x14ac:dyDescent="0.2">
      <c r="A30" s="3618"/>
      <c r="B30" s="324" t="s">
        <v>14</v>
      </c>
      <c r="C30" s="3308"/>
      <c r="D30" s="1096">
        <f t="shared" ref="D30:H30" si="40">+D45+D59+D72+D142+D106+D228+D89</f>
        <v>104717010.03999999</v>
      </c>
      <c r="E30" s="1097">
        <f t="shared" si="40"/>
        <v>36852233.399999999</v>
      </c>
      <c r="F30" s="1097">
        <f t="shared" si="40"/>
        <v>25511731.640000001</v>
      </c>
      <c r="G30" s="1097">
        <f t="shared" si="40"/>
        <v>18204449</v>
      </c>
      <c r="H30" s="1098">
        <f t="shared" si="40"/>
        <v>24148596</v>
      </c>
      <c r="I30" s="1096">
        <f t="shared" ref="I30" si="41">+I45+I59+I72+I142+I106+I228+I89</f>
        <v>80700924.799999997</v>
      </c>
      <c r="J30" s="2283">
        <f t="shared" si="2"/>
        <v>77.065726732623204</v>
      </c>
      <c r="K30" s="1097">
        <f>+K45+K59+K72+K142+K106+K228+K89</f>
        <v>18336959.759999998</v>
      </c>
      <c r="L30" s="2283">
        <f>K30/G30*100</f>
        <v>100.72790316257306</v>
      </c>
      <c r="M30" s="1097">
        <f t="shared" si="6"/>
        <v>132510.75999999791</v>
      </c>
      <c r="N30" s="3673"/>
    </row>
    <row r="31" spans="1:14" s="20" customFormat="1" ht="16.5" customHeight="1" outlineLevel="1" x14ac:dyDescent="0.2">
      <c r="A31" s="3618"/>
      <c r="B31" s="324" t="s">
        <v>8</v>
      </c>
      <c r="C31" s="3308"/>
      <c r="D31" s="1096">
        <f t="shared" ref="D31:H31" si="42">+D143+D156+D107+D90+D203+D218</f>
        <v>46846207.600000001</v>
      </c>
      <c r="E31" s="1097">
        <f t="shared" si="42"/>
        <v>31284995.600000001</v>
      </c>
      <c r="F31" s="1097">
        <f t="shared" si="42"/>
        <v>3753212</v>
      </c>
      <c r="G31" s="1097">
        <f t="shared" si="42"/>
        <v>5011660</v>
      </c>
      <c r="H31" s="1098">
        <f t="shared" si="42"/>
        <v>6796340</v>
      </c>
      <c r="I31" s="1096">
        <f t="shared" ref="I31:K31" si="43">+I143+I156+I107+I90+I203+I218</f>
        <v>39750071.790000007</v>
      </c>
      <c r="J31" s="2283">
        <f t="shared" si="2"/>
        <v>84.852272630922641</v>
      </c>
      <c r="K31" s="1097">
        <f t="shared" si="43"/>
        <v>4711864.1900000004</v>
      </c>
      <c r="L31" s="2283">
        <f>K31/G31*100</f>
        <v>94.018033745305956</v>
      </c>
      <c r="M31" s="1097">
        <f t="shared" si="6"/>
        <v>-299795.80999999959</v>
      </c>
      <c r="N31" s="3673"/>
    </row>
    <row r="32" spans="1:14" s="20" customFormat="1" ht="16.5" customHeight="1" outlineLevel="1" thickBot="1" x14ac:dyDescent="0.25">
      <c r="A32" s="3619"/>
      <c r="B32" s="324" t="s">
        <v>13</v>
      </c>
      <c r="C32" s="3309"/>
      <c r="D32" s="2301">
        <f>D118+D129+D204+D91</f>
        <v>23510217</v>
      </c>
      <c r="E32" s="2302">
        <f t="shared" ref="E32:H32" si="44">E118+E129+E204+E91</f>
        <v>6860827</v>
      </c>
      <c r="F32" s="2302">
        <f t="shared" si="44"/>
        <v>5828817</v>
      </c>
      <c r="G32" s="2302">
        <f t="shared" si="44"/>
        <v>3787334</v>
      </c>
      <c r="H32" s="2303">
        <f t="shared" si="44"/>
        <v>7033239</v>
      </c>
      <c r="I32" s="2301">
        <f t="shared" ref="I32" si="45">I118+I129+I204+I91</f>
        <v>16478082.09</v>
      </c>
      <c r="J32" s="2283">
        <f t="shared" si="2"/>
        <v>70.089025932852934</v>
      </c>
      <c r="K32" s="2302">
        <f t="shared" ref="K32" si="46">K118+K129+K204+K91</f>
        <v>3788438.0900000003</v>
      </c>
      <c r="L32" s="2290">
        <v>0</v>
      </c>
      <c r="M32" s="2302">
        <f t="shared" si="6"/>
        <v>1104.0900000003166</v>
      </c>
      <c r="N32" s="3674"/>
    </row>
    <row r="33" spans="1:14" s="2312" customFormat="1" ht="56.25" customHeight="1" thickBot="1" x14ac:dyDescent="0.25">
      <c r="A33" s="3700" t="s">
        <v>32</v>
      </c>
      <c r="B33" s="2304" t="s">
        <v>297</v>
      </c>
      <c r="C33" s="2305" t="s">
        <v>168</v>
      </c>
      <c r="D33" s="2306"/>
      <c r="E33" s="2307"/>
      <c r="F33" s="2307"/>
      <c r="G33" s="2307"/>
      <c r="H33" s="2308"/>
      <c r="I33" s="2309"/>
      <c r="J33" s="2310"/>
      <c r="K33" s="2311"/>
      <c r="L33" s="2310"/>
      <c r="M33" s="2307"/>
      <c r="N33" s="3631" t="s">
        <v>169</v>
      </c>
    </row>
    <row r="34" spans="1:14" s="2314" customFormat="1" ht="14.25" customHeight="1" x14ac:dyDescent="0.2">
      <c r="A34" s="3701"/>
      <c r="B34" s="1157" t="s">
        <v>2</v>
      </c>
      <c r="C34" s="2313"/>
      <c r="D34" s="415">
        <f t="shared" ref="D34:F34" si="47">+D35+D38</f>
        <v>27429825.539999999</v>
      </c>
      <c r="E34" s="416">
        <f t="shared" si="47"/>
        <v>14670243.699999999</v>
      </c>
      <c r="F34" s="416">
        <f t="shared" si="47"/>
        <v>8793735.8399999999</v>
      </c>
      <c r="G34" s="416">
        <f>+G35+G38</f>
        <v>3965846</v>
      </c>
      <c r="H34" s="484">
        <f t="shared" ref="H34" si="48">+H35+H38</f>
        <v>0</v>
      </c>
      <c r="I34" s="415">
        <f>I35+I38</f>
        <v>27299203.289999999</v>
      </c>
      <c r="J34" s="29">
        <f t="shared" ref="J34:J46" si="49">I34/D34*100</f>
        <v>99.523794820315132</v>
      </c>
      <c r="K34" s="416">
        <f>+K35+K38</f>
        <v>3835223.75</v>
      </c>
      <c r="L34" s="29">
        <f t="shared" ref="L34:L45" si="50">K34/G34*100</f>
        <v>96.706320669032536</v>
      </c>
      <c r="M34" s="416">
        <f t="shared" si="6"/>
        <v>-130622.25</v>
      </c>
      <c r="N34" s="3624"/>
    </row>
    <row r="35" spans="1:14" s="2314" customFormat="1" ht="14.25" customHeight="1" thickBot="1" x14ac:dyDescent="0.25">
      <c r="A35" s="3701"/>
      <c r="B35" s="1147" t="s">
        <v>3</v>
      </c>
      <c r="C35" s="3193" t="s">
        <v>170</v>
      </c>
      <c r="D35" s="558">
        <f>+D36+D37</f>
        <v>13714913</v>
      </c>
      <c r="E35" s="559">
        <f>SUM(E36:E37)</f>
        <v>7335122</v>
      </c>
      <c r="F35" s="559">
        <f>SUM(F36:F37)</f>
        <v>4396868</v>
      </c>
      <c r="G35" s="559">
        <f>SUM(G36:G37)</f>
        <v>1982923</v>
      </c>
      <c r="H35" s="576">
        <f>SUM(H36:H37)</f>
        <v>0</v>
      </c>
      <c r="I35" s="558">
        <f>I37</f>
        <v>13649601.859999999</v>
      </c>
      <c r="J35" s="176">
        <f t="shared" si="49"/>
        <v>99.523794718931129</v>
      </c>
      <c r="K35" s="559">
        <f>SUM(K36:K37)</f>
        <v>1917611.86</v>
      </c>
      <c r="L35" s="176">
        <f t="shared" si="50"/>
        <v>96.70631991257352</v>
      </c>
      <c r="M35" s="559">
        <f t="shared" si="6"/>
        <v>-65311.139999999898</v>
      </c>
      <c r="N35" s="3625"/>
    </row>
    <row r="36" spans="1:14" s="2312" customFormat="1" ht="13.5" hidden="1" customHeight="1" thickBot="1" x14ac:dyDescent="0.25">
      <c r="A36" s="3701"/>
      <c r="B36" s="493" t="s">
        <v>4</v>
      </c>
      <c r="C36" s="3087"/>
      <c r="D36" s="2315">
        <f>+E36+F36+G36+H36</f>
        <v>0</v>
      </c>
      <c r="E36" s="2316">
        <v>0</v>
      </c>
      <c r="F36" s="2316">
        <v>0</v>
      </c>
      <c r="G36" s="2316"/>
      <c r="H36" s="2317"/>
      <c r="I36" s="2318"/>
      <c r="J36" s="2316" t="e">
        <f t="shared" si="49"/>
        <v>#DIV/0!</v>
      </c>
      <c r="K36" s="2316">
        <v>0</v>
      </c>
      <c r="L36" s="2316" t="e">
        <f t="shared" si="50"/>
        <v>#DIV/0!</v>
      </c>
      <c r="M36" s="2316">
        <f t="shared" si="6"/>
        <v>0</v>
      </c>
      <c r="N36" s="3626"/>
    </row>
    <row r="37" spans="1:14" s="2321" customFormat="1" ht="15.75" customHeight="1" x14ac:dyDescent="0.2">
      <c r="A37" s="3701"/>
      <c r="B37" s="2319" t="s">
        <v>7</v>
      </c>
      <c r="C37" s="3087"/>
      <c r="D37" s="464">
        <f>+E37+F37+G37+H37</f>
        <v>13714913</v>
      </c>
      <c r="E37" s="463">
        <f>1318026+6017096</f>
        <v>7335122</v>
      </c>
      <c r="F37" s="2320">
        <f>4396868</f>
        <v>4396868</v>
      </c>
      <c r="G37" s="463">
        <v>1982923</v>
      </c>
      <c r="H37" s="468">
        <v>0</v>
      </c>
      <c r="I37" s="464">
        <f>F37+K37+E37</f>
        <v>13649601.859999999</v>
      </c>
      <c r="J37" s="465">
        <f t="shared" si="49"/>
        <v>99.523794718931129</v>
      </c>
      <c r="K37" s="463">
        <v>1917611.86</v>
      </c>
      <c r="L37" s="465">
        <f t="shared" si="50"/>
        <v>96.70631991257352</v>
      </c>
      <c r="M37" s="463">
        <f t="shared" si="6"/>
        <v>-65311.139999999898</v>
      </c>
      <c r="N37" s="3624"/>
    </row>
    <row r="38" spans="1:14" s="2312" customFormat="1" ht="15.75" customHeight="1" x14ac:dyDescent="0.2">
      <c r="A38" s="3701"/>
      <c r="B38" s="2322" t="s">
        <v>12</v>
      </c>
      <c r="C38" s="3087"/>
      <c r="D38" s="519">
        <f t="shared" ref="D38:H38" si="51">+D39</f>
        <v>13714912.539999999</v>
      </c>
      <c r="E38" s="520">
        <f t="shared" si="51"/>
        <v>7335121.7000000002</v>
      </c>
      <c r="F38" s="520">
        <f t="shared" si="51"/>
        <v>4396867.84</v>
      </c>
      <c r="G38" s="520">
        <f t="shared" si="51"/>
        <v>1982923</v>
      </c>
      <c r="H38" s="570">
        <f t="shared" si="51"/>
        <v>0</v>
      </c>
      <c r="I38" s="519">
        <f>I39</f>
        <v>13649601.43</v>
      </c>
      <c r="J38" s="176">
        <f t="shared" si="49"/>
        <v>99.523794921699164</v>
      </c>
      <c r="K38" s="520">
        <f>+K39</f>
        <v>1917611.89</v>
      </c>
      <c r="L38" s="176">
        <f t="shared" si="50"/>
        <v>96.706321425491552</v>
      </c>
      <c r="M38" s="520">
        <f t="shared" si="6"/>
        <v>-65311.110000000102</v>
      </c>
      <c r="N38" s="3625"/>
    </row>
    <row r="39" spans="1:14" s="2321" customFormat="1" ht="15.75" customHeight="1" x14ac:dyDescent="0.2">
      <c r="A39" s="3701"/>
      <c r="B39" s="1761" t="s">
        <v>14</v>
      </c>
      <c r="C39" s="3087"/>
      <c r="D39" s="464">
        <f>+E39+F39+G39+H39</f>
        <v>13714912.539999999</v>
      </c>
      <c r="E39" s="463">
        <f>1318026+6017096-0.3</f>
        <v>7335121.7000000002</v>
      </c>
      <c r="F39" s="2320">
        <f>4396868-0.16</f>
        <v>4396867.84</v>
      </c>
      <c r="G39" s="463">
        <v>1982923</v>
      </c>
      <c r="H39" s="468"/>
      <c r="I39" s="464">
        <f>F39+K39+E39</f>
        <v>13649601.43</v>
      </c>
      <c r="J39" s="465">
        <f t="shared" si="49"/>
        <v>99.523794921699164</v>
      </c>
      <c r="K39" s="463">
        <v>1917611.89</v>
      </c>
      <c r="L39" s="465">
        <f t="shared" si="50"/>
        <v>96.706321425491552</v>
      </c>
      <c r="M39" s="463">
        <f t="shared" si="6"/>
        <v>-65311.110000000102</v>
      </c>
      <c r="N39" s="3625"/>
    </row>
    <row r="40" spans="1:14" s="2312" customFormat="1" ht="15" customHeight="1" x14ac:dyDescent="0.2">
      <c r="A40" s="3701"/>
      <c r="B40" s="1157" t="s">
        <v>16</v>
      </c>
      <c r="C40" s="2313"/>
      <c r="D40" s="415">
        <f>+D41+D44</f>
        <v>27429825.539999999</v>
      </c>
      <c r="E40" s="416">
        <f t="shared" ref="E40:F40" si="52">+E41+E44</f>
        <v>14670243.699999999</v>
      </c>
      <c r="F40" s="416">
        <f t="shared" si="52"/>
        <v>8793735.8399999999</v>
      </c>
      <c r="G40" s="416">
        <f>+G41+G44</f>
        <v>3965846</v>
      </c>
      <c r="H40" s="484">
        <f t="shared" ref="H40" si="53">+H41+H44</f>
        <v>0</v>
      </c>
      <c r="I40" s="415">
        <f>I41+I44</f>
        <v>27299203.289999999</v>
      </c>
      <c r="J40" s="29">
        <f t="shared" si="49"/>
        <v>99.523794820315132</v>
      </c>
      <c r="K40" s="416">
        <f>+K41+K44</f>
        <v>3835223.75</v>
      </c>
      <c r="L40" s="29">
        <f t="shared" si="50"/>
        <v>96.706320669032536</v>
      </c>
      <c r="M40" s="416">
        <f t="shared" si="6"/>
        <v>-130622.25</v>
      </c>
      <c r="N40" s="3625"/>
    </row>
    <row r="41" spans="1:14" s="2091" customFormat="1" ht="15" customHeight="1" x14ac:dyDescent="0.2">
      <c r="A41" s="3701"/>
      <c r="B41" s="1147" t="s">
        <v>3</v>
      </c>
      <c r="C41" s="3689" t="s">
        <v>170</v>
      </c>
      <c r="D41" s="558">
        <f>+D42</f>
        <v>13714913</v>
      </c>
      <c r="E41" s="559">
        <f>+E42+E43</f>
        <v>7335122</v>
      </c>
      <c r="F41" s="559">
        <f>+F42+F43</f>
        <v>4396868</v>
      </c>
      <c r="G41" s="560">
        <f>+G42+G43</f>
        <v>1982923</v>
      </c>
      <c r="H41" s="576">
        <f>+H42+H43</f>
        <v>0</v>
      </c>
      <c r="I41" s="558">
        <f>I42</f>
        <v>13649601.859999999</v>
      </c>
      <c r="J41" s="176">
        <f t="shared" si="49"/>
        <v>99.523794718931129</v>
      </c>
      <c r="K41" s="559">
        <f>+K42+K43</f>
        <v>1917611.86</v>
      </c>
      <c r="L41" s="176">
        <f t="shared" si="50"/>
        <v>96.70631991257352</v>
      </c>
      <c r="M41" s="560">
        <f t="shared" si="6"/>
        <v>-65311.139999999898</v>
      </c>
      <c r="N41" s="3625"/>
    </row>
    <row r="42" spans="1:14" s="1803" customFormat="1" ht="15" customHeight="1" x14ac:dyDescent="0.2">
      <c r="A42" s="3701"/>
      <c r="B42" s="2319" t="s">
        <v>7</v>
      </c>
      <c r="C42" s="3703"/>
      <c r="D42" s="464">
        <f>+E42+F42+G42+H42</f>
        <v>13714913</v>
      </c>
      <c r="E42" s="463">
        <f>1318026+6017096</f>
        <v>7335122</v>
      </c>
      <c r="F42" s="2320">
        <f>4396868</f>
        <v>4396868</v>
      </c>
      <c r="G42" s="463">
        <v>1982923</v>
      </c>
      <c r="H42" s="468">
        <v>0</v>
      </c>
      <c r="I42" s="464">
        <f>F42+K42+E42</f>
        <v>13649601.859999999</v>
      </c>
      <c r="J42" s="465">
        <f t="shared" si="49"/>
        <v>99.523794718931129</v>
      </c>
      <c r="K42" s="463">
        <v>1917611.86</v>
      </c>
      <c r="L42" s="465">
        <f t="shared" si="50"/>
        <v>96.70631991257352</v>
      </c>
      <c r="M42" s="463">
        <f t="shared" si="6"/>
        <v>-65311.139999999898</v>
      </c>
      <c r="N42" s="3625"/>
    </row>
    <row r="43" spans="1:14" s="2091" customFormat="1" ht="15" hidden="1" customHeight="1" x14ac:dyDescent="0.2">
      <c r="A43" s="3701"/>
      <c r="B43" s="493" t="s">
        <v>167</v>
      </c>
      <c r="C43" s="3703"/>
      <c r="D43" s="464">
        <f>+E43+F43+G43+H43</f>
        <v>0</v>
      </c>
      <c r="E43" s="463"/>
      <c r="F43" s="463"/>
      <c r="G43" s="463"/>
      <c r="H43" s="468"/>
      <c r="I43" s="464"/>
      <c r="J43" s="465" t="e">
        <f t="shared" si="49"/>
        <v>#DIV/0!</v>
      </c>
      <c r="K43" s="463">
        <v>0</v>
      </c>
      <c r="L43" s="465" t="e">
        <f t="shared" si="50"/>
        <v>#DIV/0!</v>
      </c>
      <c r="M43" s="463">
        <f t="shared" si="6"/>
        <v>0</v>
      </c>
      <c r="N43" s="3625"/>
    </row>
    <row r="44" spans="1:14" s="2091" customFormat="1" ht="15" customHeight="1" x14ac:dyDescent="0.2">
      <c r="A44" s="3701"/>
      <c r="B44" s="2322" t="s">
        <v>12</v>
      </c>
      <c r="C44" s="3703"/>
      <c r="D44" s="519">
        <f>+D45</f>
        <v>13714912.539999999</v>
      </c>
      <c r="E44" s="520">
        <f>+E45+E46</f>
        <v>7335121.7000000002</v>
      </c>
      <c r="F44" s="520">
        <f>+F45+F46</f>
        <v>4396867.84</v>
      </c>
      <c r="G44" s="916">
        <f>+G45+G46</f>
        <v>1982923</v>
      </c>
      <c r="H44" s="570">
        <f>+H45+H46</f>
        <v>0</v>
      </c>
      <c r="I44" s="519">
        <f>I45</f>
        <v>13649601.43</v>
      </c>
      <c r="J44" s="176">
        <f t="shared" si="49"/>
        <v>99.523794921699164</v>
      </c>
      <c r="K44" s="520">
        <f>+K45+K46</f>
        <v>1917611.89</v>
      </c>
      <c r="L44" s="465">
        <f t="shared" si="50"/>
        <v>96.706321425491552</v>
      </c>
      <c r="M44" s="916">
        <f t="shared" si="6"/>
        <v>-65311.110000000102</v>
      </c>
      <c r="N44" s="3625"/>
    </row>
    <row r="45" spans="1:14" s="1803" customFormat="1" ht="15" customHeight="1" thickBot="1" x14ac:dyDescent="0.25">
      <c r="A45" s="3702"/>
      <c r="B45" s="2323" t="s">
        <v>14</v>
      </c>
      <c r="C45" s="3704"/>
      <c r="D45" s="504">
        <f>+E45+F45+G45+H45</f>
        <v>13714912.539999999</v>
      </c>
      <c r="E45" s="502">
        <f>1318026+6017096-0.3</f>
        <v>7335121.7000000002</v>
      </c>
      <c r="F45" s="2324">
        <f>4396868-0.16</f>
        <v>4396867.84</v>
      </c>
      <c r="G45" s="502">
        <v>1982923</v>
      </c>
      <c r="H45" s="548">
        <v>0</v>
      </c>
      <c r="I45" s="504">
        <f>F45+K45+E45</f>
        <v>13649601.43</v>
      </c>
      <c r="J45" s="505">
        <f t="shared" si="49"/>
        <v>99.523794921699164</v>
      </c>
      <c r="K45" s="463">
        <v>1917611.89</v>
      </c>
      <c r="L45" s="505">
        <f t="shared" si="50"/>
        <v>96.706321425491552</v>
      </c>
      <c r="M45" s="502">
        <f t="shared" si="6"/>
        <v>-65311.110000000102</v>
      </c>
      <c r="N45" s="3655"/>
    </row>
    <row r="46" spans="1:14" s="2091" customFormat="1" ht="13.5" hidden="1" customHeight="1" thickBot="1" x14ac:dyDescent="0.25">
      <c r="A46" s="2325"/>
      <c r="B46" s="2326" t="s">
        <v>13</v>
      </c>
      <c r="C46" s="2327"/>
      <c r="D46" s="2328">
        <f>+E46+F46+G46+H46</f>
        <v>0</v>
      </c>
      <c r="E46" s="2329">
        <v>0</v>
      </c>
      <c r="F46" s="2330"/>
      <c r="G46" s="2331"/>
      <c r="H46" s="2332"/>
      <c r="I46" s="2333"/>
      <c r="J46" s="1656" t="e">
        <f t="shared" si="49"/>
        <v>#DIV/0!</v>
      </c>
      <c r="K46" s="1657"/>
      <c r="L46" s="2334">
        <v>10</v>
      </c>
      <c r="M46" s="2331">
        <f t="shared" si="6"/>
        <v>0</v>
      </c>
      <c r="N46" s="2335"/>
    </row>
    <row r="47" spans="1:14" s="2312" customFormat="1" ht="54.75" customHeight="1" x14ac:dyDescent="0.2">
      <c r="A47" s="3678" t="s">
        <v>35</v>
      </c>
      <c r="B47" s="2336" t="s">
        <v>298</v>
      </c>
      <c r="C47" s="2305" t="s">
        <v>168</v>
      </c>
      <c r="D47" s="2337"/>
      <c r="E47" s="2307"/>
      <c r="F47" s="2307"/>
      <c r="G47" s="2307"/>
      <c r="H47" s="2338"/>
      <c r="I47" s="2337"/>
      <c r="J47" s="2307"/>
      <c r="K47" s="2307"/>
      <c r="L47" s="2307"/>
      <c r="M47" s="2307"/>
      <c r="N47" s="3682" t="s">
        <v>169</v>
      </c>
    </row>
    <row r="48" spans="1:14" s="2314" customFormat="1" ht="12.75" customHeight="1" x14ac:dyDescent="0.2">
      <c r="A48" s="3679"/>
      <c r="B48" s="566" t="s">
        <v>2</v>
      </c>
      <c r="C48" s="2313"/>
      <c r="D48" s="415">
        <f t="shared" ref="D48" si="54">+D49+D52</f>
        <v>29594828.5</v>
      </c>
      <c r="E48" s="416">
        <f>+E49+E52</f>
        <v>21051525.699999999</v>
      </c>
      <c r="F48" s="2294">
        <f>+F49+F52</f>
        <v>5184834.8</v>
      </c>
      <c r="G48" s="416">
        <f t="shared" ref="G48" si="55">+G49+G52</f>
        <v>3358468</v>
      </c>
      <c r="H48" s="532">
        <f t="shared" ref="H48" si="56">+H49+H52</f>
        <v>0</v>
      </c>
      <c r="I48" s="415">
        <f>I49+I52</f>
        <v>29522908.259999998</v>
      </c>
      <c r="J48" s="29">
        <f t="shared" ref="J48:J59" si="57">I48/D48*100</f>
        <v>99.756983758158952</v>
      </c>
      <c r="K48" s="416">
        <f>+K49+K52</f>
        <v>3286547.76</v>
      </c>
      <c r="L48" s="29">
        <f t="shared" ref="L48:L59" si="58">K48/G48*100</f>
        <v>97.858540263000862</v>
      </c>
      <c r="M48" s="416">
        <f t="shared" si="6"/>
        <v>-71920.240000000224</v>
      </c>
      <c r="N48" s="3683"/>
    </row>
    <row r="49" spans="1:14" s="2314" customFormat="1" ht="13.5" customHeight="1" x14ac:dyDescent="0.2">
      <c r="A49" s="3679"/>
      <c r="B49" s="2339" t="s">
        <v>3</v>
      </c>
      <c r="C49" s="3193" t="s">
        <v>170</v>
      </c>
      <c r="D49" s="558">
        <f>+D51</f>
        <v>15526099</v>
      </c>
      <c r="E49" s="559">
        <f>SUM(E50:E51)</f>
        <v>10525763</v>
      </c>
      <c r="F49" s="520">
        <f>SUM(F50:F51)</f>
        <v>3239308</v>
      </c>
      <c r="G49" s="559">
        <f>SUM(G50:G51)</f>
        <v>1761028</v>
      </c>
      <c r="H49" s="685">
        <f>SUM(H50:H51)</f>
        <v>0</v>
      </c>
      <c r="I49" s="558">
        <f>I51</f>
        <v>15490138.76</v>
      </c>
      <c r="J49" s="176">
        <f t="shared" si="57"/>
        <v>99.768388440650796</v>
      </c>
      <c r="K49" s="559">
        <f>SUM(K50:K51)</f>
        <v>1725067.76</v>
      </c>
      <c r="L49" s="1015">
        <f t="shared" si="58"/>
        <v>97.957997260690917</v>
      </c>
      <c r="M49" s="559">
        <f t="shared" si="6"/>
        <v>-35960.239999999991</v>
      </c>
      <c r="N49" s="3683"/>
    </row>
    <row r="50" spans="1:14" s="2312" customFormat="1" ht="13.5" hidden="1" customHeight="1" x14ac:dyDescent="0.2">
      <c r="A50" s="3679"/>
      <c r="B50" s="460" t="s">
        <v>4</v>
      </c>
      <c r="C50" s="3087"/>
      <c r="D50" s="2340" t="e">
        <f>+E50+F50+G50+#REF!+#REF!+#REF!</f>
        <v>#REF!</v>
      </c>
      <c r="E50" s="2341">
        <v>0</v>
      </c>
      <c r="F50" s="2342">
        <v>0</v>
      </c>
      <c r="G50" s="2341"/>
      <c r="H50" s="2343"/>
      <c r="I50" s="2344"/>
      <c r="J50" s="2345" t="e">
        <f t="shared" si="57"/>
        <v>#REF!</v>
      </c>
      <c r="K50" s="2342">
        <v>0</v>
      </c>
      <c r="L50" s="2346" t="e">
        <f t="shared" si="58"/>
        <v>#DIV/0!</v>
      </c>
      <c r="M50" s="2341">
        <f t="shared" si="6"/>
        <v>0</v>
      </c>
      <c r="N50" s="3683"/>
    </row>
    <row r="51" spans="1:14" s="2312" customFormat="1" ht="15" customHeight="1" x14ac:dyDescent="0.2">
      <c r="A51" s="3679"/>
      <c r="B51" s="2347" t="s">
        <v>7</v>
      </c>
      <c r="C51" s="3087"/>
      <c r="D51" s="464">
        <f>+E51+F51+G51+H51</f>
        <v>15526099</v>
      </c>
      <c r="E51" s="2348">
        <f>2167528+8358235</f>
        <v>10525763</v>
      </c>
      <c r="F51" s="2349">
        <f>3239308</f>
        <v>3239308</v>
      </c>
      <c r="G51" s="463">
        <v>1761028</v>
      </c>
      <c r="H51" s="483">
        <v>0</v>
      </c>
      <c r="I51" s="464">
        <f>F51+K51+E51</f>
        <v>15490138.76</v>
      </c>
      <c r="J51" s="465">
        <f t="shared" si="57"/>
        <v>99.768388440650796</v>
      </c>
      <c r="K51" s="463">
        <v>1725067.76</v>
      </c>
      <c r="L51" s="465">
        <f t="shared" si="58"/>
        <v>97.957997260690917</v>
      </c>
      <c r="M51" s="463">
        <f t="shared" si="6"/>
        <v>-35960.239999999991</v>
      </c>
      <c r="N51" s="3683"/>
    </row>
    <row r="52" spans="1:14" s="2312" customFormat="1" ht="15" customHeight="1" x14ac:dyDescent="0.2">
      <c r="A52" s="3679"/>
      <c r="B52" s="2339" t="s">
        <v>12</v>
      </c>
      <c r="C52" s="3087"/>
      <c r="D52" s="558">
        <f t="shared" ref="D52:H52" si="59">+D53</f>
        <v>14068729.5</v>
      </c>
      <c r="E52" s="559">
        <f t="shared" si="59"/>
        <v>10525762.699999999</v>
      </c>
      <c r="F52" s="520">
        <f>+F53</f>
        <v>1945526.8</v>
      </c>
      <c r="G52" s="559">
        <f t="shared" si="59"/>
        <v>1597440</v>
      </c>
      <c r="H52" s="685">
        <f t="shared" si="59"/>
        <v>0</v>
      </c>
      <c r="I52" s="558">
        <f>I53</f>
        <v>14032769.5</v>
      </c>
      <c r="J52" s="176">
        <f t="shared" si="57"/>
        <v>99.744397672867336</v>
      </c>
      <c r="K52" s="559">
        <f>+K53</f>
        <v>1561480</v>
      </c>
      <c r="L52" s="1015">
        <f t="shared" si="58"/>
        <v>97.748898237179489</v>
      </c>
      <c r="M52" s="559">
        <f t="shared" si="6"/>
        <v>-35960</v>
      </c>
      <c r="N52" s="3683"/>
    </row>
    <row r="53" spans="1:14" s="2312" customFormat="1" ht="15" customHeight="1" x14ac:dyDescent="0.2">
      <c r="A53" s="3679"/>
      <c r="B53" s="2347" t="s">
        <v>14</v>
      </c>
      <c r="C53" s="3087"/>
      <c r="D53" s="464">
        <f>+E53+F53+G53+H53</f>
        <v>14068729.5</v>
      </c>
      <c r="E53" s="463">
        <f>2167528+8358235-0.3</f>
        <v>10525762.699999999</v>
      </c>
      <c r="F53" s="2349">
        <f>1945527-0.2</f>
        <v>1945526.8</v>
      </c>
      <c r="G53" s="463">
        <v>1597440</v>
      </c>
      <c r="H53" s="483">
        <v>0</v>
      </c>
      <c r="I53" s="464">
        <f>F53+K53+E53</f>
        <v>14032769.5</v>
      </c>
      <c r="J53" s="465">
        <f t="shared" si="57"/>
        <v>99.744397672867336</v>
      </c>
      <c r="K53" s="463">
        <v>1561480</v>
      </c>
      <c r="L53" s="465">
        <f t="shared" si="58"/>
        <v>97.748898237179489</v>
      </c>
      <c r="M53" s="463">
        <f t="shared" si="6"/>
        <v>-35960</v>
      </c>
      <c r="N53" s="3683"/>
    </row>
    <row r="54" spans="1:14" s="2312" customFormat="1" ht="14.25" customHeight="1" x14ac:dyDescent="0.2">
      <c r="A54" s="3679"/>
      <c r="B54" s="566" t="s">
        <v>16</v>
      </c>
      <c r="C54" s="2313"/>
      <c r="D54" s="415">
        <f t="shared" ref="D54:H54" si="60">+D55+D58</f>
        <v>29594828.199999999</v>
      </c>
      <c r="E54" s="416">
        <f t="shared" si="60"/>
        <v>21051525.699999999</v>
      </c>
      <c r="F54" s="2294">
        <f>+F55+F58</f>
        <v>5184834.5</v>
      </c>
      <c r="G54" s="416">
        <f t="shared" ref="G54" si="61">+G55+G58</f>
        <v>3358468</v>
      </c>
      <c r="H54" s="532">
        <f t="shared" si="60"/>
        <v>0</v>
      </c>
      <c r="I54" s="415">
        <f>I55+I58</f>
        <v>29522907.960000001</v>
      </c>
      <c r="J54" s="29">
        <f t="shared" si="57"/>
        <v>99.756983755695543</v>
      </c>
      <c r="K54" s="416">
        <f>+K55+K58</f>
        <v>3286547.76</v>
      </c>
      <c r="L54" s="29">
        <f t="shared" si="58"/>
        <v>97.858540263000862</v>
      </c>
      <c r="M54" s="416">
        <f t="shared" si="6"/>
        <v>-71920.240000000224</v>
      </c>
      <c r="N54" s="3683"/>
    </row>
    <row r="55" spans="1:14" s="2091" customFormat="1" ht="14.25" customHeight="1" x14ac:dyDescent="0.2">
      <c r="A55" s="3679"/>
      <c r="B55" s="2339" t="s">
        <v>3</v>
      </c>
      <c r="C55" s="3689" t="s">
        <v>170</v>
      </c>
      <c r="D55" s="558">
        <f>+D56</f>
        <v>15526098.699999999</v>
      </c>
      <c r="E55" s="559">
        <f>+E56+E57</f>
        <v>10525763</v>
      </c>
      <c r="F55" s="520">
        <f>+F56+F57</f>
        <v>3239307.7</v>
      </c>
      <c r="G55" s="559">
        <f>+G56+G57</f>
        <v>1761028</v>
      </c>
      <c r="H55" s="685">
        <f>+H56+H57</f>
        <v>0</v>
      </c>
      <c r="I55" s="558">
        <f>I56</f>
        <v>15490138.460000001</v>
      </c>
      <c r="J55" s="176">
        <f t="shared" si="57"/>
        <v>99.768388436175542</v>
      </c>
      <c r="K55" s="559">
        <f>+K56+K57</f>
        <v>1725067.76</v>
      </c>
      <c r="L55" s="176">
        <f t="shared" si="58"/>
        <v>97.957997260690917</v>
      </c>
      <c r="M55" s="559">
        <f t="shared" si="6"/>
        <v>-35960.239999999991</v>
      </c>
      <c r="N55" s="3683"/>
    </row>
    <row r="56" spans="1:14" s="2091" customFormat="1" ht="14.25" customHeight="1" x14ac:dyDescent="0.2">
      <c r="A56" s="3679"/>
      <c r="B56" s="2347" t="s">
        <v>7</v>
      </c>
      <c r="C56" s="3690"/>
      <c r="D56" s="464">
        <f>+E56+F56+G56+H56</f>
        <v>15526098.699999999</v>
      </c>
      <c r="E56" s="463">
        <f>2167528+8358235</f>
        <v>10525763</v>
      </c>
      <c r="F56" s="2342">
        <f>3239308-0.3</f>
        <v>3239307.7</v>
      </c>
      <c r="G56" s="463">
        <v>1761028</v>
      </c>
      <c r="H56" s="483">
        <v>0</v>
      </c>
      <c r="I56" s="464">
        <f>F56+K56+E56</f>
        <v>15490138.460000001</v>
      </c>
      <c r="J56" s="465">
        <f t="shared" si="57"/>
        <v>99.768388436175542</v>
      </c>
      <c r="K56" s="463">
        <v>1725067.76</v>
      </c>
      <c r="L56" s="465">
        <f t="shared" si="58"/>
        <v>97.957997260690917</v>
      </c>
      <c r="M56" s="463">
        <f t="shared" si="6"/>
        <v>-35960.239999999991</v>
      </c>
      <c r="N56" s="3683"/>
    </row>
    <row r="57" spans="1:14" s="2091" customFormat="1" ht="12" hidden="1" customHeight="1" x14ac:dyDescent="0.2">
      <c r="A57" s="3679"/>
      <c r="B57" s="2347" t="s">
        <v>167</v>
      </c>
      <c r="C57" s="3690"/>
      <c r="D57" s="464" t="e">
        <f>+E57+F57+G57+#REF!+#REF!+#REF!</f>
        <v>#REF!</v>
      </c>
      <c r="E57" s="463"/>
      <c r="F57" s="2342">
        <v>0</v>
      </c>
      <c r="G57" s="463"/>
      <c r="H57" s="483"/>
      <c r="I57" s="464"/>
      <c r="J57" s="465" t="e">
        <f t="shared" si="57"/>
        <v>#REF!</v>
      </c>
      <c r="K57" s="463">
        <v>0</v>
      </c>
      <c r="L57" s="465" t="e">
        <f t="shared" si="58"/>
        <v>#DIV/0!</v>
      </c>
      <c r="M57" s="463">
        <f t="shared" si="6"/>
        <v>0</v>
      </c>
      <c r="N57" s="3683"/>
    </row>
    <row r="58" spans="1:14" s="2091" customFormat="1" ht="15" customHeight="1" x14ac:dyDescent="0.2">
      <c r="A58" s="3679"/>
      <c r="B58" s="2339" t="s">
        <v>12</v>
      </c>
      <c r="C58" s="3690"/>
      <c r="D58" s="558">
        <f t="shared" ref="D58:H58" si="62">+D59</f>
        <v>14068729.5</v>
      </c>
      <c r="E58" s="559">
        <f t="shared" si="62"/>
        <v>10525762.699999999</v>
      </c>
      <c r="F58" s="520">
        <f>+F59+F60</f>
        <v>1945526.8</v>
      </c>
      <c r="G58" s="559">
        <f t="shared" ref="G58" si="63">+G59</f>
        <v>1597440</v>
      </c>
      <c r="H58" s="685">
        <f t="shared" si="62"/>
        <v>0</v>
      </c>
      <c r="I58" s="558">
        <f>I59</f>
        <v>14032769.5</v>
      </c>
      <c r="J58" s="176">
        <f t="shared" si="57"/>
        <v>99.744397672867336</v>
      </c>
      <c r="K58" s="559">
        <f>+K59</f>
        <v>1561480</v>
      </c>
      <c r="L58" s="176">
        <f t="shared" si="58"/>
        <v>97.748898237179489</v>
      </c>
      <c r="M58" s="559">
        <f t="shared" si="6"/>
        <v>-35960</v>
      </c>
      <c r="N58" s="3683"/>
    </row>
    <row r="59" spans="1:14" s="2091" customFormat="1" ht="15" customHeight="1" thickBot="1" x14ac:dyDescent="0.25">
      <c r="A59" s="3670"/>
      <c r="B59" s="2350" t="s">
        <v>14</v>
      </c>
      <c r="C59" s="3691"/>
      <c r="D59" s="504">
        <f>+E59+F59+G59+H59</f>
        <v>14068729.5</v>
      </c>
      <c r="E59" s="502">
        <f>2167528+8358235-0.3</f>
        <v>10525762.699999999</v>
      </c>
      <c r="F59" s="2351">
        <f>1945527-0.2</f>
        <v>1945526.8</v>
      </c>
      <c r="G59" s="502">
        <v>1597440</v>
      </c>
      <c r="H59" s="603">
        <v>0</v>
      </c>
      <c r="I59" s="504">
        <f>F59+K59+E59</f>
        <v>14032769.5</v>
      </c>
      <c r="J59" s="505">
        <f t="shared" si="57"/>
        <v>99.744397672867336</v>
      </c>
      <c r="K59" s="463">
        <v>1561480</v>
      </c>
      <c r="L59" s="505">
        <f t="shared" si="58"/>
        <v>97.748898237179489</v>
      </c>
      <c r="M59" s="502">
        <f t="shared" si="6"/>
        <v>-35960</v>
      </c>
      <c r="N59" s="3672"/>
    </row>
    <row r="60" spans="1:14" s="2091" customFormat="1" ht="66" hidden="1" customHeight="1" x14ac:dyDescent="0.25">
      <c r="A60" s="3630" t="s">
        <v>40</v>
      </c>
      <c r="B60" s="2304" t="s">
        <v>296</v>
      </c>
      <c r="C60" s="2352" t="s">
        <v>168</v>
      </c>
      <c r="D60" s="2306"/>
      <c r="E60" s="2307"/>
      <c r="F60" s="2307"/>
      <c r="G60" s="2353"/>
      <c r="H60" s="2354"/>
      <c r="I60" s="2337"/>
      <c r="J60" s="2307"/>
      <c r="K60" s="2307"/>
      <c r="L60" s="2355"/>
      <c r="M60" s="2307">
        <f t="shared" si="6"/>
        <v>0</v>
      </c>
      <c r="N60" s="3692" t="s">
        <v>171</v>
      </c>
    </row>
    <row r="61" spans="1:14" s="2091" customFormat="1" ht="15.75" hidden="1" customHeight="1" x14ac:dyDescent="0.25">
      <c r="A61" s="3628"/>
      <c r="B61" s="512" t="s">
        <v>2</v>
      </c>
      <c r="C61" s="2356"/>
      <c r="D61" s="2357">
        <f t="shared" ref="D61" si="64">+D62+D65</f>
        <v>0</v>
      </c>
      <c r="E61" s="416">
        <f>+E62+E65</f>
        <v>0</v>
      </c>
      <c r="F61" s="416">
        <f>+F62+F65</f>
        <v>0</v>
      </c>
      <c r="G61" s="2358">
        <f t="shared" ref="G61:H61" si="65">+G62+G65</f>
        <v>0</v>
      </c>
      <c r="H61" s="1130">
        <f t="shared" si="65"/>
        <v>0</v>
      </c>
      <c r="I61" s="415">
        <f>I62+I65</f>
        <v>0</v>
      </c>
      <c r="J61" s="29" t="e">
        <f t="shared" ref="J61:J72" si="66">I61/D61*100</f>
        <v>#DIV/0!</v>
      </c>
      <c r="K61" s="593">
        <f>+K62+K65</f>
        <v>0</v>
      </c>
      <c r="L61" s="1434">
        <v>0</v>
      </c>
      <c r="M61" s="593">
        <f t="shared" si="6"/>
        <v>0</v>
      </c>
      <c r="N61" s="3693"/>
    </row>
    <row r="62" spans="1:14" s="2091" customFormat="1" ht="15.75" hidden="1" customHeight="1" x14ac:dyDescent="0.25">
      <c r="A62" s="3628"/>
      <c r="B62" s="1147" t="s">
        <v>3</v>
      </c>
      <c r="C62" s="3697" t="s">
        <v>172</v>
      </c>
      <c r="D62" s="2359">
        <f>+D64</f>
        <v>0</v>
      </c>
      <c r="E62" s="559">
        <f>SUM(E63:E64)</f>
        <v>0</v>
      </c>
      <c r="F62" s="559">
        <f>SUM(F63:F64)</f>
        <v>0</v>
      </c>
      <c r="G62" s="2360">
        <f>SUM(G63:G64)</f>
        <v>0</v>
      </c>
      <c r="H62" s="2361">
        <f>SUM(H63:H64)</f>
        <v>0</v>
      </c>
      <c r="I62" s="913">
        <f>SUM(I63:I64)</f>
        <v>0</v>
      </c>
      <c r="J62" s="1015" t="e">
        <f t="shared" si="66"/>
        <v>#DIV/0!</v>
      </c>
      <c r="K62" s="605">
        <f>SUM(K63:K64)</f>
        <v>0</v>
      </c>
      <c r="L62" s="2362">
        <v>0</v>
      </c>
      <c r="M62" s="585">
        <f t="shared" si="6"/>
        <v>0</v>
      </c>
      <c r="N62" s="3693"/>
    </row>
    <row r="63" spans="1:14" s="2091" customFormat="1" ht="12" hidden="1" customHeight="1" x14ac:dyDescent="0.25">
      <c r="A63" s="3628"/>
      <c r="B63" s="493" t="s">
        <v>4</v>
      </c>
      <c r="C63" s="3698"/>
      <c r="D63" s="2363" t="e">
        <f>+E63+F63+G63+#REF!+#REF!+#REF!</f>
        <v>#REF!</v>
      </c>
      <c r="E63" s="2316">
        <v>0</v>
      </c>
      <c r="F63" s="2316">
        <v>0</v>
      </c>
      <c r="G63" s="2364">
        <v>0</v>
      </c>
      <c r="H63" s="2343"/>
      <c r="I63" s="2365"/>
      <c r="J63" s="2346" t="e">
        <f t="shared" si="66"/>
        <v>#REF!</v>
      </c>
      <c r="K63" s="2366"/>
      <c r="L63" s="2367" t="e">
        <f>K63/G63*100</f>
        <v>#DIV/0!</v>
      </c>
      <c r="M63" s="2368">
        <f t="shared" si="6"/>
        <v>0</v>
      </c>
      <c r="N63" s="3694"/>
    </row>
    <row r="64" spans="1:14" s="2091" customFormat="1" ht="15" hidden="1" customHeight="1" x14ac:dyDescent="0.25">
      <c r="A64" s="3628"/>
      <c r="B64" s="2369" t="s">
        <v>7</v>
      </c>
      <c r="C64" s="3699"/>
      <c r="D64" s="2370">
        <f>+E64+F64+G64+H64</f>
        <v>0</v>
      </c>
      <c r="E64" s="463"/>
      <c r="F64" s="463"/>
      <c r="G64" s="2371">
        <v>0</v>
      </c>
      <c r="H64" s="498">
        <v>0</v>
      </c>
      <c r="I64" s="464"/>
      <c r="J64" s="465" t="e">
        <f t="shared" si="66"/>
        <v>#DIV/0!</v>
      </c>
      <c r="K64" s="470">
        <v>0</v>
      </c>
      <c r="L64" s="1029">
        <v>0</v>
      </c>
      <c r="M64" s="470">
        <f t="shared" si="6"/>
        <v>0</v>
      </c>
      <c r="N64" s="3695"/>
    </row>
    <row r="65" spans="1:14" s="2091" customFormat="1" ht="15" hidden="1" customHeight="1" x14ac:dyDescent="0.25">
      <c r="A65" s="3628"/>
      <c r="B65" s="2372" t="s">
        <v>12</v>
      </c>
      <c r="C65" s="3699"/>
      <c r="D65" s="2359">
        <f t="shared" ref="D65:H65" si="67">+D66</f>
        <v>0</v>
      </c>
      <c r="E65" s="559">
        <f t="shared" si="67"/>
        <v>0</v>
      </c>
      <c r="F65" s="559">
        <f t="shared" si="67"/>
        <v>0</v>
      </c>
      <c r="G65" s="2360">
        <f t="shared" si="67"/>
        <v>0</v>
      </c>
      <c r="H65" s="2361">
        <f t="shared" si="67"/>
        <v>0</v>
      </c>
      <c r="I65" s="913">
        <f t="shared" ref="I65" si="68">+I66</f>
        <v>0</v>
      </c>
      <c r="J65" s="1015" t="e">
        <f t="shared" si="66"/>
        <v>#DIV/0!</v>
      </c>
      <c r="K65" s="605">
        <f>+K66</f>
        <v>0</v>
      </c>
      <c r="L65" s="2362">
        <v>0</v>
      </c>
      <c r="M65" s="585">
        <f t="shared" si="6"/>
        <v>0</v>
      </c>
      <c r="N65" s="3693"/>
    </row>
    <row r="66" spans="1:14" s="2091" customFormat="1" ht="15" hidden="1" customHeight="1" x14ac:dyDescent="0.25">
      <c r="A66" s="3628"/>
      <c r="B66" s="493" t="s">
        <v>14</v>
      </c>
      <c r="C66" s="3699"/>
      <c r="D66" s="2370">
        <f>+E66+F66+G66+H66</f>
        <v>0</v>
      </c>
      <c r="E66" s="463"/>
      <c r="F66" s="463"/>
      <c r="G66" s="2371">
        <v>0</v>
      </c>
      <c r="H66" s="498">
        <v>0</v>
      </c>
      <c r="I66" s="464"/>
      <c r="J66" s="465" t="e">
        <f t="shared" si="66"/>
        <v>#DIV/0!</v>
      </c>
      <c r="K66" s="470">
        <v>0</v>
      </c>
      <c r="L66" s="1029">
        <v>0</v>
      </c>
      <c r="M66" s="470">
        <f t="shared" si="6"/>
        <v>0</v>
      </c>
      <c r="N66" s="3693"/>
    </row>
    <row r="67" spans="1:14" s="2091" customFormat="1" ht="15" hidden="1" customHeight="1" x14ac:dyDescent="0.25">
      <c r="A67" s="3628"/>
      <c r="B67" s="512" t="s">
        <v>16</v>
      </c>
      <c r="C67" s="2356"/>
      <c r="D67" s="2357">
        <f t="shared" ref="D67" si="69">+D68+D71</f>
        <v>0</v>
      </c>
      <c r="E67" s="416">
        <f>+E68+E71</f>
        <v>0</v>
      </c>
      <c r="F67" s="593">
        <f>+F68+F71</f>
        <v>0</v>
      </c>
      <c r="G67" s="2358">
        <f t="shared" ref="G67:H67" si="70">+G68+G71</f>
        <v>0</v>
      </c>
      <c r="H67" s="1130">
        <f t="shared" si="70"/>
        <v>0</v>
      </c>
      <c r="I67" s="415">
        <f t="shared" ref="I67" si="71">+I68+I71</f>
        <v>0</v>
      </c>
      <c r="J67" s="29" t="e">
        <f t="shared" si="66"/>
        <v>#DIV/0!</v>
      </c>
      <c r="K67" s="593">
        <f>+K68+K71</f>
        <v>0</v>
      </c>
      <c r="L67" s="593">
        <v>0</v>
      </c>
      <c r="M67" s="593">
        <f t="shared" si="6"/>
        <v>0</v>
      </c>
      <c r="N67" s="3693"/>
    </row>
    <row r="68" spans="1:14" s="2091" customFormat="1" ht="15" hidden="1" customHeight="1" x14ac:dyDescent="0.25">
      <c r="A68" s="3628"/>
      <c r="B68" s="1147" t="s">
        <v>3</v>
      </c>
      <c r="C68" s="2373"/>
      <c r="D68" s="2359">
        <f>+D69</f>
        <v>0</v>
      </c>
      <c r="E68" s="559">
        <f>+E69+E70</f>
        <v>0</v>
      </c>
      <c r="F68" s="585">
        <f>+F69+F70</f>
        <v>0</v>
      </c>
      <c r="G68" s="2360">
        <f>+G69+G70</f>
        <v>0</v>
      </c>
      <c r="H68" s="2361">
        <f>+H69+H70</f>
        <v>0</v>
      </c>
      <c r="I68" s="913">
        <f>+I69+I70</f>
        <v>0</v>
      </c>
      <c r="J68" s="1015" t="e">
        <f t="shared" si="66"/>
        <v>#DIV/0!</v>
      </c>
      <c r="K68" s="605">
        <f>+K69+K70</f>
        <v>0</v>
      </c>
      <c r="L68" s="607">
        <v>0</v>
      </c>
      <c r="M68" s="585">
        <f t="shared" si="6"/>
        <v>0</v>
      </c>
      <c r="N68" s="3693"/>
    </row>
    <row r="69" spans="1:14" s="2091" customFormat="1" ht="15" hidden="1" customHeight="1" x14ac:dyDescent="0.25">
      <c r="A69" s="3628"/>
      <c r="B69" s="2369" t="s">
        <v>7</v>
      </c>
      <c r="C69" s="2373"/>
      <c r="D69" s="2370">
        <f>+E69+F69+G69+H69</f>
        <v>0</v>
      </c>
      <c r="E69" s="463"/>
      <c r="F69" s="470">
        <v>0</v>
      </c>
      <c r="G69" s="2371">
        <v>0</v>
      </c>
      <c r="H69" s="498">
        <v>0</v>
      </c>
      <c r="I69" s="464"/>
      <c r="J69" s="465" t="e">
        <f t="shared" si="66"/>
        <v>#DIV/0!</v>
      </c>
      <c r="K69" s="470">
        <v>0</v>
      </c>
      <c r="L69" s="470">
        <v>0</v>
      </c>
      <c r="M69" s="470">
        <f t="shared" si="6"/>
        <v>0</v>
      </c>
      <c r="N69" s="3693"/>
    </row>
    <row r="70" spans="1:14" s="2091" customFormat="1" ht="12" hidden="1" customHeight="1" x14ac:dyDescent="0.25">
      <c r="A70" s="3628"/>
      <c r="B70" s="493" t="s">
        <v>167</v>
      </c>
      <c r="C70" s="2373"/>
      <c r="D70" s="2374" t="e">
        <f>+E70+F70+G70+#REF!+#REF!+#REF!</f>
        <v>#REF!</v>
      </c>
      <c r="E70" s="2341">
        <v>0</v>
      </c>
      <c r="F70" s="2343">
        <v>0</v>
      </c>
      <c r="G70" s="2375">
        <v>0</v>
      </c>
      <c r="H70" s="2343"/>
      <c r="I70" s="2365"/>
      <c r="J70" s="2346" t="e">
        <f t="shared" si="66"/>
        <v>#REF!</v>
      </c>
      <c r="K70" s="2366"/>
      <c r="L70" s="1421" t="e">
        <f>K70/G70*100</f>
        <v>#DIV/0!</v>
      </c>
      <c r="M70" s="2368">
        <f t="shared" si="6"/>
        <v>0</v>
      </c>
      <c r="N70" s="3693"/>
    </row>
    <row r="71" spans="1:14" s="2091" customFormat="1" ht="15" hidden="1" customHeight="1" thickBot="1" x14ac:dyDescent="0.25">
      <c r="A71" s="3628"/>
      <c r="B71" s="2372" t="s">
        <v>12</v>
      </c>
      <c r="C71" s="2373"/>
      <c r="D71" s="2359">
        <f t="shared" ref="D71:H71" si="72">+D72+D130</f>
        <v>0</v>
      </c>
      <c r="E71" s="559">
        <f t="shared" si="72"/>
        <v>0</v>
      </c>
      <c r="F71" s="585">
        <f t="shared" si="72"/>
        <v>0</v>
      </c>
      <c r="G71" s="2360">
        <f t="shared" si="72"/>
        <v>0</v>
      </c>
      <c r="H71" s="2361">
        <f t="shared" si="72"/>
        <v>0</v>
      </c>
      <c r="I71" s="913">
        <f t="shared" ref="I71" si="73">+I72+I130</f>
        <v>0</v>
      </c>
      <c r="J71" s="1015" t="e">
        <f t="shared" si="66"/>
        <v>#DIV/0!</v>
      </c>
      <c r="K71" s="605">
        <f>+K72+K130</f>
        <v>0</v>
      </c>
      <c r="L71" s="607">
        <v>0</v>
      </c>
      <c r="M71" s="585">
        <f t="shared" si="6"/>
        <v>0</v>
      </c>
      <c r="N71" s="3694"/>
    </row>
    <row r="72" spans="1:14" s="2091" customFormat="1" ht="15" hidden="1" customHeight="1" thickBot="1" x14ac:dyDescent="0.25">
      <c r="A72" s="3649"/>
      <c r="B72" s="562" t="s">
        <v>14</v>
      </c>
      <c r="C72" s="1247"/>
      <c r="D72" s="2376">
        <f>+E72+F72+G72+H72</f>
        <v>0</v>
      </c>
      <c r="E72" s="1072"/>
      <c r="F72" s="1072">
        <v>0</v>
      </c>
      <c r="G72" s="2377">
        <v>0</v>
      </c>
      <c r="H72" s="548">
        <v>0</v>
      </c>
      <c r="I72" s="504"/>
      <c r="J72" s="505" t="e">
        <f t="shared" si="66"/>
        <v>#DIV/0!</v>
      </c>
      <c r="K72" s="526">
        <v>0</v>
      </c>
      <c r="L72" s="526">
        <v>0</v>
      </c>
      <c r="M72" s="526">
        <f t="shared" si="6"/>
        <v>0</v>
      </c>
      <c r="N72" s="3696"/>
    </row>
    <row r="73" spans="1:14" ht="45" customHeight="1" x14ac:dyDescent="0.2">
      <c r="A73" s="3684" t="s">
        <v>40</v>
      </c>
      <c r="B73" s="2336" t="s">
        <v>295</v>
      </c>
      <c r="C73" s="2352" t="s">
        <v>173</v>
      </c>
      <c r="D73" s="2378"/>
      <c r="E73" s="2379"/>
      <c r="F73" s="2380"/>
      <c r="G73" s="2380"/>
      <c r="H73" s="2381"/>
      <c r="I73" s="2382"/>
      <c r="J73" s="2383"/>
      <c r="K73" s="2380"/>
      <c r="L73" s="2380"/>
      <c r="M73" s="2380"/>
      <c r="N73" s="3682" t="s">
        <v>174</v>
      </c>
    </row>
    <row r="74" spans="1:14" ht="12.95" customHeight="1" x14ac:dyDescent="0.2">
      <c r="A74" s="3685"/>
      <c r="B74" s="566" t="s">
        <v>2</v>
      </c>
      <c r="C74" s="2384"/>
      <c r="D74" s="2357">
        <f t="shared" ref="D74:H74" si="74">+D75+D79</f>
        <v>6870332</v>
      </c>
      <c r="E74" s="416">
        <f t="shared" si="74"/>
        <v>1304141</v>
      </c>
      <c r="F74" s="416">
        <f t="shared" si="74"/>
        <v>1342191</v>
      </c>
      <c r="G74" s="416">
        <f t="shared" si="74"/>
        <v>1441000</v>
      </c>
      <c r="H74" s="417">
        <f t="shared" si="74"/>
        <v>2783000</v>
      </c>
      <c r="I74" s="415">
        <f>I75+I79</f>
        <v>4053793.34</v>
      </c>
      <c r="J74" s="29">
        <f t="shared" ref="J74:J91" si="75">I74/D74*100</f>
        <v>59.004329630649579</v>
      </c>
      <c r="K74" s="416">
        <f>+K75+K79</f>
        <v>1407461.34</v>
      </c>
      <c r="L74" s="29">
        <f>K74/G74*100</f>
        <v>97.672542678695351</v>
      </c>
      <c r="M74" s="416">
        <f t="shared" ref="M74:M138" si="76">+K74-G74</f>
        <v>-33538.659999999916</v>
      </c>
      <c r="N74" s="3683"/>
    </row>
    <row r="75" spans="1:14" ht="12.95" customHeight="1" x14ac:dyDescent="0.2">
      <c r="A75" s="3685"/>
      <c r="B75" s="2339" t="s">
        <v>3</v>
      </c>
      <c r="C75" s="3687" t="s">
        <v>172</v>
      </c>
      <c r="D75" s="2385">
        <f>+D76+D78+D77</f>
        <v>1872033.7</v>
      </c>
      <c r="E75" s="560">
        <f>SUM(E76:E78)</f>
        <v>378118.7</v>
      </c>
      <c r="F75" s="560">
        <f>SUM(F76:F78)</f>
        <v>374915</v>
      </c>
      <c r="G75" s="560">
        <f>SUM(G76:G78)</f>
        <v>391000</v>
      </c>
      <c r="H75" s="2386">
        <f>SUM(H77:H78)</f>
        <v>728000</v>
      </c>
      <c r="I75" s="913">
        <f>I76+I78+I77</f>
        <v>1133731</v>
      </c>
      <c r="J75" s="1015">
        <f t="shared" si="75"/>
        <v>60.561463183061292</v>
      </c>
      <c r="K75" s="560">
        <f>K76+K78+K77</f>
        <v>380697.3</v>
      </c>
      <c r="L75" s="1015">
        <f>K75/G75*100</f>
        <v>97.365038363171351</v>
      </c>
      <c r="M75" s="560">
        <f t="shared" si="76"/>
        <v>-10302.700000000012</v>
      </c>
      <c r="N75" s="3683"/>
    </row>
    <row r="76" spans="1:14" ht="12.95" customHeight="1" x14ac:dyDescent="0.2">
      <c r="A76" s="3685"/>
      <c r="B76" s="460" t="s">
        <v>4</v>
      </c>
      <c r="C76" s="3687"/>
      <c r="D76" s="2370">
        <f>+E76+F76+G76+H76</f>
        <v>74756</v>
      </c>
      <c r="E76" s="463">
        <v>74756</v>
      </c>
      <c r="F76" s="463">
        <v>0</v>
      </c>
      <c r="G76" s="470">
        <v>0</v>
      </c>
      <c r="H76" s="468">
        <v>0</v>
      </c>
      <c r="I76" s="464">
        <f>F76+K76+E76</f>
        <v>74756</v>
      </c>
      <c r="J76" s="465">
        <f t="shared" si="75"/>
        <v>100</v>
      </c>
      <c r="K76" s="470">
        <v>0</v>
      </c>
      <c r="L76" s="470">
        <v>0</v>
      </c>
      <c r="M76" s="470">
        <f t="shared" si="76"/>
        <v>0</v>
      </c>
      <c r="N76" s="3683"/>
    </row>
    <row r="77" spans="1:14" ht="12.95" customHeight="1" x14ac:dyDescent="0.2">
      <c r="A77" s="3685"/>
      <c r="B77" s="460" t="s">
        <v>7</v>
      </c>
      <c r="C77" s="3687"/>
      <c r="D77" s="2370">
        <f>+E77+F77+G77+H77</f>
        <v>1680569</v>
      </c>
      <c r="E77" s="463">
        <v>186654</v>
      </c>
      <c r="F77" s="2387">
        <v>374915</v>
      </c>
      <c r="G77" s="463">
        <v>391000</v>
      </c>
      <c r="H77" s="1066">
        <v>728000</v>
      </c>
      <c r="I77" s="464">
        <f>F77+K77+E77</f>
        <v>942266.3</v>
      </c>
      <c r="J77" s="465">
        <f t="shared" si="75"/>
        <v>56.068289966076968</v>
      </c>
      <c r="K77" s="463">
        <v>380697.3</v>
      </c>
      <c r="L77" s="465">
        <f>K77/G77*100</f>
        <v>97.365038363171351</v>
      </c>
      <c r="M77" s="463">
        <f t="shared" si="76"/>
        <v>-10302.700000000012</v>
      </c>
      <c r="N77" s="3683"/>
    </row>
    <row r="78" spans="1:14" ht="12.95" customHeight="1" x14ac:dyDescent="0.2">
      <c r="A78" s="3685"/>
      <c r="B78" s="460" t="s">
        <v>8</v>
      </c>
      <c r="C78" s="3687"/>
      <c r="D78" s="2370">
        <f>+E78+F78+G78+H78</f>
        <v>116708.7</v>
      </c>
      <c r="E78" s="463">
        <f>4966+111743-0.3</f>
        <v>116708.7</v>
      </c>
      <c r="F78" s="463">
        <v>0</v>
      </c>
      <c r="G78" s="470">
        <v>0</v>
      </c>
      <c r="H78" s="468">
        <v>0</v>
      </c>
      <c r="I78" s="464">
        <f>F78+K78+E78</f>
        <v>116708.7</v>
      </c>
      <c r="J78" s="465">
        <f t="shared" si="75"/>
        <v>100</v>
      </c>
      <c r="K78" s="470">
        <v>0</v>
      </c>
      <c r="L78" s="470">
        <v>0</v>
      </c>
      <c r="M78" s="470">
        <f t="shared" si="76"/>
        <v>0</v>
      </c>
      <c r="N78" s="3683"/>
    </row>
    <row r="79" spans="1:14" ht="12.95" customHeight="1" x14ac:dyDescent="0.2">
      <c r="A79" s="3685"/>
      <c r="B79" s="2339" t="s">
        <v>12</v>
      </c>
      <c r="C79" s="3687"/>
      <c r="D79" s="2385">
        <f>+D82+D81+D80</f>
        <v>4998298.3</v>
      </c>
      <c r="E79" s="560">
        <f>E82+E81+E80</f>
        <v>926022.3</v>
      </c>
      <c r="F79" s="560">
        <f t="shared" ref="F79:H79" si="77">F82+F81+F80</f>
        <v>967276</v>
      </c>
      <c r="G79" s="560">
        <f t="shared" si="77"/>
        <v>1050000</v>
      </c>
      <c r="H79" s="560">
        <f t="shared" si="77"/>
        <v>2055000</v>
      </c>
      <c r="I79" s="913">
        <f>+I82+I81+I80</f>
        <v>2920062.34</v>
      </c>
      <c r="J79" s="1015">
        <f t="shared" si="75"/>
        <v>58.421129847332246</v>
      </c>
      <c r="K79" s="913">
        <f>+K82+K81+K80</f>
        <v>1026764.04</v>
      </c>
      <c r="L79" s="1015">
        <f>K79/G79*100</f>
        <v>97.787051428571431</v>
      </c>
      <c r="M79" s="560">
        <f t="shared" si="76"/>
        <v>-23235.959999999963</v>
      </c>
      <c r="N79" s="3683"/>
    </row>
    <row r="80" spans="1:14" ht="12.95" customHeight="1" x14ac:dyDescent="0.2">
      <c r="A80" s="3685"/>
      <c r="B80" s="460" t="s">
        <v>4</v>
      </c>
      <c r="C80" s="3687"/>
      <c r="D80" s="2370">
        <f>+E80+F80+G80+H80</f>
        <v>53022</v>
      </c>
      <c r="E80" s="463">
        <v>53022</v>
      </c>
      <c r="F80" s="560"/>
      <c r="G80" s="560"/>
      <c r="H80" s="2386"/>
      <c r="I80" s="464">
        <f>F80+K80+E80</f>
        <v>53022</v>
      </c>
      <c r="J80" s="465">
        <f t="shared" ref="J80" si="78">I80/D80*100</f>
        <v>100</v>
      </c>
      <c r="K80" s="560"/>
      <c r="L80" s="1015"/>
      <c r="M80" s="560"/>
      <c r="N80" s="3683"/>
    </row>
    <row r="81" spans="1:14" ht="12.95" customHeight="1" x14ac:dyDescent="0.2">
      <c r="A81" s="3685"/>
      <c r="B81" s="460" t="s">
        <v>14</v>
      </c>
      <c r="C81" s="3687"/>
      <c r="D81" s="2370">
        <f>+E81+F81+G81+H81</f>
        <v>4631316</v>
      </c>
      <c r="E81" s="463">
        <v>559040</v>
      </c>
      <c r="F81" s="2387">
        <v>967276</v>
      </c>
      <c r="G81" s="463">
        <v>1050000</v>
      </c>
      <c r="H81" s="1066">
        <v>2055000</v>
      </c>
      <c r="I81" s="464">
        <f>F81+K81+E81</f>
        <v>2553080.04</v>
      </c>
      <c r="J81" s="465">
        <f t="shared" si="75"/>
        <v>55.126448724293489</v>
      </c>
      <c r="K81" s="463">
        <v>1026764.04</v>
      </c>
      <c r="L81" s="465">
        <f>K81/G81*100</f>
        <v>97.787051428571431</v>
      </c>
      <c r="M81" s="463">
        <f t="shared" si="76"/>
        <v>-23235.959999999963</v>
      </c>
      <c r="N81" s="3683"/>
    </row>
    <row r="82" spans="1:14" ht="12.95" customHeight="1" x14ac:dyDescent="0.2">
      <c r="A82" s="3685"/>
      <c r="B82" s="460" t="s">
        <v>8</v>
      </c>
      <c r="C82" s="3687"/>
      <c r="D82" s="2370">
        <f>+E82+F82+G82+H82</f>
        <v>313960.3</v>
      </c>
      <c r="E82" s="463">
        <f>14897+299063+0.3</f>
        <v>313960.3</v>
      </c>
      <c r="F82" s="463">
        <v>0</v>
      </c>
      <c r="G82" s="470">
        <v>0</v>
      </c>
      <c r="H82" s="468">
        <v>0</v>
      </c>
      <c r="I82" s="464">
        <f>F82+K82+E82</f>
        <v>313960.3</v>
      </c>
      <c r="J82" s="465">
        <f t="shared" si="75"/>
        <v>100</v>
      </c>
      <c r="K82" s="470">
        <v>0</v>
      </c>
      <c r="L82" s="470">
        <v>0</v>
      </c>
      <c r="M82" s="470">
        <f t="shared" si="76"/>
        <v>0</v>
      </c>
      <c r="N82" s="3683"/>
    </row>
    <row r="83" spans="1:14" ht="12.95" customHeight="1" x14ac:dyDescent="0.2">
      <c r="A83" s="3685"/>
      <c r="B83" s="566" t="s">
        <v>16</v>
      </c>
      <c r="C83" s="2384"/>
      <c r="D83" s="2357">
        <f>+D84+D88</f>
        <v>6813250</v>
      </c>
      <c r="E83" s="416">
        <f>+E84+E88</f>
        <v>1176363</v>
      </c>
      <c r="F83" s="416">
        <f>+F84+F88</f>
        <v>1412887</v>
      </c>
      <c r="G83" s="416">
        <f>+G84+G88</f>
        <v>1441000</v>
      </c>
      <c r="H83" s="417">
        <f>+H84+H88</f>
        <v>2783000</v>
      </c>
      <c r="I83" s="415">
        <f>I84+I88</f>
        <v>3996711.34</v>
      </c>
      <c r="J83" s="29">
        <f t="shared" si="75"/>
        <v>58.660864345209696</v>
      </c>
      <c r="K83" s="416">
        <f>+K84+K88</f>
        <v>1407461.34</v>
      </c>
      <c r="L83" s="29">
        <f>K83/G83*100</f>
        <v>97.672542678695351</v>
      </c>
      <c r="M83" s="416">
        <f t="shared" si="76"/>
        <v>-33538.659999999916</v>
      </c>
      <c r="N83" s="3683"/>
    </row>
    <row r="84" spans="1:14" ht="12.95" customHeight="1" x14ac:dyDescent="0.2">
      <c r="A84" s="3685"/>
      <c r="B84" s="2339" t="s">
        <v>3</v>
      </c>
      <c r="C84" s="3687" t="s">
        <v>172</v>
      </c>
      <c r="D84" s="2385">
        <f>+D86+D85+D87</f>
        <v>1814951.7</v>
      </c>
      <c r="E84" s="560">
        <f>E85+E86+E87</f>
        <v>303362.7</v>
      </c>
      <c r="F84" s="560">
        <f>F85+F86+F87</f>
        <v>392589</v>
      </c>
      <c r="G84" s="560">
        <f t="shared" ref="G84" si="79">G85+G86+G87</f>
        <v>391000</v>
      </c>
      <c r="H84" s="2386">
        <f t="shared" ref="H84" si="80">H85+H86+H87</f>
        <v>728000</v>
      </c>
      <c r="I84" s="913">
        <f>+I86+I85+I87</f>
        <v>1076649</v>
      </c>
      <c r="J84" s="1015">
        <f t="shared" si="75"/>
        <v>59.321082759392439</v>
      </c>
      <c r="K84" s="560">
        <f>+K86+K85+K87</f>
        <v>380697.3</v>
      </c>
      <c r="L84" s="1015">
        <f>K84/G84*100</f>
        <v>97.365038363171351</v>
      </c>
      <c r="M84" s="560">
        <f t="shared" si="76"/>
        <v>-10302.700000000012</v>
      </c>
      <c r="N84" s="3683"/>
    </row>
    <row r="85" spans="1:14" ht="12.95" customHeight="1" x14ac:dyDescent="0.2">
      <c r="A85" s="3685"/>
      <c r="B85" s="460" t="s">
        <v>7</v>
      </c>
      <c r="C85" s="3687"/>
      <c r="D85" s="2370">
        <f>+E85+F85+G85+H85</f>
        <v>1680569</v>
      </c>
      <c r="E85" s="463">
        <v>186654</v>
      </c>
      <c r="F85" s="2387">
        <v>374915</v>
      </c>
      <c r="G85" s="463">
        <v>391000</v>
      </c>
      <c r="H85" s="1066">
        <v>728000</v>
      </c>
      <c r="I85" s="464">
        <f>F85+K85+E85</f>
        <v>942266.3</v>
      </c>
      <c r="J85" s="465">
        <f t="shared" si="75"/>
        <v>56.068289966076968</v>
      </c>
      <c r="K85" s="463">
        <v>380697.3</v>
      </c>
      <c r="L85" s="465">
        <f>K85/G85*100</f>
        <v>97.365038363171351</v>
      </c>
      <c r="M85" s="463">
        <f t="shared" si="76"/>
        <v>-10302.700000000012</v>
      </c>
      <c r="N85" s="3683"/>
    </row>
    <row r="86" spans="1:14" ht="12.95" customHeight="1" x14ac:dyDescent="0.2">
      <c r="A86" s="3685"/>
      <c r="B86" s="460" t="s">
        <v>8</v>
      </c>
      <c r="C86" s="3687"/>
      <c r="D86" s="2370">
        <f>+E86+F86+G86+H86</f>
        <v>116708.7</v>
      </c>
      <c r="E86" s="463">
        <f>4966+111743-0.3</f>
        <v>116708.7</v>
      </c>
      <c r="F86" s="470">
        <v>0</v>
      </c>
      <c r="G86" s="470">
        <v>0</v>
      </c>
      <c r="H86" s="468">
        <v>0</v>
      </c>
      <c r="I86" s="464">
        <f>F86+K86+E86</f>
        <v>116708.7</v>
      </c>
      <c r="J86" s="465">
        <f t="shared" si="75"/>
        <v>100</v>
      </c>
      <c r="K86" s="470">
        <v>0</v>
      </c>
      <c r="L86" s="470">
        <v>0</v>
      </c>
      <c r="M86" s="470">
        <f t="shared" si="76"/>
        <v>0</v>
      </c>
      <c r="N86" s="3683"/>
    </row>
    <row r="87" spans="1:14" ht="12.95" customHeight="1" x14ac:dyDescent="0.2">
      <c r="A87" s="3685"/>
      <c r="B87" s="460" t="s">
        <v>167</v>
      </c>
      <c r="C87" s="3687"/>
      <c r="D87" s="2370">
        <f>+E87+F87+G87+H87</f>
        <v>17674</v>
      </c>
      <c r="E87" s="470">
        <v>0</v>
      </c>
      <c r="F87" s="463">
        <v>17674</v>
      </c>
      <c r="G87" s="470">
        <v>0</v>
      </c>
      <c r="H87" s="468">
        <v>0</v>
      </c>
      <c r="I87" s="464">
        <f>F87+K87+E87</f>
        <v>17674</v>
      </c>
      <c r="J87" s="465">
        <f t="shared" si="75"/>
        <v>100</v>
      </c>
      <c r="K87" s="470"/>
      <c r="L87" s="470"/>
      <c r="M87" s="470">
        <f t="shared" si="76"/>
        <v>0</v>
      </c>
      <c r="N87" s="3683"/>
    </row>
    <row r="88" spans="1:14" ht="12.95" customHeight="1" x14ac:dyDescent="0.2">
      <c r="A88" s="3685"/>
      <c r="B88" s="2339" t="s">
        <v>12</v>
      </c>
      <c r="C88" s="3687"/>
      <c r="D88" s="2385">
        <f>D89+D90+D91</f>
        <v>4998298.3</v>
      </c>
      <c r="E88" s="560">
        <f>E89+E90+E91</f>
        <v>873000.3</v>
      </c>
      <c r="F88" s="560">
        <f t="shared" ref="F88:H88" si="81">F89+F90+F91</f>
        <v>1020298</v>
      </c>
      <c r="G88" s="560">
        <f t="shared" si="81"/>
        <v>1050000</v>
      </c>
      <c r="H88" s="2386">
        <f t="shared" si="81"/>
        <v>2055000</v>
      </c>
      <c r="I88" s="913">
        <f>I89+I90+I91</f>
        <v>2920062.34</v>
      </c>
      <c r="J88" s="1015">
        <f t="shared" si="75"/>
        <v>58.421129847332246</v>
      </c>
      <c r="K88" s="560">
        <f>K89+K90+K91</f>
        <v>1026764.04</v>
      </c>
      <c r="L88" s="1015">
        <f>K88/G88*100</f>
        <v>97.787051428571431</v>
      </c>
      <c r="M88" s="560">
        <f t="shared" si="76"/>
        <v>-23235.959999999963</v>
      </c>
      <c r="N88" s="3683"/>
    </row>
    <row r="89" spans="1:14" ht="12.95" customHeight="1" x14ac:dyDescent="0.2">
      <c r="A89" s="3685"/>
      <c r="B89" s="460" t="s">
        <v>14</v>
      </c>
      <c r="C89" s="3687"/>
      <c r="D89" s="2370">
        <f>+E89+F89+G89+H89</f>
        <v>4631316</v>
      </c>
      <c r="E89" s="463">
        <v>559040</v>
      </c>
      <c r="F89" s="2387">
        <v>967276</v>
      </c>
      <c r="G89" s="463">
        <v>1050000</v>
      </c>
      <c r="H89" s="1066">
        <v>2055000</v>
      </c>
      <c r="I89" s="464">
        <f>F89+K89+E89</f>
        <v>2553080.04</v>
      </c>
      <c r="J89" s="465">
        <f t="shared" si="75"/>
        <v>55.126448724293489</v>
      </c>
      <c r="K89" s="463">
        <v>1026764.04</v>
      </c>
      <c r="L89" s="465">
        <f>K89/G89*100</f>
        <v>97.787051428571431</v>
      </c>
      <c r="M89" s="463">
        <f t="shared" si="76"/>
        <v>-23235.959999999963</v>
      </c>
      <c r="N89" s="3683"/>
    </row>
    <row r="90" spans="1:14" ht="12.95" customHeight="1" x14ac:dyDescent="0.2">
      <c r="A90" s="3685"/>
      <c r="B90" s="460" t="s">
        <v>8</v>
      </c>
      <c r="C90" s="3687"/>
      <c r="D90" s="2370">
        <f>+E90+F90+G90+H90</f>
        <v>313960.3</v>
      </c>
      <c r="E90" s="463">
        <f>14897+299063+0.3</f>
        <v>313960.3</v>
      </c>
      <c r="F90" s="470">
        <v>0</v>
      </c>
      <c r="G90" s="470">
        <v>0</v>
      </c>
      <c r="H90" s="468">
        <v>0</v>
      </c>
      <c r="I90" s="464">
        <f>F90+K90+E90</f>
        <v>313960.3</v>
      </c>
      <c r="J90" s="465">
        <f t="shared" si="75"/>
        <v>100</v>
      </c>
      <c r="K90" s="470">
        <v>0</v>
      </c>
      <c r="L90" s="470">
        <v>0</v>
      </c>
      <c r="M90" s="470">
        <f t="shared" si="76"/>
        <v>0</v>
      </c>
      <c r="N90" s="3683"/>
    </row>
    <row r="91" spans="1:14" ht="12.95" customHeight="1" thickBot="1" x14ac:dyDescent="0.25">
      <c r="A91" s="3686"/>
      <c r="B91" s="562" t="s">
        <v>13</v>
      </c>
      <c r="C91" s="3688"/>
      <c r="D91" s="2388">
        <f>+E91+F91+G91+H91</f>
        <v>53022</v>
      </c>
      <c r="E91" s="526">
        <v>0</v>
      </c>
      <c r="F91" s="502">
        <v>53022</v>
      </c>
      <c r="G91" s="526">
        <v>0</v>
      </c>
      <c r="H91" s="548">
        <v>0</v>
      </c>
      <c r="I91" s="504">
        <f>F91+K91+E91</f>
        <v>53022</v>
      </c>
      <c r="J91" s="505">
        <f t="shared" si="75"/>
        <v>100</v>
      </c>
      <c r="K91" s="526"/>
      <c r="L91" s="526"/>
      <c r="M91" s="526">
        <f t="shared" si="76"/>
        <v>0</v>
      </c>
      <c r="N91" s="3672"/>
    </row>
    <row r="92" spans="1:14" s="2091" customFormat="1" ht="39.75" customHeight="1" x14ac:dyDescent="0.2">
      <c r="A92" s="3637" t="s">
        <v>41</v>
      </c>
      <c r="B92" s="2336" t="s">
        <v>299</v>
      </c>
      <c r="C92" s="2305" t="s">
        <v>168</v>
      </c>
      <c r="D92" s="2306"/>
      <c r="E92" s="2307"/>
      <c r="F92" s="2307"/>
      <c r="G92" s="2307"/>
      <c r="H92" s="2338"/>
      <c r="I92" s="2309"/>
      <c r="J92" s="2310"/>
      <c r="K92" s="2311"/>
      <c r="L92" s="2310"/>
      <c r="M92" s="2307"/>
      <c r="N92" s="3624" t="s">
        <v>174</v>
      </c>
    </row>
    <row r="93" spans="1:14" s="2091" customFormat="1" ht="12" customHeight="1" x14ac:dyDescent="0.2">
      <c r="A93" s="3628"/>
      <c r="B93" s="566" t="s">
        <v>2</v>
      </c>
      <c r="C93" s="2313"/>
      <c r="D93" s="415">
        <f t="shared" ref="D93:H93" si="82">+D94+D98</f>
        <v>38955.300000000003</v>
      </c>
      <c r="E93" s="416">
        <f t="shared" si="82"/>
        <v>11475.3</v>
      </c>
      <c r="F93" s="416">
        <f t="shared" si="82"/>
        <v>27480</v>
      </c>
      <c r="G93" s="593">
        <f t="shared" si="82"/>
        <v>0</v>
      </c>
      <c r="H93" s="532">
        <f t="shared" si="82"/>
        <v>0</v>
      </c>
      <c r="I93" s="415">
        <f>I94+I98</f>
        <v>38955.300000000003</v>
      </c>
      <c r="J93" s="29">
        <f>I93/D93*100</f>
        <v>100</v>
      </c>
      <c r="K93" s="593">
        <f>+K94+K98</f>
        <v>0</v>
      </c>
      <c r="L93" s="593">
        <v>0</v>
      </c>
      <c r="M93" s="593">
        <f t="shared" si="76"/>
        <v>0</v>
      </c>
      <c r="N93" s="3625"/>
    </row>
    <row r="94" spans="1:14" s="2091" customFormat="1" ht="12" customHeight="1" thickBot="1" x14ac:dyDescent="0.25">
      <c r="A94" s="3629"/>
      <c r="B94" s="2339" t="s">
        <v>3</v>
      </c>
      <c r="C94" s="3193" t="s">
        <v>172</v>
      </c>
      <c r="D94" s="558">
        <f>+D95+D97+D96</f>
        <v>13592</v>
      </c>
      <c r="E94" s="559">
        <f>SUM(E95:E97)</f>
        <v>2868</v>
      </c>
      <c r="F94" s="559">
        <f>SUM(F95:F97)</f>
        <v>10724</v>
      </c>
      <c r="G94" s="585">
        <f>SUM(G95:G97)</f>
        <v>0</v>
      </c>
      <c r="H94" s="685">
        <f>SUM(H96:H97)</f>
        <v>0</v>
      </c>
      <c r="I94" s="558">
        <f>I95+I97+I96</f>
        <v>13592</v>
      </c>
      <c r="J94" s="176">
        <f>I94/D94*100</f>
        <v>100</v>
      </c>
      <c r="K94" s="585">
        <f>K95+K97+K96</f>
        <v>0</v>
      </c>
      <c r="L94" s="607">
        <v>0</v>
      </c>
      <c r="M94" s="585">
        <f t="shared" si="76"/>
        <v>0</v>
      </c>
      <c r="N94" s="3655"/>
    </row>
    <row r="95" spans="1:14" s="2091" customFormat="1" ht="8.25" hidden="1" customHeight="1" x14ac:dyDescent="0.25">
      <c r="A95" s="3629"/>
      <c r="B95" s="460" t="s">
        <v>4</v>
      </c>
      <c r="C95" s="3193"/>
      <c r="D95" s="2389">
        <f>+E95+F95+G95+H95</f>
        <v>0</v>
      </c>
      <c r="E95" s="2389"/>
      <c r="F95" s="2389"/>
      <c r="G95" s="2343">
        <v>0</v>
      </c>
      <c r="H95" s="2343">
        <v>0</v>
      </c>
      <c r="I95" s="2390"/>
      <c r="J95" s="2341"/>
      <c r="K95" s="2343">
        <v>0</v>
      </c>
      <c r="L95" s="2391"/>
      <c r="M95" s="2368">
        <f t="shared" si="76"/>
        <v>0</v>
      </c>
      <c r="N95" s="3633"/>
    </row>
    <row r="96" spans="1:14" s="2091" customFormat="1" ht="12" customHeight="1" x14ac:dyDescent="0.2">
      <c r="A96" s="3630"/>
      <c r="B96" s="460" t="s">
        <v>7</v>
      </c>
      <c r="C96" s="3193"/>
      <c r="D96" s="464">
        <f>+E96+F96+G96+H96</f>
        <v>10724</v>
      </c>
      <c r="E96" s="463">
        <v>0</v>
      </c>
      <c r="F96" s="463">
        <v>10724</v>
      </c>
      <c r="G96" s="470">
        <v>0</v>
      </c>
      <c r="H96" s="483">
        <v>0</v>
      </c>
      <c r="I96" s="464">
        <f>F96+K96+E96</f>
        <v>10724</v>
      </c>
      <c r="J96" s="465">
        <f t="shared" ref="J96:J107" si="83">I96/D96*100</f>
        <v>100</v>
      </c>
      <c r="K96" s="470">
        <v>0</v>
      </c>
      <c r="L96" s="470">
        <v>0</v>
      </c>
      <c r="M96" s="470">
        <f t="shared" si="76"/>
        <v>0</v>
      </c>
      <c r="N96" s="3624"/>
    </row>
    <row r="97" spans="1:14" s="2091" customFormat="1" ht="12" customHeight="1" x14ac:dyDescent="0.2">
      <c r="A97" s="3628"/>
      <c r="B97" s="460" t="s">
        <v>8</v>
      </c>
      <c r="C97" s="3193"/>
      <c r="D97" s="464">
        <f>+E97+F97+G97+H97</f>
        <v>2868</v>
      </c>
      <c r="E97" s="463">
        <v>2868</v>
      </c>
      <c r="F97" s="463">
        <v>0</v>
      </c>
      <c r="G97" s="470">
        <v>0</v>
      </c>
      <c r="H97" s="483">
        <v>0</v>
      </c>
      <c r="I97" s="464">
        <f>F97+K97+E97</f>
        <v>2868</v>
      </c>
      <c r="J97" s="465">
        <f t="shared" si="83"/>
        <v>100</v>
      </c>
      <c r="K97" s="470">
        <v>0</v>
      </c>
      <c r="L97" s="470">
        <v>0</v>
      </c>
      <c r="M97" s="470">
        <f t="shared" si="76"/>
        <v>0</v>
      </c>
      <c r="N97" s="3625"/>
    </row>
    <row r="98" spans="1:14" s="2091" customFormat="1" ht="12" customHeight="1" x14ac:dyDescent="0.2">
      <c r="A98" s="3628"/>
      <c r="B98" s="2339" t="s">
        <v>12</v>
      </c>
      <c r="C98" s="3193"/>
      <c r="D98" s="558">
        <f>+D100+D99</f>
        <v>25363.3</v>
      </c>
      <c r="E98" s="559">
        <f>E100+E99</f>
        <v>8607.2999999999993</v>
      </c>
      <c r="F98" s="559">
        <f>F100+F99</f>
        <v>16756</v>
      </c>
      <c r="G98" s="585">
        <f>G100+G99</f>
        <v>0</v>
      </c>
      <c r="H98" s="685">
        <f>H100+H99</f>
        <v>0</v>
      </c>
      <c r="I98" s="558">
        <f>I100+I99</f>
        <v>25363.3</v>
      </c>
      <c r="J98" s="176">
        <f t="shared" si="83"/>
        <v>100</v>
      </c>
      <c r="K98" s="585">
        <f>K100+K99</f>
        <v>0</v>
      </c>
      <c r="L98" s="607">
        <v>0</v>
      </c>
      <c r="M98" s="585">
        <f t="shared" si="76"/>
        <v>0</v>
      </c>
      <c r="N98" s="3625"/>
    </row>
    <row r="99" spans="1:14" s="2091" customFormat="1" ht="12" customHeight="1" x14ac:dyDescent="0.2">
      <c r="A99" s="3628"/>
      <c r="B99" s="460" t="s">
        <v>14</v>
      </c>
      <c r="C99" s="3193"/>
      <c r="D99" s="464">
        <f>+E99+F99+G99+H99</f>
        <v>16756</v>
      </c>
      <c r="E99" s="463">
        <v>0</v>
      </c>
      <c r="F99" s="463">
        <v>16756</v>
      </c>
      <c r="G99" s="470">
        <v>0</v>
      </c>
      <c r="H99" s="483">
        <v>0</v>
      </c>
      <c r="I99" s="464">
        <f>F99+K99+E99</f>
        <v>16756</v>
      </c>
      <c r="J99" s="465">
        <f t="shared" si="83"/>
        <v>100</v>
      </c>
      <c r="K99" s="470">
        <v>0</v>
      </c>
      <c r="L99" s="470">
        <v>0</v>
      </c>
      <c r="M99" s="470">
        <f t="shared" si="76"/>
        <v>0</v>
      </c>
      <c r="N99" s="3625"/>
    </row>
    <row r="100" spans="1:14" s="2091" customFormat="1" ht="12" customHeight="1" x14ac:dyDescent="0.2">
      <c r="A100" s="3628"/>
      <c r="B100" s="460" t="s">
        <v>8</v>
      </c>
      <c r="C100" s="3193"/>
      <c r="D100" s="464">
        <f>+E100+F100+G100+H100</f>
        <v>8607.2999999999993</v>
      </c>
      <c r="E100" s="463">
        <f>8607+0.3</f>
        <v>8607.2999999999993</v>
      </c>
      <c r="F100" s="463">
        <v>0</v>
      </c>
      <c r="G100" s="470">
        <v>0</v>
      </c>
      <c r="H100" s="483">
        <v>0</v>
      </c>
      <c r="I100" s="464">
        <f>F100+K100+E100</f>
        <v>8607.2999999999993</v>
      </c>
      <c r="J100" s="465">
        <f t="shared" si="83"/>
        <v>100</v>
      </c>
      <c r="K100" s="470">
        <v>0</v>
      </c>
      <c r="L100" s="470">
        <v>0</v>
      </c>
      <c r="M100" s="470">
        <f t="shared" si="76"/>
        <v>0</v>
      </c>
      <c r="N100" s="3625"/>
    </row>
    <row r="101" spans="1:14" s="2091" customFormat="1" ht="12" customHeight="1" x14ac:dyDescent="0.2">
      <c r="A101" s="3628"/>
      <c r="B101" s="566" t="s">
        <v>16</v>
      </c>
      <c r="C101" s="2313"/>
      <c r="D101" s="415">
        <f t="shared" ref="D101:H101" si="84">+D102+D105</f>
        <v>38955.300000000003</v>
      </c>
      <c r="E101" s="416">
        <f t="shared" si="84"/>
        <v>11475.3</v>
      </c>
      <c r="F101" s="416">
        <f t="shared" si="84"/>
        <v>27480</v>
      </c>
      <c r="G101" s="593">
        <f t="shared" si="84"/>
        <v>0</v>
      </c>
      <c r="H101" s="532">
        <f t="shared" si="84"/>
        <v>0</v>
      </c>
      <c r="I101" s="415">
        <f>I102+I105</f>
        <v>38955.300000000003</v>
      </c>
      <c r="J101" s="29">
        <f t="shared" si="83"/>
        <v>100</v>
      </c>
      <c r="K101" s="593">
        <f>+K102+K105</f>
        <v>0</v>
      </c>
      <c r="L101" s="593">
        <v>0</v>
      </c>
      <c r="M101" s="593">
        <f t="shared" si="76"/>
        <v>0</v>
      </c>
      <c r="N101" s="3625"/>
    </row>
    <row r="102" spans="1:14" s="2091" customFormat="1" ht="12" customHeight="1" x14ac:dyDescent="0.2">
      <c r="A102" s="3628"/>
      <c r="B102" s="2339" t="s">
        <v>3</v>
      </c>
      <c r="C102" s="3193" t="s">
        <v>172</v>
      </c>
      <c r="D102" s="558">
        <f>+D104+D103</f>
        <v>13592</v>
      </c>
      <c r="E102" s="559">
        <f>E103+E104</f>
        <v>2868</v>
      </c>
      <c r="F102" s="559">
        <f>F103+F104</f>
        <v>10724</v>
      </c>
      <c r="G102" s="585">
        <f>G103+G104</f>
        <v>0</v>
      </c>
      <c r="H102" s="685">
        <f>H103</f>
        <v>0</v>
      </c>
      <c r="I102" s="558">
        <f>I104+I103</f>
        <v>13592</v>
      </c>
      <c r="J102" s="176">
        <f t="shared" si="83"/>
        <v>100</v>
      </c>
      <c r="K102" s="585">
        <f>K104+K103</f>
        <v>0</v>
      </c>
      <c r="L102" s="607">
        <v>0</v>
      </c>
      <c r="M102" s="585">
        <f t="shared" si="76"/>
        <v>0</v>
      </c>
      <c r="N102" s="3625"/>
    </row>
    <row r="103" spans="1:14" s="2091" customFormat="1" ht="12" customHeight="1" x14ac:dyDescent="0.2">
      <c r="A103" s="3628"/>
      <c r="B103" s="460" t="s">
        <v>7</v>
      </c>
      <c r="C103" s="3193"/>
      <c r="D103" s="464">
        <f>+E103+F103+G103+H103</f>
        <v>10724</v>
      </c>
      <c r="E103" s="463">
        <v>0</v>
      </c>
      <c r="F103" s="463">
        <v>10724</v>
      </c>
      <c r="G103" s="470">
        <v>0</v>
      </c>
      <c r="H103" s="483">
        <v>0</v>
      </c>
      <c r="I103" s="464">
        <f>F103+K103+E103</f>
        <v>10724</v>
      </c>
      <c r="J103" s="465">
        <f t="shared" si="83"/>
        <v>100</v>
      </c>
      <c r="K103" s="470">
        <v>0</v>
      </c>
      <c r="L103" s="470">
        <v>0</v>
      </c>
      <c r="M103" s="470">
        <f t="shared" si="76"/>
        <v>0</v>
      </c>
      <c r="N103" s="3625"/>
    </row>
    <row r="104" spans="1:14" s="2091" customFormat="1" ht="12" customHeight="1" x14ac:dyDescent="0.2">
      <c r="A104" s="3628"/>
      <c r="B104" s="460" t="s">
        <v>8</v>
      </c>
      <c r="C104" s="3087"/>
      <c r="D104" s="464">
        <f>+E104+F104+G104+H104</f>
        <v>2868</v>
      </c>
      <c r="E104" s="463">
        <v>2868</v>
      </c>
      <c r="F104" s="463">
        <v>0</v>
      </c>
      <c r="G104" s="470">
        <v>0</v>
      </c>
      <c r="H104" s="483">
        <v>0</v>
      </c>
      <c r="I104" s="464">
        <f>F104+K104+E104</f>
        <v>2868</v>
      </c>
      <c r="J104" s="465">
        <f t="shared" si="83"/>
        <v>100</v>
      </c>
      <c r="K104" s="470">
        <v>0</v>
      </c>
      <c r="L104" s="470">
        <v>0</v>
      </c>
      <c r="M104" s="470">
        <f t="shared" si="76"/>
        <v>0</v>
      </c>
      <c r="N104" s="3625"/>
    </row>
    <row r="105" spans="1:14" s="2091" customFormat="1" ht="12" customHeight="1" x14ac:dyDescent="0.2">
      <c r="A105" s="3628"/>
      <c r="B105" s="2339" t="s">
        <v>12</v>
      </c>
      <c r="C105" s="3087"/>
      <c r="D105" s="558">
        <f t="shared" ref="D105:H105" si="85">D106+D107</f>
        <v>25363.3</v>
      </c>
      <c r="E105" s="559">
        <f t="shared" si="85"/>
        <v>8607.2999999999993</v>
      </c>
      <c r="F105" s="559">
        <f t="shared" si="85"/>
        <v>16756</v>
      </c>
      <c r="G105" s="585">
        <f t="shared" si="85"/>
        <v>0</v>
      </c>
      <c r="H105" s="685">
        <f t="shared" si="85"/>
        <v>0</v>
      </c>
      <c r="I105" s="558">
        <f>I107+I106</f>
        <v>25363.3</v>
      </c>
      <c r="J105" s="176">
        <f t="shared" si="83"/>
        <v>100</v>
      </c>
      <c r="K105" s="585">
        <f>+K107+K106</f>
        <v>0</v>
      </c>
      <c r="L105" s="607">
        <v>0</v>
      </c>
      <c r="M105" s="585">
        <f t="shared" si="76"/>
        <v>0</v>
      </c>
      <c r="N105" s="3625"/>
    </row>
    <row r="106" spans="1:14" s="2091" customFormat="1" ht="12" customHeight="1" x14ac:dyDescent="0.2">
      <c r="A106" s="3628"/>
      <c r="B106" s="460" t="s">
        <v>14</v>
      </c>
      <c r="C106" s="3087"/>
      <c r="D106" s="464">
        <f>+E106+F106+G106+H106</f>
        <v>16756</v>
      </c>
      <c r="E106" s="463">
        <v>0</v>
      </c>
      <c r="F106" s="463">
        <v>16756</v>
      </c>
      <c r="G106" s="470">
        <v>0</v>
      </c>
      <c r="H106" s="483">
        <v>0</v>
      </c>
      <c r="I106" s="464">
        <f>F106+K106+E106</f>
        <v>16756</v>
      </c>
      <c r="J106" s="465">
        <f t="shared" si="83"/>
        <v>100</v>
      </c>
      <c r="K106" s="470">
        <v>0</v>
      </c>
      <c r="L106" s="470">
        <v>0</v>
      </c>
      <c r="M106" s="470">
        <f t="shared" si="76"/>
        <v>0</v>
      </c>
      <c r="N106" s="3625"/>
    </row>
    <row r="107" spans="1:14" s="2091" customFormat="1" ht="12" customHeight="1" thickBot="1" x14ac:dyDescent="0.25">
      <c r="A107" s="3638"/>
      <c r="B107" s="562" t="s">
        <v>8</v>
      </c>
      <c r="C107" s="3090"/>
      <c r="D107" s="504">
        <f>+E107+F107+G107+H107</f>
        <v>8607.2999999999993</v>
      </c>
      <c r="E107" s="502">
        <f>8607+0.3</f>
        <v>8607.2999999999993</v>
      </c>
      <c r="F107" s="502">
        <v>0</v>
      </c>
      <c r="G107" s="526">
        <v>0</v>
      </c>
      <c r="H107" s="603">
        <v>0</v>
      </c>
      <c r="I107" s="504">
        <f>F107+K107+E107</f>
        <v>8607.2999999999993</v>
      </c>
      <c r="J107" s="505">
        <f t="shared" si="83"/>
        <v>100</v>
      </c>
      <c r="K107" s="526">
        <v>0</v>
      </c>
      <c r="L107" s="526">
        <v>0</v>
      </c>
      <c r="M107" s="526">
        <f t="shared" si="76"/>
        <v>0</v>
      </c>
      <c r="N107" s="3655"/>
    </row>
    <row r="108" spans="1:14" s="2312" customFormat="1" ht="40.5" customHeight="1" x14ac:dyDescent="0.2">
      <c r="A108" s="3647" t="s">
        <v>43</v>
      </c>
      <c r="B108" s="2336" t="s">
        <v>175</v>
      </c>
      <c r="C108" s="2305" t="s">
        <v>168</v>
      </c>
      <c r="D108" s="2306"/>
      <c r="E108" s="2307"/>
      <c r="F108" s="2307"/>
      <c r="G108" s="2307"/>
      <c r="H108" s="2338"/>
      <c r="I108" s="2309"/>
      <c r="J108" s="2310"/>
      <c r="K108" s="2311"/>
      <c r="L108" s="2310"/>
      <c r="M108" s="2307"/>
      <c r="N108" s="3624" t="s">
        <v>171</v>
      </c>
    </row>
    <row r="109" spans="1:14" s="2314" customFormat="1" ht="13.5" customHeight="1" x14ac:dyDescent="0.2">
      <c r="A109" s="3648"/>
      <c r="B109" s="566" t="s">
        <v>2</v>
      </c>
      <c r="C109" s="2313"/>
      <c r="D109" s="415">
        <f t="shared" ref="D109:E109" si="86">+D110+D112</f>
        <v>15220421</v>
      </c>
      <c r="E109" s="416">
        <f t="shared" si="86"/>
        <v>629249</v>
      </c>
      <c r="F109" s="2297">
        <f>+F110+F112</f>
        <v>5656222</v>
      </c>
      <c r="G109" s="416">
        <f t="shared" ref="G109:H109" si="87">+G110+G112</f>
        <v>3005702</v>
      </c>
      <c r="H109" s="453">
        <f t="shared" si="87"/>
        <v>5929248</v>
      </c>
      <c r="I109" s="415">
        <f>I110+I112</f>
        <v>9268621.7100000009</v>
      </c>
      <c r="J109" s="29">
        <f t="shared" ref="J109:J118" si="88">I109/D109*100</f>
        <v>60.895961484902429</v>
      </c>
      <c r="K109" s="416">
        <f>+K110+K112</f>
        <v>2983150.71</v>
      </c>
      <c r="L109" s="29">
        <f>K109/G109*100</f>
        <v>99.249716372414838</v>
      </c>
      <c r="M109" s="416">
        <f t="shared" si="76"/>
        <v>-22551.290000000037</v>
      </c>
      <c r="N109" s="3625"/>
    </row>
    <row r="110" spans="1:14" s="2314" customFormat="1" ht="13.5" customHeight="1" x14ac:dyDescent="0.2">
      <c r="A110" s="3648"/>
      <c r="B110" s="2339" t="s">
        <v>3</v>
      </c>
      <c r="C110" s="3193" t="s">
        <v>170</v>
      </c>
      <c r="D110" s="913">
        <f>+D111</f>
        <v>7209673</v>
      </c>
      <c r="E110" s="605">
        <v>0</v>
      </c>
      <c r="F110" s="916">
        <f>F111</f>
        <v>3801777</v>
      </c>
      <c r="G110" s="560">
        <f>SUM(G111:G111)</f>
        <v>2588069</v>
      </c>
      <c r="H110" s="915">
        <f>SUM(H111:H111)</f>
        <v>819827</v>
      </c>
      <c r="I110" s="913">
        <f>I111</f>
        <v>6389845.4900000002</v>
      </c>
      <c r="J110" s="1015">
        <f t="shared" si="88"/>
        <v>88.628783718762278</v>
      </c>
      <c r="K110" s="560">
        <f>K111</f>
        <v>2588068.4900000002</v>
      </c>
      <c r="L110" s="1015">
        <f t="shared" ref="L110:L118" si="89">K110/G110*100</f>
        <v>99.999980294188447</v>
      </c>
      <c r="M110" s="560">
        <f t="shared" si="76"/>
        <v>-0.50999999977648258</v>
      </c>
      <c r="N110" s="3625"/>
    </row>
    <row r="111" spans="1:14" s="2312" customFormat="1" ht="13.5" customHeight="1" x14ac:dyDescent="0.2">
      <c r="A111" s="3648"/>
      <c r="B111" s="460" t="s">
        <v>10</v>
      </c>
      <c r="C111" s="3653"/>
      <c r="D111" s="464">
        <f>+E111+F111+G111+H111</f>
        <v>7209673</v>
      </c>
      <c r="E111" s="470">
        <v>0</v>
      </c>
      <c r="F111" s="2387">
        <v>3801777</v>
      </c>
      <c r="G111" s="463">
        <v>2588069</v>
      </c>
      <c r="H111" s="467">
        <v>819827</v>
      </c>
      <c r="I111" s="464">
        <f>F111+K111+E111</f>
        <v>6389845.4900000002</v>
      </c>
      <c r="J111" s="465">
        <f t="shared" si="88"/>
        <v>88.628783718762278</v>
      </c>
      <c r="K111" s="463">
        <v>2588068.4900000002</v>
      </c>
      <c r="L111" s="465">
        <f t="shared" si="89"/>
        <v>99.999980294188447</v>
      </c>
      <c r="M111" s="463">
        <f t="shared" si="76"/>
        <v>-0.50999999977648258</v>
      </c>
      <c r="N111" s="3625"/>
    </row>
    <row r="112" spans="1:14" s="2312" customFormat="1" ht="13.5" customHeight="1" x14ac:dyDescent="0.2">
      <c r="A112" s="3648"/>
      <c r="B112" s="2339" t="s">
        <v>12</v>
      </c>
      <c r="C112" s="3653"/>
      <c r="D112" s="913">
        <f t="shared" ref="D112:E112" si="90">+D113</f>
        <v>8010748</v>
      </c>
      <c r="E112" s="560">
        <f t="shared" si="90"/>
        <v>629249</v>
      </c>
      <c r="F112" s="916">
        <f>+F113</f>
        <v>1854445</v>
      </c>
      <c r="G112" s="560">
        <f t="shared" ref="G112:I112" si="91">+G113</f>
        <v>417633</v>
      </c>
      <c r="H112" s="915">
        <f t="shared" si="91"/>
        <v>5109421</v>
      </c>
      <c r="I112" s="913">
        <f t="shared" si="91"/>
        <v>2878776.2199999997</v>
      </c>
      <c r="J112" s="1015">
        <f t="shared" si="88"/>
        <v>35.936422166818879</v>
      </c>
      <c r="K112" s="560">
        <f>+K113</f>
        <v>395082.22</v>
      </c>
      <c r="L112" s="1015">
        <f t="shared" si="89"/>
        <v>94.60033570144121</v>
      </c>
      <c r="M112" s="560">
        <f t="shared" si="76"/>
        <v>-22550.780000000028</v>
      </c>
      <c r="N112" s="3625"/>
    </row>
    <row r="113" spans="1:14" s="2312" customFormat="1" ht="13.5" customHeight="1" x14ac:dyDescent="0.2">
      <c r="A113" s="3648"/>
      <c r="B113" s="460" t="s">
        <v>13</v>
      </c>
      <c r="C113" s="3653"/>
      <c r="D113" s="464">
        <f>+E113+F113+G113+H113</f>
        <v>8010748</v>
      </c>
      <c r="E113" s="463">
        <v>629249</v>
      </c>
      <c r="F113" s="2387">
        <v>1854445</v>
      </c>
      <c r="G113" s="463">
        <v>417633</v>
      </c>
      <c r="H113" s="467">
        <f>2674973+2013520+420928</f>
        <v>5109421</v>
      </c>
      <c r="I113" s="464">
        <f>F113+K113+E113</f>
        <v>2878776.2199999997</v>
      </c>
      <c r="J113" s="465">
        <f t="shared" si="88"/>
        <v>35.936422166818879</v>
      </c>
      <c r="K113" s="463">
        <v>395082.22</v>
      </c>
      <c r="L113" s="465">
        <f t="shared" si="89"/>
        <v>94.60033570144121</v>
      </c>
      <c r="M113" s="463">
        <f t="shared" si="76"/>
        <v>-22550.780000000028</v>
      </c>
      <c r="N113" s="3625"/>
    </row>
    <row r="114" spans="1:14" s="2312" customFormat="1" ht="13.5" customHeight="1" x14ac:dyDescent="0.2">
      <c r="A114" s="3648"/>
      <c r="B114" s="566" t="s">
        <v>16</v>
      </c>
      <c r="C114" s="2313"/>
      <c r="D114" s="415">
        <f t="shared" ref="D114:E114" si="92">+D115+D117</f>
        <v>15220421</v>
      </c>
      <c r="E114" s="416">
        <f t="shared" si="92"/>
        <v>3544011</v>
      </c>
      <c r="F114" s="2297">
        <f>F115+F117</f>
        <v>3801777</v>
      </c>
      <c r="G114" s="416">
        <f t="shared" ref="G114:H114" si="93">+G115+G117</f>
        <v>5996863</v>
      </c>
      <c r="H114" s="453">
        <f t="shared" si="93"/>
        <v>1877770</v>
      </c>
      <c r="I114" s="415">
        <f>I115+I117</f>
        <v>13342650.4</v>
      </c>
      <c r="J114" s="29">
        <f t="shared" si="88"/>
        <v>87.662820890433977</v>
      </c>
      <c r="K114" s="416">
        <f>K115+K117</f>
        <v>5996862.4000000004</v>
      </c>
      <c r="L114" s="29">
        <f t="shared" si="89"/>
        <v>99.999989994768939</v>
      </c>
      <c r="M114" s="416">
        <f t="shared" si="76"/>
        <v>-0.59999999962747097</v>
      </c>
      <c r="N114" s="3625"/>
    </row>
    <row r="115" spans="1:14" s="2314" customFormat="1" ht="13.5" customHeight="1" x14ac:dyDescent="0.2">
      <c r="A115" s="3648"/>
      <c r="B115" s="2339" t="s">
        <v>3</v>
      </c>
      <c r="C115" s="3193" t="s">
        <v>170</v>
      </c>
      <c r="D115" s="913">
        <f>+D116</f>
        <v>7209673</v>
      </c>
      <c r="E115" s="605">
        <v>0</v>
      </c>
      <c r="F115" s="916">
        <f>SUM(F116:F116)</f>
        <v>3801777</v>
      </c>
      <c r="G115" s="560">
        <f>SUM(G116:G116)</f>
        <v>2588069</v>
      </c>
      <c r="H115" s="915">
        <f>SUM(H116:H116)</f>
        <v>819827</v>
      </c>
      <c r="I115" s="558">
        <f>I116</f>
        <v>6389845.4900000002</v>
      </c>
      <c r="J115" s="176">
        <f t="shared" si="88"/>
        <v>88.628783718762278</v>
      </c>
      <c r="K115" s="559">
        <f>SUM(K116:K116)</f>
        <v>2588068.4900000002</v>
      </c>
      <c r="L115" s="176">
        <f t="shared" si="89"/>
        <v>99.999980294188447</v>
      </c>
      <c r="M115" s="560">
        <f t="shared" si="76"/>
        <v>-0.50999999977648258</v>
      </c>
      <c r="N115" s="3625"/>
    </row>
    <row r="116" spans="1:14" s="2312" customFormat="1" ht="13.5" customHeight="1" x14ac:dyDescent="0.2">
      <c r="A116" s="3648"/>
      <c r="B116" s="460" t="s">
        <v>29</v>
      </c>
      <c r="C116" s="3653"/>
      <c r="D116" s="464">
        <f>+E116+F116+G116+H116</f>
        <v>7209673</v>
      </c>
      <c r="E116" s="470">
        <v>0</v>
      </c>
      <c r="F116" s="2387">
        <v>3801777</v>
      </c>
      <c r="G116" s="463">
        <f>3556234-855353-112812</f>
        <v>2588069</v>
      </c>
      <c r="H116" s="467">
        <v>819827</v>
      </c>
      <c r="I116" s="464">
        <f>F116+K116+E116</f>
        <v>6389845.4900000002</v>
      </c>
      <c r="J116" s="465">
        <f t="shared" si="88"/>
        <v>88.628783718762278</v>
      </c>
      <c r="K116" s="463">
        <v>2588068.4900000002</v>
      </c>
      <c r="L116" s="465">
        <f t="shared" si="89"/>
        <v>99.999980294188447</v>
      </c>
      <c r="M116" s="463">
        <f t="shared" si="76"/>
        <v>-0.50999999977648258</v>
      </c>
      <c r="N116" s="3625"/>
    </row>
    <row r="117" spans="1:14" s="2312" customFormat="1" ht="13.5" customHeight="1" x14ac:dyDescent="0.2">
      <c r="A117" s="3648"/>
      <c r="B117" s="2339" t="s">
        <v>12</v>
      </c>
      <c r="C117" s="3653"/>
      <c r="D117" s="913">
        <f t="shared" ref="D117:H117" si="94">+D118</f>
        <v>8010748</v>
      </c>
      <c r="E117" s="560">
        <f t="shared" si="94"/>
        <v>3544011</v>
      </c>
      <c r="F117" s="917">
        <f>F118</f>
        <v>0</v>
      </c>
      <c r="G117" s="560">
        <f t="shared" si="94"/>
        <v>3408794</v>
      </c>
      <c r="H117" s="915">
        <f t="shared" si="94"/>
        <v>1057943</v>
      </c>
      <c r="I117" s="558">
        <f>I118</f>
        <v>6952804.9100000001</v>
      </c>
      <c r="J117" s="176">
        <f t="shared" si="88"/>
        <v>86.793454369055183</v>
      </c>
      <c r="K117" s="560">
        <f>K118</f>
        <v>3408793.91</v>
      </c>
      <c r="L117" s="176">
        <f t="shared" si="89"/>
        <v>99.999997359770049</v>
      </c>
      <c r="M117" s="560">
        <f t="shared" si="76"/>
        <v>-8.9999999850988388E-2</v>
      </c>
      <c r="N117" s="3625"/>
    </row>
    <row r="118" spans="1:14" s="2312" customFormat="1" ht="13.5" customHeight="1" thickBot="1" x14ac:dyDescent="0.25">
      <c r="A118" s="3649"/>
      <c r="B118" s="562" t="s">
        <v>13</v>
      </c>
      <c r="C118" s="3643"/>
      <c r="D118" s="504">
        <f>+E118+F118+G118+H118</f>
        <v>8010748</v>
      </c>
      <c r="E118" s="502">
        <v>3544011</v>
      </c>
      <c r="F118" s="1747">
        <v>0</v>
      </c>
      <c r="G118" s="502">
        <v>3408794</v>
      </c>
      <c r="H118" s="507">
        <v>1057943</v>
      </c>
      <c r="I118" s="504">
        <f>F118+K118+E118</f>
        <v>6952804.9100000001</v>
      </c>
      <c r="J118" s="505">
        <f t="shared" si="88"/>
        <v>86.793454369055183</v>
      </c>
      <c r="K118" s="502">
        <v>3408793.91</v>
      </c>
      <c r="L118" s="465">
        <f t="shared" si="89"/>
        <v>99.999997359770049</v>
      </c>
      <c r="M118" s="502">
        <f t="shared" si="76"/>
        <v>-8.9999999850988388E-2</v>
      </c>
      <c r="N118" s="3655"/>
    </row>
    <row r="119" spans="1:14" s="2312" customFormat="1" ht="41.25" customHeight="1" thickBot="1" x14ac:dyDescent="0.25">
      <c r="A119" s="3677" t="s">
        <v>44</v>
      </c>
      <c r="B119" s="2336" t="s">
        <v>300</v>
      </c>
      <c r="C119" s="2305" t="s">
        <v>168</v>
      </c>
      <c r="D119" s="2306"/>
      <c r="E119" s="2307"/>
      <c r="F119" s="2307"/>
      <c r="G119" s="2307"/>
      <c r="H119" s="2338"/>
      <c r="I119" s="2309"/>
      <c r="J119" s="2310"/>
      <c r="K119" s="2311"/>
      <c r="L119" s="2310"/>
      <c r="M119" s="2307"/>
      <c r="N119" s="3681" t="s">
        <v>171</v>
      </c>
    </row>
    <row r="120" spans="1:14" s="2314" customFormat="1" ht="13.5" customHeight="1" x14ac:dyDescent="0.2">
      <c r="A120" s="3678"/>
      <c r="B120" s="566" t="s">
        <v>2</v>
      </c>
      <c r="C120" s="2313"/>
      <c r="D120" s="415">
        <f t="shared" ref="D120:E120" si="95">+D121+D123</f>
        <v>19723223</v>
      </c>
      <c r="E120" s="416">
        <f t="shared" si="95"/>
        <v>0</v>
      </c>
      <c r="F120" s="2297">
        <f>+F121+F123</f>
        <v>333872</v>
      </c>
      <c r="G120" s="416">
        <f t="shared" ref="G120:H120" si="96">+G121+G123</f>
        <v>1333272</v>
      </c>
      <c r="H120" s="453">
        <f t="shared" si="96"/>
        <v>18056079</v>
      </c>
      <c r="I120" s="415">
        <f>I121+I123</f>
        <v>1662160.72</v>
      </c>
      <c r="J120" s="29">
        <f t="shared" ref="J120:J129" si="97">I120/D120*100</f>
        <v>8.4274295331954612</v>
      </c>
      <c r="K120" s="416">
        <f>+K121+K123</f>
        <v>1328288.72</v>
      </c>
      <c r="L120" s="29">
        <f t="shared" ref="L120:L127" si="98">K120/G120*100</f>
        <v>99.626236806893118</v>
      </c>
      <c r="M120" s="416">
        <f t="shared" si="76"/>
        <v>-4983.2800000000279</v>
      </c>
      <c r="N120" s="3682"/>
    </row>
    <row r="121" spans="1:14" s="2314" customFormat="1" ht="13.5" customHeight="1" x14ac:dyDescent="0.2">
      <c r="A121" s="3679"/>
      <c r="B121" s="2339" t="s">
        <v>3</v>
      </c>
      <c r="C121" s="3193" t="s">
        <v>170</v>
      </c>
      <c r="D121" s="913">
        <f>+D122</f>
        <v>9342571</v>
      </c>
      <c r="E121" s="560">
        <v>0</v>
      </c>
      <c r="F121" s="917">
        <f>F122</f>
        <v>0</v>
      </c>
      <c r="G121" s="560">
        <f>SUM(G122:G122)</f>
        <v>673272</v>
      </c>
      <c r="H121" s="915">
        <f>SUM(H122:H122)</f>
        <v>8669299</v>
      </c>
      <c r="I121" s="558">
        <f>I122</f>
        <v>673271.1</v>
      </c>
      <c r="J121" s="176">
        <f t="shared" si="97"/>
        <v>7.206486308747345</v>
      </c>
      <c r="K121" s="560">
        <f>K122</f>
        <v>673271.1</v>
      </c>
      <c r="L121" s="1015">
        <f t="shared" si="98"/>
        <v>99.999866324457273</v>
      </c>
      <c r="M121" s="560">
        <f t="shared" si="76"/>
        <v>-0.90000000002328306</v>
      </c>
      <c r="N121" s="3683"/>
    </row>
    <row r="122" spans="1:14" s="2312" customFormat="1" ht="13.5" customHeight="1" x14ac:dyDescent="0.2">
      <c r="A122" s="3679"/>
      <c r="B122" s="460" t="s">
        <v>10</v>
      </c>
      <c r="C122" s="3653"/>
      <c r="D122" s="464">
        <f>+E122+F122+G122+H122</f>
        <v>9342571</v>
      </c>
      <c r="E122" s="463">
        <v>0</v>
      </c>
      <c r="F122" s="2366">
        <v>0</v>
      </c>
      <c r="G122" s="463">
        <v>673272</v>
      </c>
      <c r="H122" s="467">
        <v>8669299</v>
      </c>
      <c r="I122" s="464">
        <f>F122+K122+E122</f>
        <v>673271.1</v>
      </c>
      <c r="J122" s="465">
        <f t="shared" si="97"/>
        <v>7.206486308747345</v>
      </c>
      <c r="K122" s="463">
        <v>673271.1</v>
      </c>
      <c r="L122" s="465">
        <f t="shared" si="98"/>
        <v>99.999866324457273</v>
      </c>
      <c r="M122" s="463">
        <f t="shared" si="76"/>
        <v>-0.90000000002328306</v>
      </c>
      <c r="N122" s="3683"/>
    </row>
    <row r="123" spans="1:14" s="2312" customFormat="1" ht="13.5" customHeight="1" x14ac:dyDescent="0.2">
      <c r="A123" s="3679"/>
      <c r="B123" s="2339" t="s">
        <v>12</v>
      </c>
      <c r="C123" s="3653"/>
      <c r="D123" s="913">
        <f t="shared" ref="D123:E123" si="99">+D124</f>
        <v>10380652</v>
      </c>
      <c r="E123" s="560">
        <f t="shared" si="99"/>
        <v>0</v>
      </c>
      <c r="F123" s="916">
        <f>+F124</f>
        <v>333872</v>
      </c>
      <c r="G123" s="560">
        <f t="shared" ref="G123:I123" si="100">+G124</f>
        <v>660000</v>
      </c>
      <c r="H123" s="915">
        <f t="shared" si="100"/>
        <v>9386780</v>
      </c>
      <c r="I123" s="558">
        <f t="shared" si="100"/>
        <v>988889.62</v>
      </c>
      <c r="J123" s="176">
        <f t="shared" si="97"/>
        <v>9.5262765768470032</v>
      </c>
      <c r="K123" s="560">
        <f>+K124</f>
        <v>655017.62</v>
      </c>
      <c r="L123" s="1015">
        <f t="shared" si="98"/>
        <v>99.245093939393939</v>
      </c>
      <c r="M123" s="560">
        <f t="shared" si="76"/>
        <v>-4982.3800000000047</v>
      </c>
      <c r="N123" s="3683"/>
    </row>
    <row r="124" spans="1:14" s="2312" customFormat="1" ht="13.5" customHeight="1" x14ac:dyDescent="0.2">
      <c r="A124" s="3679"/>
      <c r="B124" s="460" t="s">
        <v>13</v>
      </c>
      <c r="C124" s="3653"/>
      <c r="D124" s="464">
        <f>+E124+F124+G124+H124</f>
        <v>10380652</v>
      </c>
      <c r="E124" s="463">
        <v>0</v>
      </c>
      <c r="F124" s="2387">
        <v>333872</v>
      </c>
      <c r="G124" s="463">
        <v>660000</v>
      </c>
      <c r="H124" s="467">
        <v>9386780</v>
      </c>
      <c r="I124" s="464">
        <f>F124+K124+E124</f>
        <v>988889.62</v>
      </c>
      <c r="J124" s="465">
        <f t="shared" si="97"/>
        <v>9.5262765768470032</v>
      </c>
      <c r="K124" s="463">
        <v>655017.62</v>
      </c>
      <c r="L124" s="465">
        <f t="shared" si="98"/>
        <v>99.245093939393939</v>
      </c>
      <c r="M124" s="463">
        <f t="shared" si="76"/>
        <v>-4982.3800000000047</v>
      </c>
      <c r="N124" s="3683"/>
    </row>
    <row r="125" spans="1:14" s="2312" customFormat="1" ht="13.5" customHeight="1" x14ac:dyDescent="0.2">
      <c r="A125" s="3679"/>
      <c r="B125" s="566" t="s">
        <v>16</v>
      </c>
      <c r="C125" s="2313"/>
      <c r="D125" s="415">
        <f t="shared" ref="D125:E125" si="101">+D126+D128</f>
        <v>19723223</v>
      </c>
      <c r="E125" s="416">
        <f t="shared" si="101"/>
        <v>0</v>
      </c>
      <c r="F125" s="2297">
        <f>F126+F128</f>
        <v>4405356</v>
      </c>
      <c r="G125" s="416">
        <f t="shared" ref="G125:H125" si="102">+G126+G128</f>
        <v>673272</v>
      </c>
      <c r="H125" s="453">
        <f t="shared" si="102"/>
        <v>14644595</v>
      </c>
      <c r="I125" s="415">
        <f>I126+I128</f>
        <v>5078627.0999999996</v>
      </c>
      <c r="J125" s="29">
        <f t="shared" si="97"/>
        <v>25.74947867293292</v>
      </c>
      <c r="K125" s="416">
        <f>K126+K128</f>
        <v>673271.1</v>
      </c>
      <c r="L125" s="29">
        <f t="shared" si="98"/>
        <v>99.999866324457273</v>
      </c>
      <c r="M125" s="416">
        <f t="shared" si="76"/>
        <v>-0.90000000002328306</v>
      </c>
      <c r="N125" s="3683"/>
    </row>
    <row r="126" spans="1:14" s="2314" customFormat="1" ht="13.5" customHeight="1" x14ac:dyDescent="0.2">
      <c r="A126" s="3679"/>
      <c r="B126" s="2339" t="s">
        <v>3</v>
      </c>
      <c r="C126" s="3193" t="s">
        <v>170</v>
      </c>
      <c r="D126" s="913">
        <f>+D127</f>
        <v>9342571</v>
      </c>
      <c r="E126" s="560">
        <v>0</v>
      </c>
      <c r="F126" s="917">
        <f>SUM(F127:F127)</f>
        <v>0</v>
      </c>
      <c r="G126" s="560">
        <f>SUM(G127:G127)</f>
        <v>673272</v>
      </c>
      <c r="H126" s="915">
        <f>SUM(H127:H127)</f>
        <v>8669299</v>
      </c>
      <c r="I126" s="558">
        <f>I127</f>
        <v>673271.1</v>
      </c>
      <c r="J126" s="176">
        <f t="shared" si="97"/>
        <v>7.206486308747345</v>
      </c>
      <c r="K126" s="559">
        <f>SUM(K127:K127)</f>
        <v>673271.1</v>
      </c>
      <c r="L126" s="176">
        <f t="shared" si="98"/>
        <v>99.999866324457273</v>
      </c>
      <c r="M126" s="560">
        <f t="shared" si="76"/>
        <v>-0.90000000002328306</v>
      </c>
      <c r="N126" s="3683"/>
    </row>
    <row r="127" spans="1:14" s="2312" customFormat="1" ht="13.5" customHeight="1" x14ac:dyDescent="0.2">
      <c r="A127" s="3679"/>
      <c r="B127" s="460" t="s">
        <v>29</v>
      </c>
      <c r="C127" s="3653"/>
      <c r="D127" s="464">
        <f>+E127+F127+G127+H127</f>
        <v>9342571</v>
      </c>
      <c r="E127" s="463">
        <v>0</v>
      </c>
      <c r="F127" s="2366">
        <v>0</v>
      </c>
      <c r="G127" s="463">
        <v>673272</v>
      </c>
      <c r="H127" s="467">
        <v>8669299</v>
      </c>
      <c r="I127" s="464">
        <f>F127+K127+E127</f>
        <v>673271.1</v>
      </c>
      <c r="J127" s="465">
        <f t="shared" si="97"/>
        <v>7.206486308747345</v>
      </c>
      <c r="K127" s="463">
        <v>673271.1</v>
      </c>
      <c r="L127" s="465">
        <f t="shared" si="98"/>
        <v>99.999866324457273</v>
      </c>
      <c r="M127" s="463">
        <f t="shared" si="76"/>
        <v>-0.90000000002328306</v>
      </c>
      <c r="N127" s="3683"/>
    </row>
    <row r="128" spans="1:14" s="2312" customFormat="1" ht="13.5" customHeight="1" x14ac:dyDescent="0.2">
      <c r="A128" s="3679"/>
      <c r="B128" s="2339" t="s">
        <v>12</v>
      </c>
      <c r="C128" s="3653"/>
      <c r="D128" s="913">
        <f t="shared" ref="D128:H128" si="103">+D129</f>
        <v>10380652</v>
      </c>
      <c r="E128" s="560">
        <f t="shared" si="103"/>
        <v>0</v>
      </c>
      <c r="F128" s="916">
        <f>+F129</f>
        <v>4405356</v>
      </c>
      <c r="G128" s="605">
        <f t="shared" si="103"/>
        <v>0</v>
      </c>
      <c r="H128" s="915">
        <f t="shared" si="103"/>
        <v>5975296</v>
      </c>
      <c r="I128" s="558">
        <f>I129</f>
        <v>4405356</v>
      </c>
      <c r="J128" s="176">
        <f t="shared" si="97"/>
        <v>42.438143577108647</v>
      </c>
      <c r="K128" s="585">
        <f>+K129</f>
        <v>0</v>
      </c>
      <c r="L128" s="607">
        <v>0</v>
      </c>
      <c r="M128" s="605">
        <f t="shared" si="76"/>
        <v>0</v>
      </c>
      <c r="N128" s="3683"/>
    </row>
    <row r="129" spans="1:14" s="2312" customFormat="1" ht="13.5" customHeight="1" thickBot="1" x14ac:dyDescent="0.25">
      <c r="A129" s="3680"/>
      <c r="B129" s="562" t="s">
        <v>13</v>
      </c>
      <c r="C129" s="3643"/>
      <c r="D129" s="504">
        <f>+E129+F129+G129+H129</f>
        <v>10380652</v>
      </c>
      <c r="E129" s="502">
        <v>0</v>
      </c>
      <c r="F129" s="2392">
        <v>4405356</v>
      </c>
      <c r="G129" s="526">
        <v>0</v>
      </c>
      <c r="H129" s="507">
        <f>4152261+1823035</f>
        <v>5975296</v>
      </c>
      <c r="I129" s="504">
        <f>F129+K129+E129</f>
        <v>4405356</v>
      </c>
      <c r="J129" s="505">
        <f t="shared" si="97"/>
        <v>42.438143577108647</v>
      </c>
      <c r="K129" s="526">
        <v>0</v>
      </c>
      <c r="L129" s="526">
        <v>0</v>
      </c>
      <c r="M129" s="526">
        <f t="shared" si="76"/>
        <v>0</v>
      </c>
      <c r="N129" s="3672"/>
    </row>
    <row r="130" spans="1:14" s="2312" customFormat="1" ht="39" customHeight="1" x14ac:dyDescent="0.2">
      <c r="A130" s="3669" t="s">
        <v>45</v>
      </c>
      <c r="B130" s="2393" t="s">
        <v>301</v>
      </c>
      <c r="C130" s="2394" t="s">
        <v>168</v>
      </c>
      <c r="D130" s="2395"/>
      <c r="E130" s="2396"/>
      <c r="F130" s="2396"/>
      <c r="G130" s="2396"/>
      <c r="H130" s="2397"/>
      <c r="I130" s="2398"/>
      <c r="J130" s="2399"/>
      <c r="K130" s="2400"/>
      <c r="L130" s="2399"/>
      <c r="M130" s="2396"/>
      <c r="N130" s="3671" t="s">
        <v>169</v>
      </c>
    </row>
    <row r="131" spans="1:14" s="2314" customFormat="1" ht="13.5" customHeight="1" thickBot="1" x14ac:dyDescent="0.25">
      <c r="A131" s="3670"/>
      <c r="B131" s="566" t="s">
        <v>2</v>
      </c>
      <c r="C131" s="2313"/>
      <c r="D131" s="415">
        <f t="shared" ref="D131:E131" si="104">+D132+D134</f>
        <v>154434330</v>
      </c>
      <c r="E131" s="416">
        <f t="shared" si="104"/>
        <v>68945235</v>
      </c>
      <c r="F131" s="2401">
        <f>+F132+F134</f>
        <v>29669758</v>
      </c>
      <c r="G131" s="416">
        <f t="shared" ref="G131:H131" si="105">+G132+G134</f>
        <v>21626894</v>
      </c>
      <c r="H131" s="453">
        <f t="shared" si="105"/>
        <v>34192443</v>
      </c>
      <c r="I131" s="415">
        <f t="shared" ref="I131" si="106">+I132+I134</f>
        <v>120532168.17</v>
      </c>
      <c r="J131" s="29">
        <f t="shared" ref="J131:J162" si="107">I131/D131*100</f>
        <v>78.047522315795987</v>
      </c>
      <c r="K131" s="416">
        <f>+K132+K134</f>
        <v>21917175.169999998</v>
      </c>
      <c r="L131" s="29">
        <f>K131/G131*100</f>
        <v>101.34222311349932</v>
      </c>
      <c r="M131" s="416">
        <f t="shared" si="76"/>
        <v>290281.16999999806</v>
      </c>
      <c r="N131" s="3672"/>
    </row>
    <row r="132" spans="1:14" s="2314" customFormat="1" ht="12.75" customHeight="1" x14ac:dyDescent="0.2">
      <c r="A132" s="3647"/>
      <c r="B132" s="2339" t="s">
        <v>3</v>
      </c>
      <c r="C132" s="3193" t="s">
        <v>170</v>
      </c>
      <c r="D132" s="913">
        <f>+D133</f>
        <v>58113339</v>
      </c>
      <c r="E132" s="560">
        <f>+E133</f>
        <v>26462425</v>
      </c>
      <c r="F132" s="2402">
        <f>SUM(F133:F133)</f>
        <v>11493755</v>
      </c>
      <c r="G132" s="560">
        <f>SUM(G133:G133)</f>
        <v>8056137</v>
      </c>
      <c r="H132" s="915">
        <f>SUM(H133:H133)</f>
        <v>12101022</v>
      </c>
      <c r="I132" s="558">
        <f>I133</f>
        <v>46045496.810000002</v>
      </c>
      <c r="J132" s="176">
        <f t="shared" si="107"/>
        <v>79.233954892868923</v>
      </c>
      <c r="K132" s="560">
        <f>SUM(K133:K133)</f>
        <v>8089316.8099999996</v>
      </c>
      <c r="L132" s="176">
        <f>K132/G132*100</f>
        <v>100.41185756895644</v>
      </c>
      <c r="M132" s="560">
        <f t="shared" si="76"/>
        <v>33179.80999999959</v>
      </c>
      <c r="N132" s="3624"/>
    </row>
    <row r="133" spans="1:14" s="2312" customFormat="1" ht="12.75" customHeight="1" x14ac:dyDescent="0.2">
      <c r="A133" s="3648"/>
      <c r="B133" s="460" t="s">
        <v>8</v>
      </c>
      <c r="C133" s="3087"/>
      <c r="D133" s="464">
        <f>+E133+F133+G133+H133</f>
        <v>58113339</v>
      </c>
      <c r="E133" s="463">
        <f>5317203+9351074-2530+11796678</f>
        <v>26462425</v>
      </c>
      <c r="F133" s="2403">
        <v>11493755</v>
      </c>
      <c r="G133" s="463">
        <v>8056137</v>
      </c>
      <c r="H133" s="467">
        <f>12101022</f>
        <v>12101022</v>
      </c>
      <c r="I133" s="464">
        <f>F133+K133+E133</f>
        <v>46045496.810000002</v>
      </c>
      <c r="J133" s="465">
        <f t="shared" si="107"/>
        <v>79.233954892868923</v>
      </c>
      <c r="K133" s="463">
        <v>8089316.8099999996</v>
      </c>
      <c r="L133" s="465">
        <f>K133/G133*100</f>
        <v>100.41185756895644</v>
      </c>
      <c r="M133" s="463">
        <f>+K133-G133</f>
        <v>33179.80999999959</v>
      </c>
      <c r="N133" s="3625"/>
    </row>
    <row r="134" spans="1:14" s="2312" customFormat="1" ht="12.75" customHeight="1" x14ac:dyDescent="0.2">
      <c r="A134" s="3648"/>
      <c r="B134" s="2339" t="s">
        <v>12</v>
      </c>
      <c r="C134" s="3087"/>
      <c r="D134" s="913">
        <f t="shared" ref="D134:E134" si="108">+D136+D135</f>
        <v>96320991</v>
      </c>
      <c r="E134" s="560">
        <f t="shared" si="108"/>
        <v>42482810</v>
      </c>
      <c r="F134" s="2402">
        <f>+F136+F135</f>
        <v>18176003</v>
      </c>
      <c r="G134" s="560">
        <f t="shared" ref="G134:H134" si="109">+G136+G135</f>
        <v>13570757</v>
      </c>
      <c r="H134" s="915">
        <f t="shared" si="109"/>
        <v>22091421</v>
      </c>
      <c r="I134" s="558">
        <f t="shared" ref="I134" si="110">+I136+I135</f>
        <v>74486671.359999999</v>
      </c>
      <c r="J134" s="176">
        <f t="shared" si="107"/>
        <v>77.331712004499622</v>
      </c>
      <c r="K134" s="560">
        <f>+K136+K135</f>
        <v>13827858.359999999</v>
      </c>
      <c r="L134" s="176">
        <f>K134/G134*100</f>
        <v>101.89452482274939</v>
      </c>
      <c r="M134" s="560">
        <f t="shared" si="76"/>
        <v>257101.3599999994</v>
      </c>
      <c r="N134" s="3625"/>
    </row>
    <row r="135" spans="1:14" s="2312" customFormat="1" ht="12.75" customHeight="1" x14ac:dyDescent="0.2">
      <c r="A135" s="3648"/>
      <c r="B135" s="1891" t="s">
        <v>14</v>
      </c>
      <c r="C135" s="3087"/>
      <c r="D135" s="464">
        <f>+E135+F135+G135+H135</f>
        <v>72270490</v>
      </c>
      <c r="E135" s="463">
        <v>18432309</v>
      </c>
      <c r="F135" s="2403">
        <v>18176003</v>
      </c>
      <c r="G135" s="463">
        <v>13570757</v>
      </c>
      <c r="H135" s="467">
        <f>22091421</f>
        <v>22091421</v>
      </c>
      <c r="I135" s="464">
        <f>F135+K135+E135</f>
        <v>50436170.359999999</v>
      </c>
      <c r="J135" s="465">
        <f t="shared" si="107"/>
        <v>69.788056452917374</v>
      </c>
      <c r="K135" s="463">
        <v>13827858.359999999</v>
      </c>
      <c r="L135" s="465">
        <f>K135/G135*100</f>
        <v>101.89452482274939</v>
      </c>
      <c r="M135" s="463">
        <f t="shared" si="76"/>
        <v>257101.3599999994</v>
      </c>
      <c r="N135" s="3625"/>
    </row>
    <row r="136" spans="1:14" s="2312" customFormat="1" ht="12.75" customHeight="1" x14ac:dyDescent="0.2">
      <c r="A136" s="3648"/>
      <c r="B136" s="460" t="s">
        <v>8</v>
      </c>
      <c r="C136" s="3087"/>
      <c r="D136" s="464">
        <f>+E136+F136+G136+H136</f>
        <v>24050501</v>
      </c>
      <c r="E136" s="463">
        <f>9132612+14921926-4037</f>
        <v>24050501</v>
      </c>
      <c r="F136" s="2404">
        <v>0</v>
      </c>
      <c r="G136" s="470">
        <v>0</v>
      </c>
      <c r="H136" s="483">
        <v>0</v>
      </c>
      <c r="I136" s="464">
        <f>F136+K136+E136</f>
        <v>24050501</v>
      </c>
      <c r="J136" s="465">
        <f t="shared" si="107"/>
        <v>100</v>
      </c>
      <c r="K136" s="470">
        <v>0</v>
      </c>
      <c r="L136" s="470">
        <v>0</v>
      </c>
      <c r="M136" s="470">
        <f t="shared" si="76"/>
        <v>0</v>
      </c>
      <c r="N136" s="3625"/>
    </row>
    <row r="137" spans="1:14" s="2312" customFormat="1" ht="13.5" customHeight="1" x14ac:dyDescent="0.2">
      <c r="A137" s="3648"/>
      <c r="B137" s="566" t="s">
        <v>16</v>
      </c>
      <c r="C137" s="2313"/>
      <c r="D137" s="415">
        <f t="shared" ref="D137:E137" si="111">+D138+D141</f>
        <v>154434330</v>
      </c>
      <c r="E137" s="416">
        <f t="shared" si="111"/>
        <v>68945235</v>
      </c>
      <c r="F137" s="2405">
        <f>+F138+F141</f>
        <v>29669758</v>
      </c>
      <c r="G137" s="416">
        <f t="shared" ref="G137:H137" si="112">+G138+G141</f>
        <v>21626894</v>
      </c>
      <c r="H137" s="453">
        <f t="shared" si="112"/>
        <v>34192443</v>
      </c>
      <c r="I137" s="415">
        <f>+I138+I141</f>
        <v>120532168.17</v>
      </c>
      <c r="J137" s="29">
        <f t="shared" si="107"/>
        <v>78.047522315795987</v>
      </c>
      <c r="K137" s="416">
        <f>+K138+K141</f>
        <v>21917175.169999998</v>
      </c>
      <c r="L137" s="29">
        <f t="shared" ref="L137:L142" si="113">K137/G137*100</f>
        <v>101.34222311349932</v>
      </c>
      <c r="M137" s="416">
        <f t="shared" si="76"/>
        <v>290281.16999999806</v>
      </c>
      <c r="N137" s="3625"/>
    </row>
    <row r="138" spans="1:14" s="2091" customFormat="1" ht="12.75" customHeight="1" x14ac:dyDescent="0.2">
      <c r="A138" s="3648"/>
      <c r="B138" s="2339" t="s">
        <v>3</v>
      </c>
      <c r="C138" s="3193" t="s">
        <v>170</v>
      </c>
      <c r="D138" s="558">
        <f>+D139</f>
        <v>58113339</v>
      </c>
      <c r="E138" s="559">
        <f>+E139</f>
        <v>26462425</v>
      </c>
      <c r="F138" s="2406">
        <f>SUM(F139:F139)</f>
        <v>11493755</v>
      </c>
      <c r="G138" s="559">
        <f>SUM(G139:G139)</f>
        <v>8056137</v>
      </c>
      <c r="H138" s="604">
        <f>SUM(H139:H139)</f>
        <v>12101022</v>
      </c>
      <c r="I138" s="558">
        <f>SUM(I139:I139)</f>
        <v>46045496.810000002</v>
      </c>
      <c r="J138" s="176">
        <f t="shared" si="107"/>
        <v>79.233954892868923</v>
      </c>
      <c r="K138" s="560">
        <f>SUM(K139:K139)</f>
        <v>8089316.8099999996</v>
      </c>
      <c r="L138" s="176">
        <f t="shared" si="113"/>
        <v>100.41185756895644</v>
      </c>
      <c r="M138" s="559">
        <f t="shared" si="76"/>
        <v>33179.80999999959</v>
      </c>
      <c r="N138" s="3625"/>
    </row>
    <row r="139" spans="1:14" s="2091" customFormat="1" ht="12.75" customHeight="1" thickBot="1" x14ac:dyDescent="0.25">
      <c r="A139" s="3648"/>
      <c r="B139" s="1390" t="s">
        <v>8</v>
      </c>
      <c r="C139" s="3087"/>
      <c r="D139" s="464">
        <f>+E139+F139+G139+H139</f>
        <v>58113339</v>
      </c>
      <c r="E139" s="463">
        <f>5317203+9351074-2530+11796678</f>
        <v>26462425</v>
      </c>
      <c r="F139" s="2349">
        <v>11493755</v>
      </c>
      <c r="G139" s="463">
        <v>8056137</v>
      </c>
      <c r="H139" s="467">
        <f>12101022</f>
        <v>12101022</v>
      </c>
      <c r="I139" s="464">
        <f>F139+K139+E139</f>
        <v>46045496.810000002</v>
      </c>
      <c r="J139" s="465">
        <f t="shared" si="107"/>
        <v>79.233954892868923</v>
      </c>
      <c r="K139" s="463">
        <v>8089316.8099999996</v>
      </c>
      <c r="L139" s="465">
        <f t="shared" si="113"/>
        <v>100.41185756895644</v>
      </c>
      <c r="M139" s="463">
        <f t="shared" ref="M139:M202" si="114">+K139-G139</f>
        <v>33179.80999999959</v>
      </c>
      <c r="N139" s="3625"/>
    </row>
    <row r="140" spans="1:14" s="2091" customFormat="1" ht="12.75" hidden="1" customHeight="1" thickBot="1" x14ac:dyDescent="0.25">
      <c r="A140" s="3665"/>
      <c r="B140" s="460" t="s">
        <v>14</v>
      </c>
      <c r="C140" s="3087"/>
      <c r="D140" s="2389">
        <f>+E140+F140+G140+H140</f>
        <v>0</v>
      </c>
      <c r="E140" s="2389"/>
      <c r="F140" s="2349"/>
      <c r="G140" s="2341"/>
      <c r="H140" s="2341"/>
      <c r="I140" s="2344" t="e">
        <f>#REF!+K140+#REF!</f>
        <v>#REF!</v>
      </c>
      <c r="J140" s="2345" t="e">
        <f t="shared" si="107"/>
        <v>#REF!</v>
      </c>
      <c r="K140" s="2387"/>
      <c r="L140" s="2345" t="e">
        <f t="shared" si="113"/>
        <v>#DIV/0!</v>
      </c>
      <c r="M140" s="2316">
        <f t="shared" si="114"/>
        <v>0</v>
      </c>
      <c r="N140" s="3655"/>
    </row>
    <row r="141" spans="1:14" s="2091" customFormat="1" ht="12.75" customHeight="1" x14ac:dyDescent="0.2">
      <c r="A141" s="3647"/>
      <c r="B141" s="2339" t="s">
        <v>12</v>
      </c>
      <c r="C141" s="3087"/>
      <c r="D141" s="558">
        <f t="shared" ref="D141:I141" si="115">+D143+D142</f>
        <v>96320991</v>
      </c>
      <c r="E141" s="559">
        <f t="shared" si="115"/>
        <v>42482810</v>
      </c>
      <c r="F141" s="2406">
        <f>+F143+F142</f>
        <v>18176003</v>
      </c>
      <c r="G141" s="559">
        <f t="shared" ref="G141:H141" si="116">+G143+G142</f>
        <v>13570757</v>
      </c>
      <c r="H141" s="604">
        <f t="shared" si="116"/>
        <v>22091421</v>
      </c>
      <c r="I141" s="558">
        <f t="shared" si="115"/>
        <v>74486671.359999999</v>
      </c>
      <c r="J141" s="176">
        <f t="shared" si="107"/>
        <v>77.331712004499622</v>
      </c>
      <c r="K141" s="560">
        <f>+K143+K142</f>
        <v>13827858.359999999</v>
      </c>
      <c r="L141" s="176">
        <f t="shared" si="113"/>
        <v>101.89452482274939</v>
      </c>
      <c r="M141" s="559">
        <f t="shared" si="114"/>
        <v>257101.3599999994</v>
      </c>
      <c r="N141" s="3624"/>
    </row>
    <row r="142" spans="1:14" s="2091" customFormat="1" ht="12.75" customHeight="1" x14ac:dyDescent="0.2">
      <c r="A142" s="3648"/>
      <c r="B142" s="1891" t="s">
        <v>14</v>
      </c>
      <c r="C142" s="3087"/>
      <c r="D142" s="464">
        <f>+E142+F142+G142+H142</f>
        <v>72270490</v>
      </c>
      <c r="E142" s="463">
        <v>18432309</v>
      </c>
      <c r="F142" s="2349">
        <v>18176003</v>
      </c>
      <c r="G142" s="463">
        <v>13570757</v>
      </c>
      <c r="H142" s="467">
        <f>22091421</f>
        <v>22091421</v>
      </c>
      <c r="I142" s="464">
        <f>F142+K142+E142</f>
        <v>50436170.359999999</v>
      </c>
      <c r="J142" s="465">
        <f t="shared" si="107"/>
        <v>69.788056452917374</v>
      </c>
      <c r="K142" s="463">
        <v>13827858.359999999</v>
      </c>
      <c r="L142" s="465">
        <f t="shared" si="113"/>
        <v>101.89452482274939</v>
      </c>
      <c r="M142" s="463">
        <f t="shared" si="114"/>
        <v>257101.3599999994</v>
      </c>
      <c r="N142" s="3625"/>
    </row>
    <row r="143" spans="1:14" s="2091" customFormat="1" ht="12.75" customHeight="1" thickBot="1" x14ac:dyDescent="0.25">
      <c r="A143" s="3649"/>
      <c r="B143" s="562" t="s">
        <v>8</v>
      </c>
      <c r="C143" s="3090"/>
      <c r="D143" s="504">
        <f>+E143+F143+G143+H143</f>
        <v>24050501</v>
      </c>
      <c r="E143" s="502">
        <f>9132612+14921926-4037</f>
        <v>24050501</v>
      </c>
      <c r="F143" s="1448">
        <v>0</v>
      </c>
      <c r="G143" s="526">
        <v>0</v>
      </c>
      <c r="H143" s="603">
        <v>0</v>
      </c>
      <c r="I143" s="504">
        <f>F143+K143+E143</f>
        <v>24050501</v>
      </c>
      <c r="J143" s="505">
        <f t="shared" si="107"/>
        <v>100</v>
      </c>
      <c r="K143" s="526">
        <v>0</v>
      </c>
      <c r="L143" s="526">
        <v>0</v>
      </c>
      <c r="M143" s="526">
        <f t="shared" si="114"/>
        <v>0</v>
      </c>
      <c r="N143" s="3655"/>
    </row>
    <row r="144" spans="1:14" s="2312" customFormat="1" ht="64.5" hidden="1" thickBot="1" x14ac:dyDescent="0.25">
      <c r="A144" s="3630" t="s">
        <v>44</v>
      </c>
      <c r="B144" s="2407" t="s">
        <v>176</v>
      </c>
      <c r="C144" s="2408"/>
      <c r="D144" s="2409"/>
      <c r="E144" s="2410"/>
      <c r="F144" s="2410"/>
      <c r="G144" s="2410"/>
      <c r="H144" s="2411"/>
      <c r="I144" s="2412"/>
      <c r="J144" s="2413" t="e">
        <f t="shared" si="107"/>
        <v>#DIV/0!</v>
      </c>
      <c r="K144" s="2414"/>
      <c r="L144" s="2413" t="e">
        <f t="shared" ref="L144:L189" si="117">K144/G144*100</f>
        <v>#DIV/0!</v>
      </c>
      <c r="M144" s="2410">
        <f t="shared" si="114"/>
        <v>0</v>
      </c>
      <c r="N144" s="3631" t="s">
        <v>177</v>
      </c>
    </row>
    <row r="145" spans="1:14" s="2314" customFormat="1" ht="13.5" hidden="1" customHeight="1" x14ac:dyDescent="0.25">
      <c r="A145" s="3628"/>
      <c r="B145" s="2415" t="s">
        <v>2</v>
      </c>
      <c r="C145" s="2416"/>
      <c r="D145" s="2417">
        <f>+D146+D149</f>
        <v>0</v>
      </c>
      <c r="E145" s="2418">
        <f>+E146+E149</f>
        <v>0</v>
      </c>
      <c r="F145" s="2418">
        <f>+F146+F149</f>
        <v>0</v>
      </c>
      <c r="G145" s="2418">
        <f>+G146+G149</f>
        <v>0</v>
      </c>
      <c r="H145" s="2419">
        <f>H146+H147</f>
        <v>0</v>
      </c>
      <c r="I145" s="2420" t="e">
        <f>I146</f>
        <v>#REF!</v>
      </c>
      <c r="J145" s="2418" t="e">
        <f t="shared" si="107"/>
        <v>#REF!</v>
      </c>
      <c r="K145" s="2421">
        <f>+K146+K149</f>
        <v>0</v>
      </c>
      <c r="L145" s="2418" t="e">
        <f t="shared" si="117"/>
        <v>#DIV/0!</v>
      </c>
      <c r="M145" s="2421">
        <f t="shared" si="114"/>
        <v>0</v>
      </c>
      <c r="N145" s="3673"/>
    </row>
    <row r="146" spans="1:14" s="2314" customFormat="1" ht="13.5" hidden="1" customHeight="1" x14ac:dyDescent="0.25">
      <c r="A146" s="3628"/>
      <c r="B146" s="2422" t="s">
        <v>3</v>
      </c>
      <c r="C146" s="3436" t="s">
        <v>178</v>
      </c>
      <c r="D146" s="2423">
        <f>+D147</f>
        <v>0</v>
      </c>
      <c r="E146" s="1121">
        <f>+E147+E148</f>
        <v>0</v>
      </c>
      <c r="F146" s="1121">
        <f>SUM(F147:F148)</f>
        <v>0</v>
      </c>
      <c r="G146" s="1121">
        <f>SUM(G147:G148)</f>
        <v>0</v>
      </c>
      <c r="H146" s="2424">
        <v>0</v>
      </c>
      <c r="I146" s="2425" t="e">
        <f>I147</f>
        <v>#REF!</v>
      </c>
      <c r="J146" s="2426" t="e">
        <f t="shared" si="107"/>
        <v>#REF!</v>
      </c>
      <c r="K146" s="1121">
        <f>SUM(K147:K148)</f>
        <v>0</v>
      </c>
      <c r="L146" s="2426" t="e">
        <f t="shared" si="117"/>
        <v>#DIV/0!</v>
      </c>
      <c r="M146" s="2427">
        <f t="shared" si="114"/>
        <v>0</v>
      </c>
      <c r="N146" s="3673"/>
    </row>
    <row r="147" spans="1:14" s="2312" customFormat="1" ht="13.5" hidden="1" customHeight="1" x14ac:dyDescent="0.25">
      <c r="A147" s="3628"/>
      <c r="B147" s="460" t="s">
        <v>4</v>
      </c>
      <c r="C147" s="3657"/>
      <c r="D147" s="2428">
        <f>+E147+F147+G147+H147</f>
        <v>0</v>
      </c>
      <c r="E147" s="1421"/>
      <c r="F147" s="1421"/>
      <c r="G147" s="1421">
        <v>0</v>
      </c>
      <c r="H147" s="1433">
        <v>0</v>
      </c>
      <c r="I147" s="2429" t="e">
        <f>#REF!+K147</f>
        <v>#REF!</v>
      </c>
      <c r="J147" s="1421" t="e">
        <f t="shared" si="107"/>
        <v>#REF!</v>
      </c>
      <c r="K147" s="1421">
        <v>0</v>
      </c>
      <c r="L147" s="1421" t="e">
        <f t="shared" si="117"/>
        <v>#DIV/0!</v>
      </c>
      <c r="M147" s="1421">
        <f t="shared" si="114"/>
        <v>0</v>
      </c>
      <c r="N147" s="3673"/>
    </row>
    <row r="148" spans="1:14" s="2312" customFormat="1" ht="13.5" hidden="1" customHeight="1" x14ac:dyDescent="0.25">
      <c r="A148" s="3628"/>
      <c r="B148" s="2430" t="s">
        <v>8</v>
      </c>
      <c r="C148" s="3657"/>
      <c r="D148" s="2431"/>
      <c r="E148" s="1421"/>
      <c r="F148" s="1421"/>
      <c r="G148" s="1421"/>
      <c r="H148" s="2432"/>
      <c r="I148" s="2433"/>
      <c r="J148" s="2434" t="e">
        <f t="shared" si="107"/>
        <v>#DIV/0!</v>
      </c>
      <c r="K148" s="2434"/>
      <c r="L148" s="2434" t="e">
        <f t="shared" si="117"/>
        <v>#DIV/0!</v>
      </c>
      <c r="M148" s="2434">
        <f t="shared" si="114"/>
        <v>0</v>
      </c>
      <c r="N148" s="3673"/>
    </row>
    <row r="149" spans="1:14" s="2312" customFormat="1" ht="13.5" hidden="1" customHeight="1" x14ac:dyDescent="0.25">
      <c r="A149" s="3628"/>
      <c r="B149" s="2435" t="s">
        <v>12</v>
      </c>
      <c r="C149" s="3657"/>
      <c r="D149" s="2436">
        <f>+D150</f>
        <v>0</v>
      </c>
      <c r="E149" s="1121">
        <f>+E150</f>
        <v>0</v>
      </c>
      <c r="F149" s="1121">
        <f>+F150</f>
        <v>0</v>
      </c>
      <c r="G149" s="1121">
        <f>+G150</f>
        <v>0</v>
      </c>
      <c r="H149" s="2437"/>
      <c r="I149" s="2438"/>
      <c r="J149" s="2439" t="e">
        <f t="shared" si="107"/>
        <v>#DIV/0!</v>
      </c>
      <c r="K149" s="2439"/>
      <c r="L149" s="2439" t="e">
        <f t="shared" si="117"/>
        <v>#DIV/0!</v>
      </c>
      <c r="M149" s="2439">
        <f t="shared" si="114"/>
        <v>0</v>
      </c>
      <c r="N149" s="3673"/>
    </row>
    <row r="150" spans="1:14" s="2312" customFormat="1" ht="13.5" hidden="1" customHeight="1" x14ac:dyDescent="0.25">
      <c r="A150" s="3628"/>
      <c r="B150" s="2440" t="s">
        <v>8</v>
      </c>
      <c r="C150" s="3658"/>
      <c r="D150" s="2441"/>
      <c r="E150" s="1421"/>
      <c r="F150" s="1421"/>
      <c r="G150" s="1421"/>
      <c r="H150" s="2442"/>
      <c r="I150" s="2443"/>
      <c r="J150" s="2444" t="e">
        <f t="shared" si="107"/>
        <v>#DIV/0!</v>
      </c>
      <c r="K150" s="2444"/>
      <c r="L150" s="2444" t="e">
        <f t="shared" si="117"/>
        <v>#DIV/0!</v>
      </c>
      <c r="M150" s="2444">
        <f t="shared" si="114"/>
        <v>0</v>
      </c>
      <c r="N150" s="3673"/>
    </row>
    <row r="151" spans="1:14" s="2312" customFormat="1" ht="13.5" hidden="1" customHeight="1" x14ac:dyDescent="0.25">
      <c r="A151" s="3207"/>
      <c r="B151" s="566" t="s">
        <v>16</v>
      </c>
      <c r="C151" s="2313"/>
      <c r="D151" s="2417">
        <f>+D152+D156</f>
        <v>0</v>
      </c>
      <c r="E151" s="2418">
        <f>+E152+E156</f>
        <v>0</v>
      </c>
      <c r="F151" s="2418">
        <f>+F152+F156</f>
        <v>0</v>
      </c>
      <c r="G151" s="2418">
        <f>+G152+G156</f>
        <v>0</v>
      </c>
      <c r="H151" s="2419">
        <f>H152+H153</f>
        <v>0</v>
      </c>
      <c r="I151" s="2420" t="e">
        <f>I152</f>
        <v>#REF!</v>
      </c>
      <c r="J151" s="2418" t="e">
        <f t="shared" si="107"/>
        <v>#REF!</v>
      </c>
      <c r="K151" s="2418">
        <f>K152</f>
        <v>0</v>
      </c>
      <c r="L151" s="2418" t="e">
        <f t="shared" si="117"/>
        <v>#DIV/0!</v>
      </c>
      <c r="M151" s="2421">
        <f t="shared" si="114"/>
        <v>0</v>
      </c>
      <c r="N151" s="3673"/>
    </row>
    <row r="152" spans="1:14" s="2091" customFormat="1" ht="12.75" hidden="1" customHeight="1" x14ac:dyDescent="0.25">
      <c r="A152" s="3208"/>
      <c r="B152" s="2445" t="s">
        <v>3</v>
      </c>
      <c r="C152" s="3294" t="s">
        <v>178</v>
      </c>
      <c r="D152" s="2446">
        <f>+D154</f>
        <v>0</v>
      </c>
      <c r="E152" s="1123">
        <f>+E153+E154</f>
        <v>0</v>
      </c>
      <c r="F152" s="1123">
        <f>+F153+F154</f>
        <v>0</v>
      </c>
      <c r="G152" s="1123">
        <f>+G153+G154</f>
        <v>0</v>
      </c>
      <c r="H152" s="2447">
        <v>0</v>
      </c>
      <c r="I152" s="2448" t="e">
        <f>I154</f>
        <v>#REF!</v>
      </c>
      <c r="J152" s="1123" t="e">
        <f t="shared" si="107"/>
        <v>#REF!</v>
      </c>
      <c r="K152" s="2449">
        <f>K154</f>
        <v>0</v>
      </c>
      <c r="L152" s="1123" t="e">
        <f t="shared" si="117"/>
        <v>#DIV/0!</v>
      </c>
      <c r="M152" s="1123">
        <f t="shared" si="114"/>
        <v>0</v>
      </c>
      <c r="N152" s="3674"/>
    </row>
    <row r="153" spans="1:14" s="2091" customFormat="1" ht="11.25" hidden="1" customHeight="1" x14ac:dyDescent="0.25">
      <c r="A153" s="3207"/>
      <c r="B153" s="2450" t="s">
        <v>8</v>
      </c>
      <c r="C153" s="3675"/>
      <c r="D153" s="2328">
        <f>+E153+F153+G153+H153</f>
        <v>0</v>
      </c>
      <c r="E153" s="2451"/>
      <c r="F153" s="2451"/>
      <c r="G153" s="2451"/>
      <c r="H153" s="2452"/>
      <c r="I153" s="2453"/>
      <c r="J153" s="2451" t="e">
        <f t="shared" si="107"/>
        <v>#DIV/0!</v>
      </c>
      <c r="K153" s="2454"/>
      <c r="L153" s="2451" t="e">
        <f t="shared" si="117"/>
        <v>#DIV/0!</v>
      </c>
      <c r="M153" s="2451">
        <f t="shared" si="114"/>
        <v>0</v>
      </c>
      <c r="N153" s="3673"/>
    </row>
    <row r="154" spans="1:14" s="2091" customFormat="1" ht="14.25" hidden="1" customHeight="1" thickBot="1" x14ac:dyDescent="0.25">
      <c r="A154" s="3208"/>
      <c r="B154" s="562" t="s">
        <v>4</v>
      </c>
      <c r="C154" s="3676"/>
      <c r="D154" s="2455">
        <f>+E154+F154+G154+H154</f>
        <v>0</v>
      </c>
      <c r="E154" s="1448"/>
      <c r="F154" s="1448"/>
      <c r="G154" s="1448">
        <v>0</v>
      </c>
      <c r="H154" s="1453">
        <v>0</v>
      </c>
      <c r="I154" s="2132" t="e">
        <f>#REF!+K154</f>
        <v>#REF!</v>
      </c>
      <c r="J154" s="1448" t="e">
        <f t="shared" si="107"/>
        <v>#REF!</v>
      </c>
      <c r="K154" s="1448">
        <v>0</v>
      </c>
      <c r="L154" s="1448" t="e">
        <f t="shared" si="117"/>
        <v>#DIV/0!</v>
      </c>
      <c r="M154" s="1448">
        <f t="shared" si="114"/>
        <v>0</v>
      </c>
      <c r="N154" s="3674"/>
    </row>
    <row r="155" spans="1:14" s="2091" customFormat="1" ht="12.75" hidden="1" customHeight="1" x14ac:dyDescent="0.25">
      <c r="A155" s="2456"/>
      <c r="B155" s="2457" t="s">
        <v>12</v>
      </c>
      <c r="C155" s="2458"/>
      <c r="D155" s="2459"/>
      <c r="E155" s="2460"/>
      <c r="F155" s="2460"/>
      <c r="G155" s="2460"/>
      <c r="H155" s="2461"/>
      <c r="I155" s="2096"/>
      <c r="J155" s="2462" t="e">
        <f t="shared" si="107"/>
        <v>#DIV/0!</v>
      </c>
      <c r="K155" s="2463"/>
      <c r="L155" s="2462" t="e">
        <f t="shared" si="117"/>
        <v>#DIV/0!</v>
      </c>
      <c r="M155" s="2460">
        <f t="shared" si="114"/>
        <v>0</v>
      </c>
      <c r="N155" s="2464"/>
    </row>
    <row r="156" spans="1:14" s="2091" customFormat="1" ht="14.25" hidden="1" customHeight="1" x14ac:dyDescent="0.25">
      <c r="A156" s="2465"/>
      <c r="B156" s="2466" t="s">
        <v>8</v>
      </c>
      <c r="C156" s="2467"/>
      <c r="D156" s="2468"/>
      <c r="E156" s="2469"/>
      <c r="F156" s="2469"/>
      <c r="G156" s="2469"/>
      <c r="H156" s="2470"/>
      <c r="I156" s="2471"/>
      <c r="J156" s="2472" t="e">
        <f t="shared" si="107"/>
        <v>#DIV/0!</v>
      </c>
      <c r="K156" s="2473"/>
      <c r="L156" s="2472" t="e">
        <f t="shared" si="117"/>
        <v>#DIV/0!</v>
      </c>
      <c r="M156" s="2469">
        <f t="shared" si="114"/>
        <v>0</v>
      </c>
      <c r="N156" s="2474"/>
    </row>
    <row r="157" spans="1:14" s="2091" customFormat="1" ht="15" hidden="1" customHeight="1" x14ac:dyDescent="0.25">
      <c r="A157" s="2475"/>
      <c r="B157" s="2476" t="s">
        <v>13</v>
      </c>
      <c r="C157" s="2477"/>
      <c r="D157" s="2478"/>
      <c r="E157" s="2479"/>
      <c r="F157" s="2479"/>
      <c r="G157" s="2479"/>
      <c r="H157" s="2480"/>
      <c r="I157" s="2481"/>
      <c r="J157" s="2482" t="e">
        <f t="shared" si="107"/>
        <v>#DIV/0!</v>
      </c>
      <c r="K157" s="2483"/>
      <c r="L157" s="2482" t="e">
        <f t="shared" si="117"/>
        <v>#DIV/0!</v>
      </c>
      <c r="M157" s="2479">
        <f t="shared" si="114"/>
        <v>0</v>
      </c>
      <c r="N157" s="2484"/>
    </row>
    <row r="158" spans="1:14" ht="51.75" hidden="1" thickBot="1" x14ac:dyDescent="0.25">
      <c r="A158" s="3667" t="s">
        <v>32</v>
      </c>
      <c r="B158" s="2485" t="s">
        <v>179</v>
      </c>
      <c r="C158" s="2486"/>
      <c r="D158" s="2487"/>
      <c r="E158" s="2488"/>
      <c r="F158" s="2488"/>
      <c r="G158" s="2488"/>
      <c r="H158" s="2489"/>
      <c r="I158" s="2490"/>
      <c r="J158" s="2491" t="e">
        <f t="shared" si="107"/>
        <v>#DIV/0!</v>
      </c>
      <c r="K158" s="2492"/>
      <c r="L158" s="2491" t="e">
        <f t="shared" si="117"/>
        <v>#DIV/0!</v>
      </c>
      <c r="M158" s="2488">
        <f t="shared" si="114"/>
        <v>0</v>
      </c>
      <c r="N158" s="3668" t="s">
        <v>180</v>
      </c>
    </row>
    <row r="159" spans="1:14" ht="12.95" hidden="1" customHeight="1" x14ac:dyDescent="0.25">
      <c r="A159" s="3648"/>
      <c r="B159" s="2493" t="s">
        <v>2</v>
      </c>
      <c r="C159" s="2494"/>
      <c r="D159" s="2495">
        <f>+D161</f>
        <v>0</v>
      </c>
      <c r="E159" s="2496"/>
      <c r="F159" s="2496"/>
      <c r="G159" s="2496"/>
      <c r="H159" s="2497"/>
      <c r="I159" s="2498"/>
      <c r="J159" s="2499" t="e">
        <f t="shared" si="107"/>
        <v>#DIV/0!</v>
      </c>
      <c r="K159" s="2500"/>
      <c r="L159" s="2499" t="e">
        <f t="shared" si="117"/>
        <v>#DIV/0!</v>
      </c>
      <c r="M159" s="2496">
        <f t="shared" si="114"/>
        <v>0</v>
      </c>
      <c r="N159" s="3625"/>
    </row>
    <row r="160" spans="1:14" ht="14.25" hidden="1" customHeight="1" x14ac:dyDescent="0.25">
      <c r="A160" s="3648"/>
      <c r="B160" s="2501" t="s">
        <v>3</v>
      </c>
      <c r="C160" s="3656" t="s">
        <v>181</v>
      </c>
      <c r="D160" s="2502">
        <f t="shared" ref="D160" si="118">+D161</f>
        <v>0</v>
      </c>
      <c r="E160" s="2503"/>
      <c r="F160" s="2503"/>
      <c r="G160" s="2503"/>
      <c r="H160" s="2504"/>
      <c r="I160" s="2505"/>
      <c r="J160" s="2506" t="e">
        <f t="shared" si="107"/>
        <v>#DIV/0!</v>
      </c>
      <c r="K160" s="2503"/>
      <c r="L160" s="2506" t="e">
        <f t="shared" si="117"/>
        <v>#DIV/0!</v>
      </c>
      <c r="M160" s="2503">
        <f t="shared" si="114"/>
        <v>0</v>
      </c>
      <c r="N160" s="3625"/>
    </row>
    <row r="161" spans="1:14" ht="12.95" hidden="1" customHeight="1" x14ac:dyDescent="0.25">
      <c r="A161" s="3648"/>
      <c r="B161" s="2507" t="s">
        <v>85</v>
      </c>
      <c r="C161" s="3657"/>
      <c r="D161" s="2508">
        <v>0</v>
      </c>
      <c r="E161" s="2509"/>
      <c r="F161" s="2509"/>
      <c r="G161" s="2509"/>
      <c r="H161" s="2510"/>
      <c r="I161" s="2511"/>
      <c r="J161" s="2512" t="e">
        <f t="shared" si="107"/>
        <v>#DIV/0!</v>
      </c>
      <c r="K161" s="2513"/>
      <c r="L161" s="2512" t="e">
        <f t="shared" si="117"/>
        <v>#DIV/0!</v>
      </c>
      <c r="M161" s="2509">
        <f t="shared" si="114"/>
        <v>0</v>
      </c>
      <c r="N161" s="3625"/>
    </row>
    <row r="162" spans="1:14" ht="12.95" hidden="1" customHeight="1" x14ac:dyDescent="0.25">
      <c r="A162" s="3648"/>
      <c r="B162" s="2493" t="s">
        <v>16</v>
      </c>
      <c r="C162" s="2494"/>
      <c r="D162" s="2495">
        <f t="shared" ref="D162:D163" si="119">+D163</f>
        <v>0</v>
      </c>
      <c r="E162" s="2496"/>
      <c r="F162" s="2496"/>
      <c r="G162" s="2496"/>
      <c r="H162" s="2497"/>
      <c r="I162" s="2498"/>
      <c r="J162" s="2499" t="e">
        <f t="shared" si="107"/>
        <v>#DIV/0!</v>
      </c>
      <c r="K162" s="2500"/>
      <c r="L162" s="2499" t="e">
        <f t="shared" si="117"/>
        <v>#DIV/0!</v>
      </c>
      <c r="M162" s="2496">
        <f t="shared" si="114"/>
        <v>0</v>
      </c>
      <c r="N162" s="3625"/>
    </row>
    <row r="163" spans="1:14" ht="12.95" hidden="1" customHeight="1" x14ac:dyDescent="0.25">
      <c r="A163" s="3648"/>
      <c r="B163" s="2501" t="s">
        <v>3</v>
      </c>
      <c r="C163" s="3656" t="s">
        <v>181</v>
      </c>
      <c r="D163" s="2502">
        <f t="shared" si="119"/>
        <v>0</v>
      </c>
      <c r="E163" s="2503"/>
      <c r="F163" s="2503"/>
      <c r="G163" s="2503"/>
      <c r="H163" s="2504"/>
      <c r="I163" s="2505"/>
      <c r="J163" s="2506" t="e">
        <f t="shared" ref="J163:J189" si="120">I163/D163*100</f>
        <v>#DIV/0!</v>
      </c>
      <c r="K163" s="2503"/>
      <c r="L163" s="2506" t="e">
        <f t="shared" si="117"/>
        <v>#DIV/0!</v>
      </c>
      <c r="M163" s="2503">
        <f t="shared" si="114"/>
        <v>0</v>
      </c>
      <c r="N163" s="3625"/>
    </row>
    <row r="164" spans="1:14" ht="12.95" hidden="1" customHeight="1" thickBot="1" x14ac:dyDescent="0.25">
      <c r="A164" s="2514"/>
      <c r="B164" s="2440" t="s">
        <v>85</v>
      </c>
      <c r="C164" s="3658"/>
      <c r="D164" s="2478">
        <v>0</v>
      </c>
      <c r="E164" s="2479"/>
      <c r="F164" s="2479"/>
      <c r="G164" s="2479"/>
      <c r="H164" s="2480"/>
      <c r="I164" s="2481"/>
      <c r="J164" s="2482" t="e">
        <f t="shared" si="120"/>
        <v>#DIV/0!</v>
      </c>
      <c r="K164" s="2483"/>
      <c r="L164" s="2482" t="e">
        <f t="shared" si="117"/>
        <v>#DIV/0!</v>
      </c>
      <c r="M164" s="2479">
        <f t="shared" si="114"/>
        <v>0</v>
      </c>
      <c r="N164" s="3626"/>
    </row>
    <row r="165" spans="1:14" ht="67.5" hidden="1" customHeight="1" x14ac:dyDescent="0.25">
      <c r="A165" s="3627" t="s">
        <v>32</v>
      </c>
      <c r="B165" s="2515" t="s">
        <v>182</v>
      </c>
      <c r="C165" s="2516"/>
      <c r="D165" s="2409"/>
      <c r="E165" s="2517"/>
      <c r="F165" s="2517"/>
      <c r="G165" s="2517"/>
      <c r="H165" s="2518"/>
      <c r="I165" s="2412"/>
      <c r="J165" s="2519" t="e">
        <f t="shared" si="120"/>
        <v>#DIV/0!</v>
      </c>
      <c r="K165" s="2520"/>
      <c r="L165" s="2519" t="e">
        <f t="shared" si="117"/>
        <v>#DIV/0!</v>
      </c>
      <c r="M165" s="2517">
        <f t="shared" si="114"/>
        <v>0</v>
      </c>
      <c r="N165" s="3624" t="s">
        <v>183</v>
      </c>
    </row>
    <row r="166" spans="1:14" ht="12.95" hidden="1" customHeight="1" x14ac:dyDescent="0.25">
      <c r="A166" s="3207"/>
      <c r="B166" s="334" t="s">
        <v>2</v>
      </c>
      <c r="C166" s="2521"/>
      <c r="D166" s="2522"/>
      <c r="E166" s="1861"/>
      <c r="F166" s="1861"/>
      <c r="G166" s="1861"/>
      <c r="H166" s="1887"/>
      <c r="I166" s="2523"/>
      <c r="J166" s="1861" t="e">
        <f t="shared" si="120"/>
        <v>#DIV/0!</v>
      </c>
      <c r="K166" s="1861"/>
      <c r="L166" s="1861" t="e">
        <f t="shared" si="117"/>
        <v>#DIV/0!</v>
      </c>
      <c r="M166" s="1861">
        <f t="shared" si="114"/>
        <v>0</v>
      </c>
      <c r="N166" s="3625"/>
    </row>
    <row r="167" spans="1:14" ht="12.95" hidden="1" customHeight="1" x14ac:dyDescent="0.25">
      <c r="A167" s="3208"/>
      <c r="B167" s="2445" t="s">
        <v>3</v>
      </c>
      <c r="C167" s="3294" t="s">
        <v>172</v>
      </c>
      <c r="D167" s="2524">
        <v>0</v>
      </c>
      <c r="E167" s="2525">
        <v>0</v>
      </c>
      <c r="F167" s="2525">
        <v>0</v>
      </c>
      <c r="G167" s="2525">
        <v>0</v>
      </c>
      <c r="H167" s="2526">
        <v>0</v>
      </c>
      <c r="I167" s="2527">
        <v>0</v>
      </c>
      <c r="J167" s="2528" t="e">
        <f t="shared" si="120"/>
        <v>#DIV/0!</v>
      </c>
      <c r="K167" s="2528">
        <v>0</v>
      </c>
      <c r="L167" s="2528" t="e">
        <f t="shared" si="117"/>
        <v>#DIV/0!</v>
      </c>
      <c r="M167" s="2525">
        <f t="shared" si="114"/>
        <v>0</v>
      </c>
      <c r="N167" s="3655"/>
    </row>
    <row r="168" spans="1:14" ht="12.95" hidden="1" customHeight="1" x14ac:dyDescent="0.25">
      <c r="A168" s="3659"/>
      <c r="B168" s="2529" t="s">
        <v>4</v>
      </c>
      <c r="C168" s="3660"/>
      <c r="D168" s="2530"/>
      <c r="E168" s="2531"/>
      <c r="F168" s="2531"/>
      <c r="G168" s="2531"/>
      <c r="H168" s="2532"/>
      <c r="I168" s="2533"/>
      <c r="J168" s="2531" t="e">
        <f t="shared" si="120"/>
        <v>#DIV/0!</v>
      </c>
      <c r="K168" s="2534"/>
      <c r="L168" s="2531" t="e">
        <f t="shared" si="117"/>
        <v>#DIV/0!</v>
      </c>
      <c r="M168" s="2531">
        <f t="shared" si="114"/>
        <v>0</v>
      </c>
      <c r="N168" s="3624"/>
    </row>
    <row r="169" spans="1:14" ht="12.95" hidden="1" customHeight="1" x14ac:dyDescent="0.25">
      <c r="A169" s="3207"/>
      <c r="B169" s="2347" t="s">
        <v>7</v>
      </c>
      <c r="C169" s="3434"/>
      <c r="D169" s="2428">
        <v>0</v>
      </c>
      <c r="E169" s="1421">
        <v>0</v>
      </c>
      <c r="F169" s="1421">
        <v>0</v>
      </c>
      <c r="G169" s="1421">
        <v>0</v>
      </c>
      <c r="H169" s="1433">
        <v>0</v>
      </c>
      <c r="I169" s="2535">
        <v>0</v>
      </c>
      <c r="J169" s="2451" t="e">
        <f t="shared" si="120"/>
        <v>#DIV/0!</v>
      </c>
      <c r="K169" s="1421">
        <v>0</v>
      </c>
      <c r="L169" s="2451" t="e">
        <f t="shared" si="117"/>
        <v>#DIV/0!</v>
      </c>
      <c r="M169" s="1421">
        <f t="shared" si="114"/>
        <v>0</v>
      </c>
      <c r="N169" s="3625"/>
    </row>
    <row r="170" spans="1:14" ht="12.95" hidden="1" customHeight="1" x14ac:dyDescent="0.25">
      <c r="A170" s="3207"/>
      <c r="B170" s="2536" t="s">
        <v>12</v>
      </c>
      <c r="C170" s="3434"/>
      <c r="D170" s="2537">
        <v>0</v>
      </c>
      <c r="E170" s="607">
        <v>0</v>
      </c>
      <c r="F170" s="607">
        <v>0</v>
      </c>
      <c r="G170" s="607">
        <v>0</v>
      </c>
      <c r="H170" s="676">
        <v>0</v>
      </c>
      <c r="I170" s="1120">
        <v>0</v>
      </c>
      <c r="J170" s="2538" t="e">
        <f t="shared" si="120"/>
        <v>#DIV/0!</v>
      </c>
      <c r="K170" s="2539">
        <v>0</v>
      </c>
      <c r="L170" s="2538" t="e">
        <f t="shared" si="117"/>
        <v>#DIV/0!</v>
      </c>
      <c r="M170" s="607">
        <f t="shared" si="114"/>
        <v>0</v>
      </c>
      <c r="N170" s="3625"/>
    </row>
    <row r="171" spans="1:14" ht="12.95" hidden="1" customHeight="1" x14ac:dyDescent="0.25">
      <c r="A171" s="3207"/>
      <c r="B171" s="460" t="s">
        <v>14</v>
      </c>
      <c r="C171" s="3088"/>
      <c r="D171" s="2428">
        <v>0</v>
      </c>
      <c r="E171" s="1421">
        <v>0</v>
      </c>
      <c r="F171" s="1421">
        <v>0</v>
      </c>
      <c r="G171" s="1421">
        <v>0</v>
      </c>
      <c r="H171" s="1433">
        <v>0</v>
      </c>
      <c r="I171" s="2453">
        <v>0</v>
      </c>
      <c r="J171" s="2540" t="e">
        <f t="shared" si="120"/>
        <v>#DIV/0!</v>
      </c>
      <c r="K171" s="1421">
        <v>0</v>
      </c>
      <c r="L171" s="2540" t="e">
        <f t="shared" si="117"/>
        <v>#DIV/0!</v>
      </c>
      <c r="M171" s="1421">
        <f t="shared" si="114"/>
        <v>0</v>
      </c>
      <c r="N171" s="3625"/>
    </row>
    <row r="172" spans="1:14" ht="12.95" hidden="1" customHeight="1" x14ac:dyDescent="0.25">
      <c r="A172" s="3207"/>
      <c r="B172" s="334" t="s">
        <v>16</v>
      </c>
      <c r="C172" s="2313"/>
      <c r="D172" s="2522">
        <v>0</v>
      </c>
      <c r="E172" s="1861">
        <v>0</v>
      </c>
      <c r="F172" s="1861">
        <v>0</v>
      </c>
      <c r="G172" s="1861">
        <v>0</v>
      </c>
      <c r="H172" s="1887">
        <v>0</v>
      </c>
      <c r="I172" s="2541">
        <v>0</v>
      </c>
      <c r="J172" s="1861" t="e">
        <f t="shared" si="120"/>
        <v>#DIV/0!</v>
      </c>
      <c r="K172" s="2542">
        <v>0</v>
      </c>
      <c r="L172" s="1861" t="e">
        <f t="shared" si="117"/>
        <v>#DIV/0!</v>
      </c>
      <c r="M172" s="1861">
        <f t="shared" si="114"/>
        <v>0</v>
      </c>
      <c r="N172" s="3625"/>
    </row>
    <row r="173" spans="1:14" ht="12.95" hidden="1" customHeight="1" x14ac:dyDescent="0.25">
      <c r="A173" s="3207"/>
      <c r="B173" s="2422" t="s">
        <v>3</v>
      </c>
      <c r="C173" s="3661" t="s">
        <v>172</v>
      </c>
      <c r="D173" s="2543">
        <v>0</v>
      </c>
      <c r="E173" s="2538">
        <v>0</v>
      </c>
      <c r="F173" s="2538">
        <v>0</v>
      </c>
      <c r="G173" s="2538">
        <v>0</v>
      </c>
      <c r="H173" s="680">
        <v>0</v>
      </c>
      <c r="I173" s="2544">
        <v>0</v>
      </c>
      <c r="J173" s="2538" t="e">
        <f t="shared" si="120"/>
        <v>#DIV/0!</v>
      </c>
      <c r="K173" s="2538">
        <v>0</v>
      </c>
      <c r="L173" s="2538" t="e">
        <f t="shared" si="117"/>
        <v>#DIV/0!</v>
      </c>
      <c r="M173" s="2538">
        <f t="shared" si="114"/>
        <v>0</v>
      </c>
      <c r="N173" s="3626"/>
    </row>
    <row r="174" spans="1:14" ht="12.95" hidden="1" customHeight="1" x14ac:dyDescent="0.25">
      <c r="A174" s="3659"/>
      <c r="B174" s="2545" t="s">
        <v>7</v>
      </c>
      <c r="C174" s="3662"/>
      <c r="D174" s="2530">
        <v>0</v>
      </c>
      <c r="E174" s="2531">
        <v>0</v>
      </c>
      <c r="F174" s="2531">
        <v>0</v>
      </c>
      <c r="G174" s="2531">
        <v>0</v>
      </c>
      <c r="H174" s="2532">
        <v>0</v>
      </c>
      <c r="I174" s="2533">
        <v>0</v>
      </c>
      <c r="J174" s="2531" t="e">
        <f t="shared" si="120"/>
        <v>#DIV/0!</v>
      </c>
      <c r="K174" s="2531">
        <v>0</v>
      </c>
      <c r="L174" s="2531" t="e">
        <f t="shared" si="117"/>
        <v>#DIV/0!</v>
      </c>
      <c r="M174" s="2531">
        <f t="shared" si="114"/>
        <v>0</v>
      </c>
      <c r="N174" s="3624"/>
    </row>
    <row r="175" spans="1:14" ht="11.25" hidden="1" customHeight="1" x14ac:dyDescent="0.25">
      <c r="A175" s="3207"/>
      <c r="B175" s="664" t="s">
        <v>167</v>
      </c>
      <c r="C175" s="3663"/>
      <c r="D175" s="2428"/>
      <c r="E175" s="1421"/>
      <c r="F175" s="1421"/>
      <c r="G175" s="1421"/>
      <c r="H175" s="1433"/>
      <c r="I175" s="2535"/>
      <c r="J175" s="2451" t="e">
        <f t="shared" si="120"/>
        <v>#DIV/0!</v>
      </c>
      <c r="K175" s="1421"/>
      <c r="L175" s="2451" t="e">
        <f t="shared" si="117"/>
        <v>#DIV/0!</v>
      </c>
      <c r="M175" s="1421">
        <f t="shared" si="114"/>
        <v>0</v>
      </c>
      <c r="N175" s="3625"/>
    </row>
    <row r="176" spans="1:14" ht="12.95" hidden="1" customHeight="1" x14ac:dyDescent="0.25">
      <c r="A176" s="3207"/>
      <c r="B176" s="2536" t="s">
        <v>12</v>
      </c>
      <c r="C176" s="3663"/>
      <c r="D176" s="2537">
        <v>0</v>
      </c>
      <c r="E176" s="607">
        <v>0</v>
      </c>
      <c r="F176" s="607">
        <v>0</v>
      </c>
      <c r="G176" s="607">
        <v>0</v>
      </c>
      <c r="H176" s="676">
        <v>0</v>
      </c>
      <c r="I176" s="1120">
        <v>0</v>
      </c>
      <c r="J176" s="607" t="e">
        <f t="shared" si="120"/>
        <v>#DIV/0!</v>
      </c>
      <c r="K176" s="607">
        <v>0</v>
      </c>
      <c r="L176" s="607" t="e">
        <f t="shared" si="117"/>
        <v>#DIV/0!</v>
      </c>
      <c r="M176" s="607">
        <f t="shared" si="114"/>
        <v>0</v>
      </c>
      <c r="N176" s="3625"/>
    </row>
    <row r="177" spans="1:14" ht="12" hidden="1" customHeight="1" x14ac:dyDescent="0.25">
      <c r="A177" s="3207"/>
      <c r="B177" s="2326" t="s">
        <v>14</v>
      </c>
      <c r="C177" s="3663"/>
      <c r="D177" s="2428">
        <v>0</v>
      </c>
      <c r="E177" s="1421">
        <v>0</v>
      </c>
      <c r="F177" s="1421">
        <v>0</v>
      </c>
      <c r="G177" s="1421">
        <v>0</v>
      </c>
      <c r="H177" s="1433">
        <v>0</v>
      </c>
      <c r="I177" s="2453">
        <v>0</v>
      </c>
      <c r="J177" s="1421" t="e">
        <f t="shared" si="120"/>
        <v>#DIV/0!</v>
      </c>
      <c r="K177" s="2451">
        <v>0</v>
      </c>
      <c r="L177" s="1421" t="e">
        <f t="shared" si="117"/>
        <v>#DIV/0!</v>
      </c>
      <c r="M177" s="1421">
        <f t="shared" si="114"/>
        <v>0</v>
      </c>
      <c r="N177" s="3625"/>
    </row>
    <row r="178" spans="1:14" ht="12.95" hidden="1" customHeight="1" thickBot="1" x14ac:dyDescent="0.25">
      <c r="A178" s="3208"/>
      <c r="B178" s="2350" t="s">
        <v>13</v>
      </c>
      <c r="C178" s="3664"/>
      <c r="D178" s="2546"/>
      <c r="E178" s="1153"/>
      <c r="F178" s="1153"/>
      <c r="G178" s="1153"/>
      <c r="H178" s="1165"/>
      <c r="I178" s="504"/>
      <c r="J178" s="505" t="e">
        <f t="shared" si="120"/>
        <v>#DIV/0!</v>
      </c>
      <c r="K178" s="2351"/>
      <c r="L178" s="505" t="e">
        <f t="shared" si="117"/>
        <v>#DIV/0!</v>
      </c>
      <c r="M178" s="501">
        <f t="shared" si="114"/>
        <v>0</v>
      </c>
      <c r="N178" s="3655"/>
    </row>
    <row r="179" spans="1:14" ht="33.75" hidden="1" customHeight="1" x14ac:dyDescent="0.25">
      <c r="A179" s="3629" t="s">
        <v>40</v>
      </c>
      <c r="B179" s="2547" t="s">
        <v>184</v>
      </c>
      <c r="C179" s="2548"/>
      <c r="D179" s="2549"/>
      <c r="E179" s="2550"/>
      <c r="F179" s="2550"/>
      <c r="G179" s="2550"/>
      <c r="H179" s="2551"/>
      <c r="I179" s="2552"/>
      <c r="J179" s="2553" t="e">
        <f t="shared" si="120"/>
        <v>#DIV/0!</v>
      </c>
      <c r="K179" s="2554"/>
      <c r="L179" s="2553" t="e">
        <f t="shared" si="117"/>
        <v>#DIV/0!</v>
      </c>
      <c r="M179" s="2550">
        <f t="shared" si="114"/>
        <v>0</v>
      </c>
      <c r="N179" s="3633" t="s">
        <v>185</v>
      </c>
    </row>
    <row r="180" spans="1:14" ht="12.95" hidden="1" customHeight="1" x14ac:dyDescent="0.25">
      <c r="A180" s="3647"/>
      <c r="B180" s="2555" t="s">
        <v>2</v>
      </c>
      <c r="C180" s="2556"/>
      <c r="D180" s="2557"/>
      <c r="E180" s="2558"/>
      <c r="F180" s="2558"/>
      <c r="G180" s="2558"/>
      <c r="H180" s="2559"/>
      <c r="I180" s="2560"/>
      <c r="J180" s="2561" t="e">
        <f t="shared" si="120"/>
        <v>#DIV/0!</v>
      </c>
      <c r="K180" s="2558"/>
      <c r="L180" s="2561" t="e">
        <f t="shared" si="117"/>
        <v>#DIV/0!</v>
      </c>
      <c r="M180" s="2558">
        <f t="shared" si="114"/>
        <v>0</v>
      </c>
      <c r="N180" s="3624"/>
    </row>
    <row r="181" spans="1:14" ht="12.95" hidden="1" customHeight="1" x14ac:dyDescent="0.25">
      <c r="A181" s="3648"/>
      <c r="B181" s="2501" t="s">
        <v>3</v>
      </c>
      <c r="C181" s="3656" t="s">
        <v>170</v>
      </c>
      <c r="D181" s="2502"/>
      <c r="E181" s="2503"/>
      <c r="F181" s="2503"/>
      <c r="G181" s="2503"/>
      <c r="H181" s="2504"/>
      <c r="I181" s="2505"/>
      <c r="J181" s="2506" t="e">
        <f t="shared" si="120"/>
        <v>#DIV/0!</v>
      </c>
      <c r="K181" s="2503"/>
      <c r="L181" s="2506" t="e">
        <f t="shared" si="117"/>
        <v>#DIV/0!</v>
      </c>
      <c r="M181" s="2503">
        <f t="shared" si="114"/>
        <v>0</v>
      </c>
      <c r="N181" s="3625"/>
    </row>
    <row r="182" spans="1:14" ht="12.95" hidden="1" customHeight="1" x14ac:dyDescent="0.25">
      <c r="A182" s="3665"/>
      <c r="B182" s="2562" t="s">
        <v>8</v>
      </c>
      <c r="C182" s="3101"/>
      <c r="D182" s="2563"/>
      <c r="E182" s="2564"/>
      <c r="F182" s="2564"/>
      <c r="G182" s="2564"/>
      <c r="H182" s="2565"/>
      <c r="I182" s="2566"/>
      <c r="J182" s="2567" t="e">
        <f t="shared" si="120"/>
        <v>#DIV/0!</v>
      </c>
      <c r="K182" s="2568"/>
      <c r="L182" s="2567" t="e">
        <f t="shared" si="117"/>
        <v>#DIV/0!</v>
      </c>
      <c r="M182" s="2564">
        <f t="shared" si="114"/>
        <v>0</v>
      </c>
      <c r="N182" s="3655"/>
    </row>
    <row r="183" spans="1:14" ht="12.95" hidden="1" customHeight="1" x14ac:dyDescent="0.25">
      <c r="A183" s="3647"/>
      <c r="B183" s="2569" t="s">
        <v>12</v>
      </c>
      <c r="C183" s="3660"/>
      <c r="D183" s="2570"/>
      <c r="E183" s="2571"/>
      <c r="F183" s="2571"/>
      <c r="G183" s="2571"/>
      <c r="H183" s="2572"/>
      <c r="I183" s="2573"/>
      <c r="J183" s="2574" t="e">
        <f t="shared" si="120"/>
        <v>#DIV/0!</v>
      </c>
      <c r="K183" s="2571"/>
      <c r="L183" s="2574" t="e">
        <f t="shared" si="117"/>
        <v>#DIV/0!</v>
      </c>
      <c r="M183" s="2571">
        <f t="shared" si="114"/>
        <v>0</v>
      </c>
      <c r="N183" s="3624"/>
    </row>
    <row r="184" spans="1:14" ht="12.95" hidden="1" customHeight="1" x14ac:dyDescent="0.25">
      <c r="A184" s="3648"/>
      <c r="B184" s="2507" t="s">
        <v>8</v>
      </c>
      <c r="C184" s="3434"/>
      <c r="D184" s="2508"/>
      <c r="E184" s="2509"/>
      <c r="F184" s="2509"/>
      <c r="G184" s="2509"/>
      <c r="H184" s="2510"/>
      <c r="I184" s="2511"/>
      <c r="J184" s="2512" t="e">
        <f t="shared" si="120"/>
        <v>#DIV/0!</v>
      </c>
      <c r="K184" s="2513"/>
      <c r="L184" s="2512" t="e">
        <f t="shared" si="117"/>
        <v>#DIV/0!</v>
      </c>
      <c r="M184" s="2509">
        <f t="shared" si="114"/>
        <v>0</v>
      </c>
      <c r="N184" s="3625"/>
    </row>
    <row r="185" spans="1:14" ht="12.95" hidden="1" customHeight="1" x14ac:dyDescent="0.25">
      <c r="A185" s="3648"/>
      <c r="B185" s="2493" t="s">
        <v>16</v>
      </c>
      <c r="C185" s="2575"/>
      <c r="D185" s="2576"/>
      <c r="E185" s="2577"/>
      <c r="F185" s="2577"/>
      <c r="G185" s="2577"/>
      <c r="H185" s="2578"/>
      <c r="I185" s="2579"/>
      <c r="J185" s="2580" t="e">
        <f t="shared" si="120"/>
        <v>#DIV/0!</v>
      </c>
      <c r="K185" s="2577"/>
      <c r="L185" s="2580" t="e">
        <f t="shared" si="117"/>
        <v>#DIV/0!</v>
      </c>
      <c r="M185" s="2577">
        <f t="shared" si="114"/>
        <v>0</v>
      </c>
      <c r="N185" s="3625"/>
    </row>
    <row r="186" spans="1:14" ht="12.95" hidden="1" customHeight="1" x14ac:dyDescent="0.25">
      <c r="A186" s="3648"/>
      <c r="B186" s="2501" t="s">
        <v>3</v>
      </c>
      <c r="C186" s="3656" t="s">
        <v>170</v>
      </c>
      <c r="D186" s="2502"/>
      <c r="E186" s="2503"/>
      <c r="F186" s="2503"/>
      <c r="G186" s="2503"/>
      <c r="H186" s="2504"/>
      <c r="I186" s="2505"/>
      <c r="J186" s="2506" t="e">
        <f t="shared" si="120"/>
        <v>#DIV/0!</v>
      </c>
      <c r="K186" s="2503"/>
      <c r="L186" s="2506" t="e">
        <f t="shared" si="117"/>
        <v>#DIV/0!</v>
      </c>
      <c r="M186" s="2503">
        <f t="shared" si="114"/>
        <v>0</v>
      </c>
      <c r="N186" s="3625"/>
    </row>
    <row r="187" spans="1:14" ht="12.95" hidden="1" customHeight="1" x14ac:dyDescent="0.25">
      <c r="A187" s="3648"/>
      <c r="B187" s="2507" t="s">
        <v>8</v>
      </c>
      <c r="C187" s="3434"/>
      <c r="D187" s="2508"/>
      <c r="E187" s="2509"/>
      <c r="F187" s="2509"/>
      <c r="G187" s="2509"/>
      <c r="H187" s="2510"/>
      <c r="I187" s="2511"/>
      <c r="J187" s="2512" t="e">
        <f t="shared" si="120"/>
        <v>#DIV/0!</v>
      </c>
      <c r="K187" s="2513"/>
      <c r="L187" s="2512" t="e">
        <f t="shared" si="117"/>
        <v>#DIV/0!</v>
      </c>
      <c r="M187" s="2509">
        <f t="shared" si="114"/>
        <v>0</v>
      </c>
      <c r="N187" s="3625"/>
    </row>
    <row r="188" spans="1:14" ht="12.95" hidden="1" customHeight="1" x14ac:dyDescent="0.25">
      <c r="A188" s="3648"/>
      <c r="B188" s="2581" t="s">
        <v>12</v>
      </c>
      <c r="C188" s="3434"/>
      <c r="D188" s="2502"/>
      <c r="E188" s="2503"/>
      <c r="F188" s="2503"/>
      <c r="G188" s="2503"/>
      <c r="H188" s="2504"/>
      <c r="I188" s="2505"/>
      <c r="J188" s="2506" t="e">
        <f t="shared" si="120"/>
        <v>#DIV/0!</v>
      </c>
      <c r="K188" s="2503"/>
      <c r="L188" s="2506" t="e">
        <f t="shared" si="117"/>
        <v>#DIV/0!</v>
      </c>
      <c r="M188" s="2503">
        <f t="shared" si="114"/>
        <v>0</v>
      </c>
      <c r="N188" s="3625"/>
    </row>
    <row r="189" spans="1:14" ht="12.95" hidden="1" customHeight="1" thickBot="1" x14ac:dyDescent="0.25">
      <c r="A189" s="3666"/>
      <c r="B189" s="2440" t="s">
        <v>8</v>
      </c>
      <c r="C189" s="3088"/>
      <c r="D189" s="2582"/>
      <c r="E189" s="2583"/>
      <c r="F189" s="2583"/>
      <c r="G189" s="2583"/>
      <c r="H189" s="2584"/>
      <c r="I189" s="2585"/>
      <c r="J189" s="2586" t="e">
        <f t="shared" si="120"/>
        <v>#DIV/0!</v>
      </c>
      <c r="K189" s="2587"/>
      <c r="L189" s="2586" t="e">
        <f t="shared" si="117"/>
        <v>#DIV/0!</v>
      </c>
      <c r="M189" s="2583">
        <f t="shared" si="114"/>
        <v>0</v>
      </c>
      <c r="N189" s="3626"/>
    </row>
    <row r="190" spans="1:14" ht="29.25" customHeight="1" x14ac:dyDescent="0.2">
      <c r="A190" s="3637" t="s">
        <v>46</v>
      </c>
      <c r="B190" s="2588" t="s">
        <v>302</v>
      </c>
      <c r="C190" s="2305" t="s">
        <v>173</v>
      </c>
      <c r="D190" s="2306"/>
      <c r="E190" s="2307"/>
      <c r="F190" s="2307"/>
      <c r="G190" s="2307"/>
      <c r="H190" s="2338"/>
      <c r="I190" s="2309"/>
      <c r="J190" s="2310"/>
      <c r="K190" s="2311"/>
      <c r="L190" s="2310"/>
      <c r="M190" s="2307"/>
      <c r="N190" s="3624" t="s">
        <v>186</v>
      </c>
    </row>
    <row r="191" spans="1:14" ht="12.95" customHeight="1" thickBot="1" x14ac:dyDescent="0.25">
      <c r="A191" s="3638"/>
      <c r="B191" s="566" t="s">
        <v>2</v>
      </c>
      <c r="C191" s="2313"/>
      <c r="D191" s="415">
        <f t="shared" ref="D191:E191" si="121">+D192+D195</f>
        <v>37846555.700000003</v>
      </c>
      <c r="E191" s="416">
        <f t="shared" si="121"/>
        <v>16155174.699999999</v>
      </c>
      <c r="F191" s="2297">
        <f>+F192+F195</f>
        <v>5117153</v>
      </c>
      <c r="G191" s="416">
        <f t="shared" ref="G191:H191" si="122">+G192+G195</f>
        <v>6902441</v>
      </c>
      <c r="H191" s="453">
        <f t="shared" si="122"/>
        <v>9671787</v>
      </c>
      <c r="I191" s="415">
        <f t="shared" ref="I191" si="123">+I192+I195</f>
        <v>27727183.270000003</v>
      </c>
      <c r="J191" s="29">
        <f t="shared" ref="J191:J204" si="124">I191/D191*100</f>
        <v>73.262104720403926</v>
      </c>
      <c r="K191" s="416">
        <f>+K192+K195</f>
        <v>6454855.5700000003</v>
      </c>
      <c r="L191" s="29">
        <f>K191/G191*100</f>
        <v>93.515548629825304</v>
      </c>
      <c r="M191" s="416">
        <f t="shared" si="114"/>
        <v>-447585.4299999997</v>
      </c>
      <c r="N191" s="3655"/>
    </row>
    <row r="192" spans="1:14" ht="12.95" customHeight="1" x14ac:dyDescent="0.2">
      <c r="A192" s="3637"/>
      <c r="B192" s="2339" t="s">
        <v>3</v>
      </c>
      <c r="C192" s="3193" t="s">
        <v>187</v>
      </c>
      <c r="D192" s="913">
        <f t="shared" ref="D192:E192" si="125">+D193+D194</f>
        <v>10356166.699999999</v>
      </c>
      <c r="E192" s="560">
        <f t="shared" si="125"/>
        <v>4250867.7</v>
      </c>
      <c r="F192" s="916">
        <f>SUM(F193:F194)</f>
        <v>1339071</v>
      </c>
      <c r="G192" s="560">
        <f t="shared" ref="G192:H192" si="126">+G193+G194</f>
        <v>1890781</v>
      </c>
      <c r="H192" s="915">
        <f t="shared" si="126"/>
        <v>2875447</v>
      </c>
      <c r="I192" s="558">
        <f t="shared" ref="I192" si="127">+I193+I194</f>
        <v>7332930.0800000001</v>
      </c>
      <c r="J192" s="176">
        <f t="shared" si="124"/>
        <v>70.807377791630188</v>
      </c>
      <c r="K192" s="560">
        <f>SUM(K193:K194)</f>
        <v>1742991.3800000001</v>
      </c>
      <c r="L192" s="176">
        <f>K192/G192*100</f>
        <v>92.183673307485108</v>
      </c>
      <c r="M192" s="560">
        <f t="shared" si="114"/>
        <v>-147789.61999999988</v>
      </c>
      <c r="N192" s="3624"/>
    </row>
    <row r="193" spans="1:14" ht="12.95" customHeight="1" x14ac:dyDescent="0.2">
      <c r="A193" s="3654"/>
      <c r="B193" s="460" t="s">
        <v>4</v>
      </c>
      <c r="C193" s="3087"/>
      <c r="D193" s="464">
        <f>+E193+F193+G193+H193</f>
        <v>2749815</v>
      </c>
      <c r="E193" s="463">
        <v>1831572</v>
      </c>
      <c r="F193" s="2387">
        <v>88015</v>
      </c>
      <c r="G193" s="463">
        <v>220228</v>
      </c>
      <c r="H193" s="467">
        <v>610000</v>
      </c>
      <c r="I193" s="464">
        <f>F193+K193+E193</f>
        <v>2091954.57</v>
      </c>
      <c r="J193" s="465">
        <f t="shared" si="124"/>
        <v>76.076193125719371</v>
      </c>
      <c r="K193" s="463">
        <v>172367.57</v>
      </c>
      <c r="L193" s="465">
        <f>K193/G193*100</f>
        <v>78.267781571825566</v>
      </c>
      <c r="M193" s="463">
        <f t="shared" si="114"/>
        <v>-47860.429999999993</v>
      </c>
      <c r="N193" s="3625"/>
    </row>
    <row r="194" spans="1:14" ht="12.95" customHeight="1" x14ac:dyDescent="0.2">
      <c r="A194" s="3654"/>
      <c r="B194" s="460" t="s">
        <v>8</v>
      </c>
      <c r="C194" s="3087"/>
      <c r="D194" s="464">
        <f>+E194+F194+G194+H194</f>
        <v>7606351.7000000002</v>
      </c>
      <c r="E194" s="463">
        <f>610857+809032+999407-0.3</f>
        <v>2419295.7000000002</v>
      </c>
      <c r="F194" s="2387">
        <v>1251056</v>
      </c>
      <c r="G194" s="463">
        <v>1670553</v>
      </c>
      <c r="H194" s="467">
        <v>2265447</v>
      </c>
      <c r="I194" s="464">
        <f>F194+K194+E194</f>
        <v>5240975.51</v>
      </c>
      <c r="J194" s="465">
        <f t="shared" si="124"/>
        <v>68.902618715355999</v>
      </c>
      <c r="K194" s="463">
        <v>1570623.81</v>
      </c>
      <c r="L194" s="465">
        <f>K194/G194*100</f>
        <v>94.018196968309297</v>
      </c>
      <c r="M194" s="463">
        <f t="shared" si="114"/>
        <v>-99929.189999999944</v>
      </c>
      <c r="N194" s="3625"/>
    </row>
    <row r="195" spans="1:14" ht="12.95" customHeight="1" x14ac:dyDescent="0.2">
      <c r="A195" s="3654"/>
      <c r="B195" s="2339" t="s">
        <v>12</v>
      </c>
      <c r="C195" s="3087"/>
      <c r="D195" s="913">
        <f t="shared" ref="D195:E195" si="128">+D197+D196</f>
        <v>27490389</v>
      </c>
      <c r="E195" s="560">
        <f t="shared" si="128"/>
        <v>11904307</v>
      </c>
      <c r="F195" s="916">
        <f>+F197+F196</f>
        <v>3778082</v>
      </c>
      <c r="G195" s="560">
        <f t="shared" ref="G195:H195" si="129">+G197+G196</f>
        <v>5011660</v>
      </c>
      <c r="H195" s="915">
        <f t="shared" si="129"/>
        <v>6796340</v>
      </c>
      <c r="I195" s="558">
        <f t="shared" ref="I195" si="130">+I197+I196</f>
        <v>20394253.190000001</v>
      </c>
      <c r="J195" s="176">
        <f t="shared" si="124"/>
        <v>74.186848319971034</v>
      </c>
      <c r="K195" s="559">
        <f>+K197</f>
        <v>4711864.1900000004</v>
      </c>
      <c r="L195" s="176">
        <f>K195/G195*100</f>
        <v>94.018033745305956</v>
      </c>
      <c r="M195" s="560">
        <f t="shared" si="114"/>
        <v>-299795.80999999959</v>
      </c>
      <c r="N195" s="3625"/>
    </row>
    <row r="196" spans="1:14" ht="12" customHeight="1" x14ac:dyDescent="0.2">
      <c r="A196" s="3654"/>
      <c r="B196" s="460" t="s">
        <v>4</v>
      </c>
      <c r="C196" s="3087"/>
      <c r="D196" s="464">
        <f>+E196+F196+G196+H196</f>
        <v>5065795</v>
      </c>
      <c r="E196" s="463">
        <v>5040925</v>
      </c>
      <c r="F196" s="2387">
        <v>24870</v>
      </c>
      <c r="G196" s="470">
        <v>0</v>
      </c>
      <c r="H196" s="483">
        <v>0</v>
      </c>
      <c r="I196" s="464">
        <f>F196+K196+E196</f>
        <v>5065795</v>
      </c>
      <c r="J196" s="465">
        <f t="shared" si="124"/>
        <v>100</v>
      </c>
      <c r="K196" s="482">
        <v>0</v>
      </c>
      <c r="L196" s="470">
        <v>0</v>
      </c>
      <c r="M196" s="463">
        <f t="shared" si="114"/>
        <v>0</v>
      </c>
      <c r="N196" s="3625"/>
    </row>
    <row r="197" spans="1:14" ht="12.95" customHeight="1" x14ac:dyDescent="0.2">
      <c r="A197" s="3654"/>
      <c r="B197" s="460" t="s">
        <v>8</v>
      </c>
      <c r="C197" s="3087"/>
      <c r="D197" s="464">
        <f>+E197+F197+G197+H197</f>
        <v>22424594</v>
      </c>
      <c r="E197" s="463">
        <f>1438107+2427053+2998222</f>
        <v>6863382</v>
      </c>
      <c r="F197" s="2387">
        <v>3753212</v>
      </c>
      <c r="G197" s="463">
        <v>5011660</v>
      </c>
      <c r="H197" s="467">
        <v>6796340</v>
      </c>
      <c r="I197" s="464">
        <f>F197+K197+E197</f>
        <v>15328458.190000001</v>
      </c>
      <c r="J197" s="465">
        <f t="shared" si="124"/>
        <v>68.355566169893649</v>
      </c>
      <c r="K197" s="462">
        <v>4711864.1900000004</v>
      </c>
      <c r="L197" s="465">
        <f>K197/G197*100</f>
        <v>94.018033745305956</v>
      </c>
      <c r="M197" s="463">
        <f t="shared" si="114"/>
        <v>-299795.80999999959</v>
      </c>
      <c r="N197" s="3625"/>
    </row>
    <row r="198" spans="1:14" ht="12" customHeight="1" x14ac:dyDescent="0.2">
      <c r="A198" s="3654"/>
      <c r="B198" s="566" t="s">
        <v>16</v>
      </c>
      <c r="C198" s="2313"/>
      <c r="D198" s="415">
        <f t="shared" ref="D198:E198" si="131">+D199+D202</f>
        <v>36703399.700000003</v>
      </c>
      <c r="E198" s="416">
        <f t="shared" si="131"/>
        <v>13623159.699999999</v>
      </c>
      <c r="F198" s="2297">
        <f>+F199+F202</f>
        <v>6831520</v>
      </c>
      <c r="G198" s="416">
        <f t="shared" ref="G198:H198" si="132">+G199+G202</f>
        <v>7186933</v>
      </c>
      <c r="H198" s="453">
        <f t="shared" si="132"/>
        <v>9061787</v>
      </c>
      <c r="I198" s="415">
        <f t="shared" ref="I198" si="133">+I199+I202</f>
        <v>27243360.690000001</v>
      </c>
      <c r="J198" s="29">
        <f t="shared" si="124"/>
        <v>74.225714546001569</v>
      </c>
      <c r="K198" s="416">
        <f>+K199+K202</f>
        <v>6788680.9900000002</v>
      </c>
      <c r="L198" s="29">
        <f>K198/G198*100</f>
        <v>94.458665330538082</v>
      </c>
      <c r="M198" s="416">
        <f t="shared" si="114"/>
        <v>-398252.00999999978</v>
      </c>
      <c r="N198" s="3625"/>
    </row>
    <row r="199" spans="1:14" ht="12.95" customHeight="1" x14ac:dyDescent="0.2">
      <c r="A199" s="3654"/>
      <c r="B199" s="2339" t="s">
        <v>3</v>
      </c>
      <c r="C199" s="3193" t="s">
        <v>187</v>
      </c>
      <c r="D199" s="913">
        <f t="shared" ref="D199:E199" si="134">+D200+D201</f>
        <v>9213010.6999999993</v>
      </c>
      <c r="E199" s="560">
        <f t="shared" si="134"/>
        <v>3442961.7</v>
      </c>
      <c r="F199" s="916">
        <f>+F200+F201</f>
        <v>1707869</v>
      </c>
      <c r="G199" s="560">
        <f t="shared" ref="G199:H199" si="135">+G200+G201</f>
        <v>1796733</v>
      </c>
      <c r="H199" s="915">
        <f t="shared" si="135"/>
        <v>2265447</v>
      </c>
      <c r="I199" s="558">
        <f t="shared" ref="I199" si="136">+I200+I201</f>
        <v>6848003.3200000003</v>
      </c>
      <c r="J199" s="176">
        <f t="shared" si="124"/>
        <v>74.329701147530429</v>
      </c>
      <c r="K199" s="560">
        <f>+K200+K201</f>
        <v>1697172.62</v>
      </c>
      <c r="L199" s="176">
        <f>K199/G199*100</f>
        <v>94.458810518869527</v>
      </c>
      <c r="M199" s="560">
        <f t="shared" si="114"/>
        <v>-99560.379999999888</v>
      </c>
      <c r="N199" s="3625"/>
    </row>
    <row r="200" spans="1:14" ht="12.95" customHeight="1" x14ac:dyDescent="0.2">
      <c r="A200" s="3654"/>
      <c r="B200" s="460" t="s">
        <v>8</v>
      </c>
      <c r="C200" s="3087"/>
      <c r="D200" s="464">
        <f>+E200+F200+G200+H200</f>
        <v>7606351.7000000002</v>
      </c>
      <c r="E200" s="463">
        <f>610857+809032+999407-0.3</f>
        <v>2419295.7000000002</v>
      </c>
      <c r="F200" s="2387">
        <v>1251056</v>
      </c>
      <c r="G200" s="463">
        <v>1670553</v>
      </c>
      <c r="H200" s="467">
        <v>2265447</v>
      </c>
      <c r="I200" s="464">
        <f>F200+K200+E200</f>
        <v>5240975.51</v>
      </c>
      <c r="J200" s="465">
        <f t="shared" si="124"/>
        <v>68.902618715355999</v>
      </c>
      <c r="K200" s="463">
        <v>1570623.81</v>
      </c>
      <c r="L200" s="465">
        <f>K200/G200*100</f>
        <v>94.018196968309297</v>
      </c>
      <c r="M200" s="463">
        <f t="shared" si="114"/>
        <v>-99929.189999999944</v>
      </c>
      <c r="N200" s="3625"/>
    </row>
    <row r="201" spans="1:14" ht="12.95" customHeight="1" x14ac:dyDescent="0.2">
      <c r="A201" s="3654"/>
      <c r="B201" s="460" t="s">
        <v>167</v>
      </c>
      <c r="C201" s="3087"/>
      <c r="D201" s="464">
        <f>+E201+F201+G201+H201</f>
        <v>1606659</v>
      </c>
      <c r="E201" s="463">
        <v>1023666</v>
      </c>
      <c r="F201" s="2387">
        <v>456813</v>
      </c>
      <c r="G201" s="463">
        <v>126180</v>
      </c>
      <c r="H201" s="483">
        <v>0</v>
      </c>
      <c r="I201" s="464">
        <f>F201+K201+E201</f>
        <v>1607027.81</v>
      </c>
      <c r="J201" s="465">
        <f t="shared" si="124"/>
        <v>100.02295508878984</v>
      </c>
      <c r="K201" s="463">
        <v>126548.81</v>
      </c>
      <c r="L201" s="470">
        <v>0</v>
      </c>
      <c r="M201" s="463">
        <f t="shared" si="114"/>
        <v>368.80999999999767</v>
      </c>
      <c r="N201" s="3625"/>
    </row>
    <row r="202" spans="1:14" ht="12.95" customHeight="1" x14ac:dyDescent="0.2">
      <c r="A202" s="3654"/>
      <c r="B202" s="2339" t="s">
        <v>12</v>
      </c>
      <c r="C202" s="3087"/>
      <c r="D202" s="913">
        <f t="shared" ref="D202:E202" si="137">+D203+D204</f>
        <v>27490389</v>
      </c>
      <c r="E202" s="560">
        <f t="shared" si="137"/>
        <v>10180198</v>
      </c>
      <c r="F202" s="916">
        <f>+F203+F204</f>
        <v>5123651</v>
      </c>
      <c r="G202" s="560">
        <f t="shared" ref="G202:H202" si="138">+G203+G204</f>
        <v>5390200</v>
      </c>
      <c r="H202" s="915">
        <f t="shared" si="138"/>
        <v>6796340</v>
      </c>
      <c r="I202" s="558">
        <f t="shared" ref="I202" si="139">+I203+I204</f>
        <v>20395357.370000001</v>
      </c>
      <c r="J202" s="176">
        <f t="shared" si="124"/>
        <v>74.190864923737536</v>
      </c>
      <c r="K202" s="560">
        <f>+K203+K204</f>
        <v>5091508.37</v>
      </c>
      <c r="L202" s="176">
        <f>K202/G202*100</f>
        <v>94.458616934436563</v>
      </c>
      <c r="M202" s="560">
        <f t="shared" si="114"/>
        <v>-298691.62999999989</v>
      </c>
      <c r="N202" s="3625"/>
    </row>
    <row r="203" spans="1:14" ht="12.95" customHeight="1" thickBot="1" x14ac:dyDescent="0.25">
      <c r="A203" s="3638"/>
      <c r="B203" s="460" t="s">
        <v>8</v>
      </c>
      <c r="C203" s="3087"/>
      <c r="D203" s="464">
        <f>+E203+F203+G203+H203</f>
        <v>22424594</v>
      </c>
      <c r="E203" s="463">
        <f>1438107+2427053+2998222</f>
        <v>6863382</v>
      </c>
      <c r="F203" s="2387">
        <v>3753212</v>
      </c>
      <c r="G203" s="463">
        <v>5011660</v>
      </c>
      <c r="H203" s="467">
        <v>6796340</v>
      </c>
      <c r="I203" s="464">
        <f>F203+K203+E203</f>
        <v>15328458.190000001</v>
      </c>
      <c r="J203" s="465">
        <f t="shared" si="124"/>
        <v>68.355566169893649</v>
      </c>
      <c r="K203" s="463">
        <v>4711864.1900000004</v>
      </c>
      <c r="L203" s="465">
        <f>K203/G203*100</f>
        <v>94.018033745305956</v>
      </c>
      <c r="M203" s="463">
        <f t="shared" ref="M203:M228" si="140">+K203-G203</f>
        <v>-299795.80999999959</v>
      </c>
      <c r="N203" s="3655"/>
    </row>
    <row r="204" spans="1:14" ht="12.95" customHeight="1" thickBot="1" x14ac:dyDescent="0.25">
      <c r="A204" s="3638"/>
      <c r="B204" s="664" t="s">
        <v>13</v>
      </c>
      <c r="C204" s="3169"/>
      <c r="D204" s="2589">
        <f>+E204+F204+G204+H204</f>
        <v>5065795</v>
      </c>
      <c r="E204" s="627">
        <f>1352428+9176+1955212</f>
        <v>3316816</v>
      </c>
      <c r="F204" s="2590">
        <v>1370439</v>
      </c>
      <c r="G204" s="627">
        <v>378540</v>
      </c>
      <c r="H204" s="2591">
        <v>0</v>
      </c>
      <c r="I204" s="2589">
        <f>F204+K204+E204</f>
        <v>5066899.18</v>
      </c>
      <c r="J204" s="630">
        <f t="shared" si="124"/>
        <v>100.02179677622169</v>
      </c>
      <c r="K204" s="627">
        <v>379644.18</v>
      </c>
      <c r="L204" s="665">
        <v>0</v>
      </c>
      <c r="M204" s="627">
        <f t="shared" si="140"/>
        <v>1104.179999999993</v>
      </c>
      <c r="N204" s="3655"/>
    </row>
    <row r="205" spans="1:14" ht="29.25" customHeight="1" x14ac:dyDescent="0.2">
      <c r="A205" s="3622" t="s">
        <v>48</v>
      </c>
      <c r="B205" s="2336" t="s">
        <v>303</v>
      </c>
      <c r="C205" s="2305" t="s">
        <v>168</v>
      </c>
      <c r="D205" s="2306"/>
      <c r="E205" s="2307"/>
      <c r="F205" s="2307"/>
      <c r="G205" s="2307"/>
      <c r="H205" s="2338"/>
      <c r="I205" s="2309"/>
      <c r="J205" s="2310"/>
      <c r="K205" s="2311"/>
      <c r="L205" s="2310"/>
      <c r="M205" s="2307"/>
      <c r="N205" s="3624" t="s">
        <v>186</v>
      </c>
    </row>
    <row r="206" spans="1:14" ht="12" customHeight="1" x14ac:dyDescent="0.2">
      <c r="A206" s="3623"/>
      <c r="B206" s="566" t="s">
        <v>2</v>
      </c>
      <c r="C206" s="2313"/>
      <c r="D206" s="415">
        <f t="shared" ref="D206:H206" si="141">+D207+D210</f>
        <v>88166</v>
      </c>
      <c r="E206" s="416">
        <f t="shared" si="141"/>
        <v>78966</v>
      </c>
      <c r="F206" s="593">
        <f t="shared" si="141"/>
        <v>0</v>
      </c>
      <c r="G206" s="416">
        <f t="shared" si="141"/>
        <v>9200</v>
      </c>
      <c r="H206" s="453">
        <f t="shared" si="141"/>
        <v>0</v>
      </c>
      <c r="I206" s="415">
        <f t="shared" ref="I206" si="142">+I207+I210</f>
        <v>78966</v>
      </c>
      <c r="J206" s="29">
        <f>I206/D206*100</f>
        <v>89.565138488759843</v>
      </c>
      <c r="K206" s="416">
        <f>+K207+K210</f>
        <v>0</v>
      </c>
      <c r="L206" s="29">
        <f>K206/G206*100</f>
        <v>0</v>
      </c>
      <c r="M206" s="416">
        <f t="shared" si="140"/>
        <v>-9200</v>
      </c>
      <c r="N206" s="3625"/>
    </row>
    <row r="207" spans="1:14" ht="12.75" x14ac:dyDescent="0.2">
      <c r="A207" s="3623"/>
      <c r="B207" s="2339" t="s">
        <v>3</v>
      </c>
      <c r="C207" s="3193" t="s">
        <v>187</v>
      </c>
      <c r="D207" s="558">
        <f t="shared" ref="D207:H207" si="143">+D208+D209</f>
        <v>39621</v>
      </c>
      <c r="E207" s="559">
        <f t="shared" si="143"/>
        <v>30421</v>
      </c>
      <c r="F207" s="585">
        <f t="shared" si="143"/>
        <v>0</v>
      </c>
      <c r="G207" s="559">
        <f t="shared" si="143"/>
        <v>9200</v>
      </c>
      <c r="H207" s="604">
        <f t="shared" si="143"/>
        <v>0</v>
      </c>
      <c r="I207" s="558">
        <f t="shared" ref="I207" si="144">+I208+I209</f>
        <v>30421</v>
      </c>
      <c r="J207" s="176">
        <f>I207/D207*100</f>
        <v>76.779990409126469</v>
      </c>
      <c r="K207" s="559">
        <f>SUM(K208:K209)</f>
        <v>0</v>
      </c>
      <c r="L207" s="176">
        <f>K207/G207*100</f>
        <v>0</v>
      </c>
      <c r="M207" s="559">
        <f t="shared" si="140"/>
        <v>-9200</v>
      </c>
      <c r="N207" s="3625"/>
    </row>
    <row r="208" spans="1:14" ht="11.25" customHeight="1" x14ac:dyDescent="0.2">
      <c r="A208" s="3623"/>
      <c r="B208" s="460" t="s">
        <v>4</v>
      </c>
      <c r="C208" s="3087"/>
      <c r="D208" s="464">
        <f>+E208+F208+G208+H208</f>
        <v>23440</v>
      </c>
      <c r="E208" s="463">
        <v>14240</v>
      </c>
      <c r="F208" s="470">
        <v>0</v>
      </c>
      <c r="G208" s="463">
        <v>9200</v>
      </c>
      <c r="H208" s="467">
        <v>0</v>
      </c>
      <c r="I208" s="464">
        <f>F208+K208+E208</f>
        <v>14240</v>
      </c>
      <c r="J208" s="465">
        <f>I208/D208*100</f>
        <v>60.750853242320822</v>
      </c>
      <c r="K208" s="463">
        <v>0</v>
      </c>
      <c r="L208" s="465">
        <f>K208/G208*100</f>
        <v>0</v>
      </c>
      <c r="M208" s="463">
        <f t="shared" si="140"/>
        <v>-9200</v>
      </c>
      <c r="N208" s="3625"/>
    </row>
    <row r="209" spans="1:14" ht="11.25" customHeight="1" x14ac:dyDescent="0.2">
      <c r="A209" s="3623"/>
      <c r="B209" s="460" t="s">
        <v>8</v>
      </c>
      <c r="C209" s="3087"/>
      <c r="D209" s="464">
        <f>+E209+F209+G209+H209</f>
        <v>16181</v>
      </c>
      <c r="E209" s="463">
        <v>16181</v>
      </c>
      <c r="F209" s="470">
        <v>0</v>
      </c>
      <c r="G209" s="470">
        <v>0</v>
      </c>
      <c r="H209" s="483">
        <v>0</v>
      </c>
      <c r="I209" s="464">
        <f>F209+K209+E209</f>
        <v>16181</v>
      </c>
      <c r="J209" s="465">
        <f>I209/D209*100</f>
        <v>100</v>
      </c>
      <c r="K209" s="470">
        <v>0</v>
      </c>
      <c r="L209" s="470">
        <v>0</v>
      </c>
      <c r="M209" s="470">
        <f t="shared" si="140"/>
        <v>0</v>
      </c>
      <c r="N209" s="3625"/>
    </row>
    <row r="210" spans="1:14" ht="12.75" x14ac:dyDescent="0.2">
      <c r="A210" s="3623"/>
      <c r="B210" s="2339" t="s">
        <v>12</v>
      </c>
      <c r="C210" s="3087"/>
      <c r="D210" s="558">
        <f t="shared" ref="D210:H210" si="145">+D212+D211</f>
        <v>48545</v>
      </c>
      <c r="E210" s="559">
        <f t="shared" si="145"/>
        <v>48545</v>
      </c>
      <c r="F210" s="585">
        <f t="shared" si="145"/>
        <v>0</v>
      </c>
      <c r="G210" s="585">
        <f t="shared" si="145"/>
        <v>0</v>
      </c>
      <c r="H210" s="685">
        <f t="shared" si="145"/>
        <v>0</v>
      </c>
      <c r="I210" s="558">
        <f t="shared" ref="I210" si="146">+I212+I211</f>
        <v>48545</v>
      </c>
      <c r="J210" s="176">
        <f>I210/D210*100</f>
        <v>100</v>
      </c>
      <c r="K210" s="585">
        <f>+K212</f>
        <v>0</v>
      </c>
      <c r="L210" s="607">
        <v>0</v>
      </c>
      <c r="M210" s="585">
        <f t="shared" si="140"/>
        <v>0</v>
      </c>
      <c r="N210" s="3625"/>
    </row>
    <row r="211" spans="1:14" ht="8.25" hidden="1" customHeight="1" x14ac:dyDescent="0.2">
      <c r="A211" s="3623"/>
      <c r="B211" s="460" t="s">
        <v>4</v>
      </c>
      <c r="C211" s="3087"/>
      <c r="D211" s="2389">
        <f>+E211+F211+G211+H211</f>
        <v>0</v>
      </c>
      <c r="E211" s="2341"/>
      <c r="F211" s="2343">
        <v>0</v>
      </c>
      <c r="G211" s="2343">
        <v>0</v>
      </c>
      <c r="H211" s="2343">
        <v>0</v>
      </c>
      <c r="I211" s="2344"/>
      <c r="J211" s="176"/>
      <c r="K211" s="1421">
        <v>0</v>
      </c>
      <c r="L211" s="607"/>
      <c r="M211" s="2368">
        <f t="shared" si="140"/>
        <v>0</v>
      </c>
      <c r="N211" s="3625"/>
    </row>
    <row r="212" spans="1:14" ht="12" customHeight="1" x14ac:dyDescent="0.2">
      <c r="A212" s="3623"/>
      <c r="B212" s="460" t="s">
        <v>8</v>
      </c>
      <c r="C212" s="3087"/>
      <c r="D212" s="464">
        <f>+E212+F212+G212+H212</f>
        <v>48545</v>
      </c>
      <c r="E212" s="463">
        <v>48545</v>
      </c>
      <c r="F212" s="470">
        <v>0</v>
      </c>
      <c r="G212" s="470">
        <v>0</v>
      </c>
      <c r="H212" s="483">
        <v>0</v>
      </c>
      <c r="I212" s="464">
        <f>F212+K212+E212</f>
        <v>48545</v>
      </c>
      <c r="J212" s="465">
        <f>I212/D212*100</f>
        <v>100</v>
      </c>
      <c r="K212" s="470">
        <v>0</v>
      </c>
      <c r="L212" s="470">
        <v>0</v>
      </c>
      <c r="M212" s="470">
        <f t="shared" si="140"/>
        <v>0</v>
      </c>
      <c r="N212" s="3625"/>
    </row>
    <row r="213" spans="1:14" ht="11.25" customHeight="1" x14ac:dyDescent="0.2">
      <c r="A213" s="3623"/>
      <c r="B213" s="566" t="s">
        <v>16</v>
      </c>
      <c r="C213" s="2313"/>
      <c r="D213" s="415">
        <f t="shared" ref="D213:H213" si="147">+D214+D217</f>
        <v>64726</v>
      </c>
      <c r="E213" s="416">
        <f t="shared" si="147"/>
        <v>64726</v>
      </c>
      <c r="F213" s="593">
        <f t="shared" si="147"/>
        <v>0</v>
      </c>
      <c r="G213" s="593">
        <f t="shared" si="147"/>
        <v>0</v>
      </c>
      <c r="H213" s="532">
        <f t="shared" si="147"/>
        <v>0</v>
      </c>
      <c r="I213" s="415">
        <f t="shared" ref="I213" si="148">+I214+I217</f>
        <v>64726</v>
      </c>
      <c r="J213" s="29">
        <f>I213/D213*100</f>
        <v>100</v>
      </c>
      <c r="K213" s="593">
        <f>+K214+K217</f>
        <v>0</v>
      </c>
      <c r="L213" s="593">
        <v>0</v>
      </c>
      <c r="M213" s="593">
        <f t="shared" si="140"/>
        <v>0</v>
      </c>
      <c r="N213" s="3625"/>
    </row>
    <row r="214" spans="1:14" ht="12" customHeight="1" x14ac:dyDescent="0.2">
      <c r="A214" s="3623"/>
      <c r="B214" s="2339" t="s">
        <v>3</v>
      </c>
      <c r="C214" s="3193" t="s">
        <v>187</v>
      </c>
      <c r="D214" s="558">
        <f t="shared" ref="D214:H214" si="149">+D215+D216</f>
        <v>16181</v>
      </c>
      <c r="E214" s="559">
        <f t="shared" si="149"/>
        <v>16181</v>
      </c>
      <c r="F214" s="585">
        <f t="shared" si="149"/>
        <v>0</v>
      </c>
      <c r="G214" s="585">
        <f t="shared" si="149"/>
        <v>0</v>
      </c>
      <c r="H214" s="685">
        <f t="shared" si="149"/>
        <v>0</v>
      </c>
      <c r="I214" s="558">
        <f t="shared" ref="I214" si="150">+I215+I216</f>
        <v>16181</v>
      </c>
      <c r="J214" s="176">
        <f>I214/D214*100</f>
        <v>100</v>
      </c>
      <c r="K214" s="585">
        <f>+K215+K216</f>
        <v>0</v>
      </c>
      <c r="L214" s="607">
        <v>0</v>
      </c>
      <c r="M214" s="585">
        <f t="shared" si="140"/>
        <v>0</v>
      </c>
      <c r="N214" s="3625"/>
    </row>
    <row r="215" spans="1:14" ht="12" customHeight="1" x14ac:dyDescent="0.2">
      <c r="A215" s="3623"/>
      <c r="B215" s="460" t="s">
        <v>8</v>
      </c>
      <c r="C215" s="3087"/>
      <c r="D215" s="464">
        <f>+E215+F215+G215+H215</f>
        <v>16181</v>
      </c>
      <c r="E215" s="463">
        <v>16181</v>
      </c>
      <c r="F215" s="470">
        <v>0</v>
      </c>
      <c r="G215" s="470">
        <v>0</v>
      </c>
      <c r="H215" s="483">
        <v>0</v>
      </c>
      <c r="I215" s="464">
        <f>F215+K215+E215</f>
        <v>16181</v>
      </c>
      <c r="J215" s="465">
        <f>I215/D215*100</f>
        <v>100</v>
      </c>
      <c r="K215" s="470">
        <v>0</v>
      </c>
      <c r="L215" s="470">
        <v>0</v>
      </c>
      <c r="M215" s="470">
        <f t="shared" si="140"/>
        <v>0</v>
      </c>
      <c r="N215" s="3626"/>
    </row>
    <row r="216" spans="1:14" ht="12" hidden="1" customHeight="1" x14ac:dyDescent="0.2">
      <c r="A216" s="3622"/>
      <c r="B216" s="460" t="s">
        <v>167</v>
      </c>
      <c r="C216" s="3087"/>
      <c r="D216" s="2389">
        <f>+E216+F216+G216+H216</f>
        <v>0</v>
      </c>
      <c r="E216" s="2341"/>
      <c r="F216" s="2343"/>
      <c r="G216" s="2343"/>
      <c r="H216" s="1433">
        <v>0</v>
      </c>
      <c r="I216" s="2344"/>
      <c r="J216" s="2345"/>
      <c r="K216" s="2343"/>
      <c r="L216" s="1421" t="e">
        <f t="shared" ref="L216" si="151">K216/G216*100</f>
        <v>#DIV/0!</v>
      </c>
      <c r="M216" s="1421">
        <f t="shared" si="140"/>
        <v>0</v>
      </c>
      <c r="N216" s="3624"/>
    </row>
    <row r="217" spans="1:14" ht="12" customHeight="1" x14ac:dyDescent="0.2">
      <c r="A217" s="3623"/>
      <c r="B217" s="2339" t="s">
        <v>12</v>
      </c>
      <c r="C217" s="3087"/>
      <c r="D217" s="558">
        <f t="shared" ref="D217:H217" si="152">+D218+D219</f>
        <v>48545</v>
      </c>
      <c r="E217" s="559">
        <f t="shared" si="152"/>
        <v>48545</v>
      </c>
      <c r="F217" s="585">
        <f t="shared" si="152"/>
        <v>0</v>
      </c>
      <c r="G217" s="585">
        <f t="shared" si="152"/>
        <v>0</v>
      </c>
      <c r="H217" s="685">
        <f t="shared" si="152"/>
        <v>0</v>
      </c>
      <c r="I217" s="558">
        <f t="shared" ref="I217" si="153">+I218+I219</f>
        <v>48545</v>
      </c>
      <c r="J217" s="176">
        <f>I217/D217*100</f>
        <v>100</v>
      </c>
      <c r="K217" s="585">
        <f>+K218+K219</f>
        <v>0</v>
      </c>
      <c r="L217" s="607">
        <v>0</v>
      </c>
      <c r="M217" s="585">
        <f t="shared" si="140"/>
        <v>0</v>
      </c>
      <c r="N217" s="3625"/>
    </row>
    <row r="218" spans="1:14" ht="13.5" thickBot="1" x14ac:dyDescent="0.25">
      <c r="A218" s="3623"/>
      <c r="B218" s="460" t="s">
        <v>8</v>
      </c>
      <c r="C218" s="3087"/>
      <c r="D218" s="464">
        <f>+E218+F218+G218+H218</f>
        <v>48545</v>
      </c>
      <c r="E218" s="463">
        <v>48545</v>
      </c>
      <c r="F218" s="470">
        <v>0</v>
      </c>
      <c r="G218" s="470">
        <v>0</v>
      </c>
      <c r="H218" s="483">
        <v>0</v>
      </c>
      <c r="I218" s="464">
        <f>F218+K218+E218</f>
        <v>48545</v>
      </c>
      <c r="J218" s="465">
        <f>I218/D218*100</f>
        <v>100</v>
      </c>
      <c r="K218" s="470">
        <v>0</v>
      </c>
      <c r="L218" s="470">
        <v>0</v>
      </c>
      <c r="M218" s="470">
        <f t="shared" si="140"/>
        <v>0</v>
      </c>
      <c r="N218" s="3625"/>
    </row>
    <row r="219" spans="1:14" ht="9" hidden="1" customHeight="1" thickBot="1" x14ac:dyDescent="0.25">
      <c r="A219" s="3623"/>
      <c r="B219" s="664" t="s">
        <v>13</v>
      </c>
      <c r="C219" s="3169"/>
      <c r="D219" s="2592">
        <f>+E219+F219+G219+H219</f>
        <v>0</v>
      </c>
      <c r="E219" s="2593"/>
      <c r="F219" s="2593"/>
      <c r="G219" s="2593"/>
      <c r="H219" s="2594">
        <v>0</v>
      </c>
      <c r="I219" s="2595"/>
      <c r="J219" s="2596"/>
      <c r="K219" s="2593"/>
      <c r="L219" s="2597"/>
      <c r="M219" s="2593">
        <f t="shared" si="140"/>
        <v>0</v>
      </c>
      <c r="N219" s="3626"/>
    </row>
    <row r="220" spans="1:14" ht="41.25" customHeight="1" x14ac:dyDescent="0.2">
      <c r="A220" s="3627" t="s">
        <v>50</v>
      </c>
      <c r="B220" s="2304" t="s">
        <v>188</v>
      </c>
      <c r="C220" s="2598" t="s">
        <v>173</v>
      </c>
      <c r="D220" s="2306"/>
      <c r="E220" s="2307"/>
      <c r="F220" s="2307"/>
      <c r="G220" s="2307"/>
      <c r="H220" s="2338"/>
      <c r="I220" s="2309"/>
      <c r="J220" s="2310"/>
      <c r="K220" s="2311"/>
      <c r="L220" s="2310"/>
      <c r="M220" s="2307"/>
      <c r="N220" s="3631" t="s">
        <v>177</v>
      </c>
    </row>
    <row r="221" spans="1:14" ht="11.25" customHeight="1" x14ac:dyDescent="0.2">
      <c r="A221" s="3628"/>
      <c r="B221" s="1157" t="s">
        <v>2</v>
      </c>
      <c r="C221" s="2313"/>
      <c r="D221" s="415">
        <f t="shared" ref="D221:H221" si="154">D222+D224</f>
        <v>17418</v>
      </c>
      <c r="E221" s="416">
        <f t="shared" si="154"/>
        <v>10943</v>
      </c>
      <c r="F221" s="416">
        <f t="shared" si="154"/>
        <v>2852</v>
      </c>
      <c r="G221" s="416">
        <f t="shared" si="154"/>
        <v>3623</v>
      </c>
      <c r="H221" s="532">
        <f t="shared" si="154"/>
        <v>0</v>
      </c>
      <c r="I221" s="415">
        <f t="shared" ref="I221" si="155">I222+I224</f>
        <v>16080.43</v>
      </c>
      <c r="J221" s="29">
        <f t="shared" ref="J221:J228" si="156">I221/D221*100</f>
        <v>92.320760133195549</v>
      </c>
      <c r="K221" s="416">
        <f>K222+K224</f>
        <v>2285.4299999999998</v>
      </c>
      <c r="L221" s="29">
        <f t="shared" ref="L221:L228" si="157">K221/G221*100</f>
        <v>63.081148219707416</v>
      </c>
      <c r="M221" s="416">
        <f t="shared" si="140"/>
        <v>-1337.5700000000002</v>
      </c>
      <c r="N221" s="3632"/>
    </row>
    <row r="222" spans="1:14" ht="12.95" customHeight="1" x14ac:dyDescent="0.2">
      <c r="A222" s="3628"/>
      <c r="B222" s="1147" t="s">
        <v>3</v>
      </c>
      <c r="C222" s="3634" t="s">
        <v>189</v>
      </c>
      <c r="D222" s="913">
        <f t="shared" ref="D222:K222" si="158">D223</f>
        <v>2612</v>
      </c>
      <c r="E222" s="560">
        <f t="shared" si="158"/>
        <v>1641</v>
      </c>
      <c r="F222" s="560">
        <f t="shared" si="158"/>
        <v>428</v>
      </c>
      <c r="G222" s="560">
        <f t="shared" si="158"/>
        <v>543</v>
      </c>
      <c r="H222" s="2599">
        <f t="shared" si="158"/>
        <v>0</v>
      </c>
      <c r="I222" s="913">
        <f t="shared" si="158"/>
        <v>2411.84</v>
      </c>
      <c r="J222" s="1015">
        <f t="shared" si="156"/>
        <v>92.336906584992349</v>
      </c>
      <c r="K222" s="560">
        <f t="shared" si="158"/>
        <v>342.84</v>
      </c>
      <c r="L222" s="1015">
        <f t="shared" si="157"/>
        <v>63.138121546961322</v>
      </c>
      <c r="M222" s="560">
        <f t="shared" si="140"/>
        <v>-200.16000000000003</v>
      </c>
      <c r="N222" s="3632"/>
    </row>
    <row r="223" spans="1:14" ht="12.95" customHeight="1" x14ac:dyDescent="0.2">
      <c r="A223" s="3628"/>
      <c r="B223" s="493" t="s">
        <v>4</v>
      </c>
      <c r="C223" s="3635"/>
      <c r="D223" s="464">
        <f>+E223+F223+G223+H223</f>
        <v>2612</v>
      </c>
      <c r="E223" s="463">
        <v>1641</v>
      </c>
      <c r="F223" s="463">
        <v>428</v>
      </c>
      <c r="G223" s="463">
        <v>543</v>
      </c>
      <c r="H223" s="483">
        <v>0</v>
      </c>
      <c r="I223" s="464">
        <f>F223+K223+E223</f>
        <v>2411.84</v>
      </c>
      <c r="J223" s="465">
        <f t="shared" si="156"/>
        <v>92.336906584992349</v>
      </c>
      <c r="K223" s="463">
        <v>342.84</v>
      </c>
      <c r="L223" s="465">
        <f t="shared" si="157"/>
        <v>63.138121546961322</v>
      </c>
      <c r="M223" s="463">
        <f t="shared" si="140"/>
        <v>-200.16000000000003</v>
      </c>
      <c r="N223" s="3632"/>
    </row>
    <row r="224" spans="1:14" ht="12.95" customHeight="1" thickBot="1" x14ac:dyDescent="0.25">
      <c r="A224" s="3629"/>
      <c r="B224" s="2600" t="s">
        <v>12</v>
      </c>
      <c r="C224" s="3635"/>
      <c r="D224" s="913">
        <f t="shared" ref="D224:K224" si="159">D225</f>
        <v>14806</v>
      </c>
      <c r="E224" s="560">
        <f t="shared" si="159"/>
        <v>9302</v>
      </c>
      <c r="F224" s="560">
        <f t="shared" si="159"/>
        <v>2424</v>
      </c>
      <c r="G224" s="560">
        <f t="shared" si="159"/>
        <v>3080</v>
      </c>
      <c r="H224" s="2599">
        <f t="shared" si="159"/>
        <v>0</v>
      </c>
      <c r="I224" s="913">
        <f t="shared" si="159"/>
        <v>13668.59</v>
      </c>
      <c r="J224" s="1015">
        <f t="shared" si="156"/>
        <v>92.317911657436184</v>
      </c>
      <c r="K224" s="560">
        <f t="shared" si="159"/>
        <v>1942.59</v>
      </c>
      <c r="L224" s="1015">
        <f t="shared" si="157"/>
        <v>63.071103896103899</v>
      </c>
      <c r="M224" s="560">
        <f t="shared" si="140"/>
        <v>-1137.4100000000001</v>
      </c>
      <c r="N224" s="3633"/>
    </row>
    <row r="225" spans="1:61" ht="12.75" x14ac:dyDescent="0.2">
      <c r="A225" s="3630"/>
      <c r="B225" s="493" t="s">
        <v>14</v>
      </c>
      <c r="C225" s="3635"/>
      <c r="D225" s="464">
        <f>+E225+F225+G225+H225</f>
        <v>14806</v>
      </c>
      <c r="E225" s="463">
        <v>9302</v>
      </c>
      <c r="F225" s="463">
        <v>2424</v>
      </c>
      <c r="G225" s="463">
        <v>3080</v>
      </c>
      <c r="H225" s="483">
        <v>0</v>
      </c>
      <c r="I225" s="464">
        <f>F225+K225+E225</f>
        <v>13668.59</v>
      </c>
      <c r="J225" s="465">
        <f t="shared" si="156"/>
        <v>92.317911657436184</v>
      </c>
      <c r="K225" s="463">
        <f>970.17+972.42</f>
        <v>1942.59</v>
      </c>
      <c r="L225" s="465">
        <f t="shared" si="157"/>
        <v>63.071103896103899</v>
      </c>
      <c r="M225" s="463">
        <f t="shared" si="140"/>
        <v>-1137.4100000000001</v>
      </c>
      <c r="N225" s="3631"/>
    </row>
    <row r="226" spans="1:61" ht="12" customHeight="1" x14ac:dyDescent="0.2">
      <c r="A226" s="3628"/>
      <c r="B226" s="1157" t="s">
        <v>16</v>
      </c>
      <c r="C226" s="2313"/>
      <c r="D226" s="415">
        <f t="shared" ref="D226:K227" si="160">D227</f>
        <v>14806</v>
      </c>
      <c r="E226" s="416">
        <f t="shared" si="160"/>
        <v>0</v>
      </c>
      <c r="F226" s="416">
        <f t="shared" si="160"/>
        <v>9302</v>
      </c>
      <c r="G226" s="416">
        <f t="shared" si="160"/>
        <v>3329</v>
      </c>
      <c r="H226" s="453">
        <f t="shared" si="160"/>
        <v>2175</v>
      </c>
      <c r="I226" s="415">
        <f t="shared" si="160"/>
        <v>12547.47</v>
      </c>
      <c r="J226" s="29">
        <f t="shared" si="156"/>
        <v>84.745846278535723</v>
      </c>
      <c r="K226" s="416">
        <f t="shared" si="160"/>
        <v>3245.47</v>
      </c>
      <c r="L226" s="29">
        <f t="shared" si="157"/>
        <v>97.490838089516359</v>
      </c>
      <c r="M226" s="416">
        <f t="shared" si="140"/>
        <v>-83.5300000000002</v>
      </c>
      <c r="N226" s="3632"/>
    </row>
    <row r="227" spans="1:61" ht="11.25" customHeight="1" x14ac:dyDescent="0.2">
      <c r="A227" s="3628"/>
      <c r="B227" s="2600" t="s">
        <v>12</v>
      </c>
      <c r="C227" s="3634" t="s">
        <v>190</v>
      </c>
      <c r="D227" s="913">
        <f t="shared" si="160"/>
        <v>14806</v>
      </c>
      <c r="E227" s="560">
        <f t="shared" si="160"/>
        <v>0</v>
      </c>
      <c r="F227" s="560">
        <f t="shared" si="160"/>
        <v>9302</v>
      </c>
      <c r="G227" s="560">
        <f t="shared" si="160"/>
        <v>3329</v>
      </c>
      <c r="H227" s="915">
        <f t="shared" si="160"/>
        <v>2175</v>
      </c>
      <c r="I227" s="913">
        <f t="shared" si="160"/>
        <v>12547.47</v>
      </c>
      <c r="J227" s="1015">
        <f t="shared" si="156"/>
        <v>84.745846278535723</v>
      </c>
      <c r="K227" s="560">
        <f t="shared" si="160"/>
        <v>3245.47</v>
      </c>
      <c r="L227" s="1015">
        <f t="shared" si="157"/>
        <v>97.490838089516359</v>
      </c>
      <c r="M227" s="560">
        <f t="shared" si="140"/>
        <v>-83.5300000000002</v>
      </c>
      <c r="N227" s="3632"/>
    </row>
    <row r="228" spans="1:61" ht="12.95" customHeight="1" thickBot="1" x14ac:dyDescent="0.25">
      <c r="A228" s="3629"/>
      <c r="B228" s="2601" t="s">
        <v>14</v>
      </c>
      <c r="C228" s="3636"/>
      <c r="D228" s="504">
        <f>+E228+F228+G228+H228</f>
        <v>14806</v>
      </c>
      <c r="E228" s="502"/>
      <c r="F228" s="502">
        <v>9302</v>
      </c>
      <c r="G228" s="502">
        <v>3329</v>
      </c>
      <c r="H228" s="507">
        <v>2175</v>
      </c>
      <c r="I228" s="504">
        <f>F228+K228+E228</f>
        <v>12547.47</v>
      </c>
      <c r="J228" s="505">
        <f t="shared" si="156"/>
        <v>84.745846278535723</v>
      </c>
      <c r="K228" s="502">
        <v>3245.47</v>
      </c>
      <c r="L228" s="505">
        <f t="shared" si="157"/>
        <v>97.490838089516359</v>
      </c>
      <c r="M228" s="502">
        <f t="shared" si="140"/>
        <v>-83.5300000000002</v>
      </c>
      <c r="N228" s="3633"/>
    </row>
    <row r="229" spans="1:61" ht="32.25" customHeight="1" thickBot="1" x14ac:dyDescent="0.25">
      <c r="A229" s="3614" t="s">
        <v>191</v>
      </c>
      <c r="B229" s="3615"/>
      <c r="C229" s="3615"/>
      <c r="D229" s="3615"/>
      <c r="E229" s="3615"/>
      <c r="F229" s="3615"/>
      <c r="G229" s="3615"/>
      <c r="H229" s="3615"/>
      <c r="I229" s="3615"/>
      <c r="J229" s="3615"/>
      <c r="K229" s="3615"/>
      <c r="L229" s="3615"/>
      <c r="M229" s="3615"/>
      <c r="N229" s="3616"/>
    </row>
    <row r="230" spans="1:61" ht="18" customHeight="1" thickBot="1" x14ac:dyDescent="0.25">
      <c r="A230" s="2257"/>
      <c r="B230" s="267" t="s">
        <v>164</v>
      </c>
      <c r="C230" s="268"/>
      <c r="D230" s="50">
        <f t="shared" ref="D230:H230" si="161">D231+D232</f>
        <v>5344050</v>
      </c>
      <c r="E230" s="51">
        <f t="shared" si="161"/>
        <v>0</v>
      </c>
      <c r="F230" s="54">
        <f t="shared" si="161"/>
        <v>2466061</v>
      </c>
      <c r="G230" s="51">
        <f t="shared" si="161"/>
        <v>2166978</v>
      </c>
      <c r="H230" s="51">
        <f t="shared" si="161"/>
        <v>711011</v>
      </c>
      <c r="I230" s="52">
        <f t="shared" ref="I230" si="162">I231+I232</f>
        <v>4632811.28</v>
      </c>
      <c r="J230" s="2259">
        <f>I230/D230*100</f>
        <v>86.691016738241601</v>
      </c>
      <c r="K230" s="51">
        <f>K231+K232</f>
        <v>2166750.2800000003</v>
      </c>
      <c r="L230" s="2259">
        <f>K230/G230*100</f>
        <v>99.989491356165132</v>
      </c>
      <c r="M230" s="51">
        <f>+K230-G230</f>
        <v>-227.71999999973923</v>
      </c>
      <c r="N230" s="3644"/>
      <c r="O230" s="273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  <c r="AA230" s="273"/>
      <c r="AB230" s="273"/>
      <c r="AC230" s="273"/>
      <c r="AD230" s="273"/>
      <c r="AE230" s="273"/>
      <c r="AF230" s="273"/>
      <c r="AG230" s="273"/>
      <c r="AH230" s="273"/>
      <c r="AI230" s="273"/>
      <c r="AJ230" s="273"/>
      <c r="AK230" s="273"/>
      <c r="AL230" s="273"/>
      <c r="AM230" s="273"/>
      <c r="AN230" s="273"/>
      <c r="AO230" s="273"/>
      <c r="AP230" s="273"/>
      <c r="AQ230" s="273"/>
      <c r="AR230" s="273"/>
      <c r="AS230" s="273"/>
      <c r="AT230" s="273"/>
      <c r="AU230" s="273"/>
      <c r="AV230" s="273"/>
      <c r="AW230" s="273"/>
      <c r="AX230" s="273"/>
      <c r="AY230" s="273"/>
      <c r="AZ230" s="273"/>
      <c r="BA230" s="273"/>
      <c r="BB230" s="273"/>
      <c r="BC230" s="273"/>
      <c r="BD230" s="273"/>
      <c r="BE230" s="273"/>
      <c r="BF230" s="273"/>
      <c r="BG230" s="273"/>
      <c r="BH230" s="273"/>
      <c r="BI230" s="273"/>
    </row>
    <row r="231" spans="1:61" ht="14.25" customHeight="1" thickTop="1" x14ac:dyDescent="0.2">
      <c r="A231" s="2602"/>
      <c r="B231" s="2093" t="s">
        <v>165</v>
      </c>
      <c r="C231" s="2603"/>
      <c r="D231" s="2094">
        <v>0</v>
      </c>
      <c r="E231" s="2604">
        <v>0</v>
      </c>
      <c r="F231" s="2604">
        <v>0</v>
      </c>
      <c r="G231" s="2604">
        <v>0</v>
      </c>
      <c r="H231" s="2604">
        <v>0</v>
      </c>
      <c r="I231" s="1696">
        <v>0</v>
      </c>
      <c r="J231" s="2605">
        <v>0</v>
      </c>
      <c r="K231" s="2604">
        <v>0</v>
      </c>
      <c r="L231" s="2605">
        <v>0</v>
      </c>
      <c r="M231" s="1697">
        <f t="shared" ref="M231:M250" si="163">+K231-G231</f>
        <v>0</v>
      </c>
      <c r="N231" s="3645"/>
      <c r="O231" s="273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  <c r="AA231" s="273"/>
      <c r="AB231" s="273"/>
      <c r="AC231" s="273"/>
      <c r="AD231" s="273"/>
      <c r="AE231" s="273"/>
      <c r="AF231" s="273"/>
      <c r="AG231" s="273"/>
      <c r="AH231" s="273"/>
      <c r="AI231" s="273"/>
      <c r="AJ231" s="273"/>
      <c r="AK231" s="273"/>
      <c r="AL231" s="273"/>
      <c r="AM231" s="273"/>
      <c r="AN231" s="273"/>
      <c r="AO231" s="273"/>
      <c r="AP231" s="273"/>
      <c r="AQ231" s="273"/>
      <c r="AR231" s="273"/>
      <c r="AS231" s="273"/>
      <c r="AT231" s="273"/>
      <c r="AU231" s="273"/>
      <c r="AV231" s="273"/>
      <c r="AW231" s="273"/>
      <c r="AX231" s="273"/>
      <c r="AY231" s="273"/>
      <c r="AZ231" s="273"/>
      <c r="BA231" s="273"/>
      <c r="BB231" s="273"/>
      <c r="BC231" s="273"/>
      <c r="BD231" s="273"/>
      <c r="BE231" s="273"/>
      <c r="BF231" s="273"/>
      <c r="BG231" s="273"/>
      <c r="BH231" s="273"/>
      <c r="BI231" s="273"/>
    </row>
    <row r="232" spans="1:61" ht="14.25" customHeight="1" thickBot="1" x14ac:dyDescent="0.25">
      <c r="A232" s="2602"/>
      <c r="B232" s="2606" t="s">
        <v>166</v>
      </c>
      <c r="C232" s="2607"/>
      <c r="D232" s="289">
        <f t="shared" ref="D232:I232" si="164">D252+D243</f>
        <v>5344050</v>
      </c>
      <c r="E232" s="291">
        <f t="shared" si="164"/>
        <v>0</v>
      </c>
      <c r="F232" s="295">
        <f t="shared" si="164"/>
        <v>2466061</v>
      </c>
      <c r="G232" s="291">
        <f t="shared" si="164"/>
        <v>2166978</v>
      </c>
      <c r="H232" s="291">
        <f t="shared" si="164"/>
        <v>711011</v>
      </c>
      <c r="I232" s="293">
        <f t="shared" si="164"/>
        <v>4632811.28</v>
      </c>
      <c r="J232" s="294">
        <f t="shared" ref="J232:J241" si="165">I232/D232*100</f>
        <v>86.691016738241601</v>
      </c>
      <c r="K232" s="289">
        <f>K252+K243</f>
        <v>2166750.2800000003</v>
      </c>
      <c r="L232" s="294">
        <f t="shared" ref="L232:L241" si="166">K232/G232*100</f>
        <v>99.989491356165132</v>
      </c>
      <c r="M232" s="295">
        <f t="shared" si="163"/>
        <v>-227.71999999973923</v>
      </c>
      <c r="N232" s="3645"/>
      <c r="O232" s="273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  <c r="AA232" s="273"/>
      <c r="AB232" s="273"/>
      <c r="AC232" s="273"/>
      <c r="AD232" s="273"/>
      <c r="AE232" s="273"/>
      <c r="AF232" s="273"/>
      <c r="AG232" s="273"/>
      <c r="AH232" s="273"/>
      <c r="AI232" s="273"/>
      <c r="AJ232" s="273"/>
      <c r="AK232" s="273"/>
      <c r="AL232" s="273"/>
      <c r="AM232" s="273"/>
      <c r="AN232" s="273"/>
      <c r="AO232" s="273"/>
      <c r="AP232" s="273"/>
      <c r="AQ232" s="273"/>
      <c r="AR232" s="273"/>
      <c r="AS232" s="273"/>
      <c r="AT232" s="273"/>
      <c r="AU232" s="273"/>
      <c r="AV232" s="273"/>
      <c r="AW232" s="273"/>
      <c r="AX232" s="273"/>
      <c r="AY232" s="273"/>
      <c r="AZ232" s="273"/>
      <c r="BA232" s="273"/>
      <c r="BB232" s="273"/>
      <c r="BC232" s="273"/>
      <c r="BD232" s="273"/>
      <c r="BE232" s="273"/>
      <c r="BF232" s="273"/>
      <c r="BG232" s="273"/>
      <c r="BH232" s="273"/>
      <c r="BI232" s="273"/>
    </row>
    <row r="233" spans="1:61" s="2276" customFormat="1" ht="14.25" customHeight="1" x14ac:dyDescent="0.2">
      <c r="A233" s="3617"/>
      <c r="B233" s="297" t="s">
        <v>2</v>
      </c>
      <c r="C233" s="2271"/>
      <c r="D233" s="2608">
        <f t="shared" ref="D233:H233" si="167">+D234</f>
        <v>5344050</v>
      </c>
      <c r="E233" s="2609">
        <f t="shared" si="167"/>
        <v>0</v>
      </c>
      <c r="F233" s="2609">
        <f t="shared" si="167"/>
        <v>2466061</v>
      </c>
      <c r="G233" s="2609">
        <f t="shared" si="167"/>
        <v>2166978</v>
      </c>
      <c r="H233" s="2609">
        <f t="shared" si="167"/>
        <v>711011</v>
      </c>
      <c r="I233" s="2610">
        <f t="shared" ref="I233" si="168">+I234</f>
        <v>4632811.28</v>
      </c>
      <c r="J233" s="2611">
        <f t="shared" si="165"/>
        <v>86.691016738241601</v>
      </c>
      <c r="K233" s="2612">
        <f>+K234</f>
        <v>2166750.2799999998</v>
      </c>
      <c r="L233" s="2611">
        <f t="shared" si="166"/>
        <v>99.989491356165118</v>
      </c>
      <c r="M233" s="2612">
        <f t="shared" si="163"/>
        <v>-227.72000000020489</v>
      </c>
      <c r="N233" s="3645"/>
      <c r="O233" s="2275"/>
      <c r="P233" s="2275"/>
      <c r="Q233" s="2275"/>
      <c r="R233" s="2275"/>
      <c r="S233" s="2275"/>
      <c r="T233" s="2275"/>
      <c r="U233" s="2275"/>
      <c r="V233" s="2275"/>
      <c r="W233" s="2275"/>
      <c r="X233" s="2275"/>
      <c r="Y233" s="2275"/>
      <c r="Z233" s="2275"/>
      <c r="AA233" s="2275"/>
      <c r="AB233" s="2275"/>
      <c r="AC233" s="2275"/>
      <c r="AD233" s="2275"/>
      <c r="AE233" s="2275"/>
      <c r="AF233" s="2275"/>
      <c r="AG233" s="2275"/>
      <c r="AH233" s="2275"/>
      <c r="AI233" s="2275"/>
      <c r="AJ233" s="2275"/>
      <c r="AK233" s="2275"/>
      <c r="AL233" s="2275"/>
      <c r="AM233" s="2275"/>
      <c r="AN233" s="2275"/>
      <c r="AO233" s="2275"/>
      <c r="AP233" s="2275"/>
      <c r="AQ233" s="2275"/>
      <c r="AR233" s="2275"/>
      <c r="AS233" s="2275"/>
      <c r="AT233" s="2275"/>
      <c r="AU233" s="2275"/>
      <c r="AV233" s="2275"/>
      <c r="AW233" s="2275"/>
      <c r="AX233" s="2275"/>
      <c r="AY233" s="2275"/>
      <c r="AZ233" s="2275"/>
      <c r="BA233" s="2275"/>
      <c r="BB233" s="2275"/>
      <c r="BC233" s="2275"/>
      <c r="BD233" s="2275"/>
      <c r="BE233" s="2275"/>
      <c r="BF233" s="2275"/>
      <c r="BG233" s="2275"/>
      <c r="BH233" s="2275"/>
      <c r="BI233" s="2275"/>
    </row>
    <row r="234" spans="1:61" s="472" customFormat="1" ht="13.5" customHeight="1" x14ac:dyDescent="0.2">
      <c r="A234" s="3618"/>
      <c r="B234" s="306" t="s">
        <v>3</v>
      </c>
      <c r="C234" s="3620"/>
      <c r="D234" s="316">
        <f t="shared" ref="D234:H234" si="169">SUM(D235:D237)</f>
        <v>5344050</v>
      </c>
      <c r="E234" s="317">
        <f t="shared" si="169"/>
        <v>0</v>
      </c>
      <c r="F234" s="317">
        <f t="shared" si="169"/>
        <v>2466061</v>
      </c>
      <c r="G234" s="317">
        <f t="shared" si="169"/>
        <v>2166978</v>
      </c>
      <c r="H234" s="317">
        <f t="shared" si="169"/>
        <v>711011</v>
      </c>
      <c r="I234" s="354">
        <f t="shared" ref="I234" si="170">SUM(I235:I237)</f>
        <v>4632811.28</v>
      </c>
      <c r="J234" s="2613">
        <f t="shared" si="165"/>
        <v>86.691016738241601</v>
      </c>
      <c r="K234" s="356">
        <f>SUM(K235:K237)</f>
        <v>2166750.2799999998</v>
      </c>
      <c r="L234" s="2613">
        <f t="shared" si="166"/>
        <v>99.989491356165118</v>
      </c>
      <c r="M234" s="350">
        <f t="shared" si="163"/>
        <v>-227.72000000020489</v>
      </c>
      <c r="N234" s="3645"/>
    </row>
    <row r="235" spans="1:61" s="472" customFormat="1" ht="12" hidden="1" customHeight="1" x14ac:dyDescent="0.2">
      <c r="A235" s="3618"/>
      <c r="B235" s="315" t="s">
        <v>4</v>
      </c>
      <c r="C235" s="3221"/>
      <c r="D235" s="2390"/>
      <c r="E235" s="327"/>
      <c r="F235" s="327"/>
      <c r="G235" s="327"/>
      <c r="H235" s="327"/>
      <c r="I235" s="2614"/>
      <c r="J235" s="325" t="e">
        <f t="shared" si="165"/>
        <v>#DIV/0!</v>
      </c>
      <c r="K235" s="331"/>
      <c r="L235" s="325" t="e">
        <f t="shared" si="166"/>
        <v>#DIV/0!</v>
      </c>
      <c r="M235" s="329">
        <f t="shared" si="163"/>
        <v>0</v>
      </c>
      <c r="N235" s="3645"/>
    </row>
    <row r="236" spans="1:61" s="472" customFormat="1" ht="12.95" customHeight="1" outlineLevel="1" thickBot="1" x14ac:dyDescent="0.25">
      <c r="A236" s="3619"/>
      <c r="B236" s="315" t="s">
        <v>8</v>
      </c>
      <c r="C236" s="3221"/>
      <c r="D236" s="316">
        <f t="shared" ref="D236:H236" si="171">D246</f>
        <v>674361</v>
      </c>
      <c r="E236" s="317">
        <f t="shared" si="171"/>
        <v>0</v>
      </c>
      <c r="F236" s="317">
        <f t="shared" si="171"/>
        <v>461134</v>
      </c>
      <c r="G236" s="317">
        <f t="shared" si="171"/>
        <v>213227</v>
      </c>
      <c r="H236" s="317">
        <f t="shared" si="171"/>
        <v>0</v>
      </c>
      <c r="I236" s="348">
        <f t="shared" ref="I236" si="172">I246</f>
        <v>674360.88</v>
      </c>
      <c r="J236" s="322">
        <f t="shared" si="165"/>
        <v>99.999982205376654</v>
      </c>
      <c r="K236" s="317">
        <f t="shared" ref="K236" si="173">K246</f>
        <v>213226.88</v>
      </c>
      <c r="L236" s="322">
        <f t="shared" si="166"/>
        <v>99.99994372194891</v>
      </c>
      <c r="M236" s="350">
        <f t="shared" si="163"/>
        <v>-0.11999999999534339</v>
      </c>
      <c r="N236" s="3646"/>
    </row>
    <row r="237" spans="1:61" s="472" customFormat="1" ht="12.75" outlineLevel="1" x14ac:dyDescent="0.2">
      <c r="A237" s="3618"/>
      <c r="B237" s="315" t="s">
        <v>29</v>
      </c>
      <c r="C237" s="3221"/>
      <c r="D237" s="316">
        <f t="shared" ref="D237:I237" si="174">D254+D245</f>
        <v>4669689</v>
      </c>
      <c r="E237" s="317">
        <f t="shared" si="174"/>
        <v>0</v>
      </c>
      <c r="F237" s="317">
        <f t="shared" si="174"/>
        <v>2004927</v>
      </c>
      <c r="G237" s="317">
        <f t="shared" si="174"/>
        <v>1953751</v>
      </c>
      <c r="H237" s="317">
        <f t="shared" si="174"/>
        <v>711011</v>
      </c>
      <c r="I237" s="348">
        <f t="shared" si="174"/>
        <v>3958450.4000000004</v>
      </c>
      <c r="J237" s="320">
        <f t="shared" si="165"/>
        <v>84.769037081484441</v>
      </c>
      <c r="K237" s="317">
        <f>K254+K245</f>
        <v>1953523.4</v>
      </c>
      <c r="L237" s="320">
        <f t="shared" si="166"/>
        <v>99.988350613768077</v>
      </c>
      <c r="M237" s="350">
        <f t="shared" si="163"/>
        <v>-227.60000000009313</v>
      </c>
      <c r="N237" s="3645"/>
    </row>
    <row r="238" spans="1:61" s="472" customFormat="1" ht="14.25" customHeight="1" outlineLevel="1" x14ac:dyDescent="0.2">
      <c r="A238" s="3618"/>
      <c r="B238" s="334" t="s">
        <v>16</v>
      </c>
      <c r="C238" s="27"/>
      <c r="D238" s="451">
        <f>D239</f>
        <v>5344050</v>
      </c>
      <c r="E238" s="453">
        <f t="shared" ref="E238:H238" si="175">E239</f>
        <v>0</v>
      </c>
      <c r="F238" s="453">
        <f t="shared" si="175"/>
        <v>2466061</v>
      </c>
      <c r="G238" s="453">
        <f t="shared" si="175"/>
        <v>2166978</v>
      </c>
      <c r="H238" s="453">
        <f t="shared" si="175"/>
        <v>711011</v>
      </c>
      <c r="I238" s="415">
        <f t="shared" ref="I238:K238" si="176">I239</f>
        <v>4632811.28</v>
      </c>
      <c r="J238" s="29">
        <f t="shared" si="165"/>
        <v>86.691016738241601</v>
      </c>
      <c r="K238" s="416">
        <f t="shared" si="176"/>
        <v>2166750.2799999998</v>
      </c>
      <c r="L238" s="29">
        <f t="shared" si="166"/>
        <v>99.989491356165118</v>
      </c>
      <c r="M238" s="416">
        <f t="shared" si="163"/>
        <v>-227.72000000020489</v>
      </c>
      <c r="N238" s="3645"/>
    </row>
    <row r="239" spans="1:61" s="472" customFormat="1" ht="12.75" customHeight="1" outlineLevel="1" x14ac:dyDescent="0.2">
      <c r="A239" s="3618"/>
      <c r="B239" s="306" t="s">
        <v>3</v>
      </c>
      <c r="C239" s="3620"/>
      <c r="D239" s="316">
        <f t="shared" ref="D239:H239" si="177">SUM(D240:D241)</f>
        <v>5344050</v>
      </c>
      <c r="E239" s="317">
        <f t="shared" si="177"/>
        <v>0</v>
      </c>
      <c r="F239" s="317">
        <f t="shared" si="177"/>
        <v>2466061</v>
      </c>
      <c r="G239" s="317">
        <f t="shared" si="177"/>
        <v>2166978</v>
      </c>
      <c r="H239" s="317">
        <f t="shared" si="177"/>
        <v>711011</v>
      </c>
      <c r="I239" s="354">
        <f t="shared" ref="I239" si="178">SUM(I240:I241)</f>
        <v>4632811.28</v>
      </c>
      <c r="J239" s="2613">
        <f t="shared" si="165"/>
        <v>86.691016738241601</v>
      </c>
      <c r="K239" s="356">
        <f>SUM(K240:K241)</f>
        <v>2166750.2799999998</v>
      </c>
      <c r="L239" s="2613">
        <f t="shared" si="166"/>
        <v>99.989491356165118</v>
      </c>
      <c r="M239" s="350">
        <f t="shared" si="163"/>
        <v>-227.72000000020489</v>
      </c>
      <c r="N239" s="3645"/>
    </row>
    <row r="240" spans="1:61" s="472" customFormat="1" ht="12.95" customHeight="1" outlineLevel="1" x14ac:dyDescent="0.2">
      <c r="A240" s="3618"/>
      <c r="B240" s="315" t="s">
        <v>8</v>
      </c>
      <c r="C240" s="3221"/>
      <c r="D240" s="316">
        <f t="shared" ref="D240:H240" si="179">D250</f>
        <v>674361</v>
      </c>
      <c r="E240" s="317">
        <f t="shared" si="179"/>
        <v>0</v>
      </c>
      <c r="F240" s="317">
        <f t="shared" si="179"/>
        <v>461134</v>
      </c>
      <c r="G240" s="317">
        <f t="shared" si="179"/>
        <v>213227</v>
      </c>
      <c r="H240" s="317">
        <f t="shared" si="179"/>
        <v>0</v>
      </c>
      <c r="I240" s="348">
        <f t="shared" ref="I240" si="180">I250</f>
        <v>674360.88</v>
      </c>
      <c r="J240" s="322">
        <f t="shared" si="165"/>
        <v>99.999982205376654</v>
      </c>
      <c r="K240" s="317">
        <f t="shared" ref="K240" si="181">K250</f>
        <v>213226.88</v>
      </c>
      <c r="L240" s="322">
        <f t="shared" si="166"/>
        <v>99.99994372194891</v>
      </c>
      <c r="M240" s="350">
        <f t="shared" si="163"/>
        <v>-0.11999999999534339</v>
      </c>
      <c r="N240" s="3645"/>
    </row>
    <row r="241" spans="1:14" s="472" customFormat="1" ht="12.95" customHeight="1" outlineLevel="1" thickBot="1" x14ac:dyDescent="0.25">
      <c r="A241" s="3619"/>
      <c r="B241" s="2615" t="s">
        <v>29</v>
      </c>
      <c r="C241" s="3621"/>
      <c r="D241" s="2616">
        <f t="shared" ref="D241:I241" si="182">D257+D249</f>
        <v>4669689</v>
      </c>
      <c r="E241" s="2617">
        <f t="shared" si="182"/>
        <v>0</v>
      </c>
      <c r="F241" s="2617">
        <f t="shared" si="182"/>
        <v>2004927</v>
      </c>
      <c r="G241" s="2617">
        <f t="shared" si="182"/>
        <v>1953751</v>
      </c>
      <c r="H241" s="2617">
        <f t="shared" si="182"/>
        <v>711011</v>
      </c>
      <c r="I241" s="2618">
        <f t="shared" si="182"/>
        <v>3958450.4000000004</v>
      </c>
      <c r="J241" s="2619">
        <f t="shared" si="165"/>
        <v>84.769037081484441</v>
      </c>
      <c r="K241" s="2617">
        <f>K257+K249</f>
        <v>1953523.4</v>
      </c>
      <c r="L241" s="2619">
        <f t="shared" si="166"/>
        <v>99.988350613768077</v>
      </c>
      <c r="M241" s="2620">
        <f t="shared" si="163"/>
        <v>-227.60000000009313</v>
      </c>
      <c r="N241" s="3646"/>
    </row>
    <row r="242" spans="1:14" ht="19.5" customHeight="1" x14ac:dyDescent="0.2">
      <c r="A242" s="3647" t="s">
        <v>32</v>
      </c>
      <c r="B242" s="2304" t="s">
        <v>192</v>
      </c>
      <c r="C242" s="2598" t="s">
        <v>168</v>
      </c>
      <c r="D242" s="2337"/>
      <c r="E242" s="2307"/>
      <c r="F242" s="2307"/>
      <c r="G242" s="2307"/>
      <c r="H242" s="2621"/>
      <c r="I242" s="2309"/>
      <c r="J242" s="2310"/>
      <c r="K242" s="2311"/>
      <c r="L242" s="2310"/>
      <c r="M242" s="2307"/>
      <c r="N242" s="3650" t="s">
        <v>171</v>
      </c>
    </row>
    <row r="243" spans="1:14" ht="14.25" customHeight="1" x14ac:dyDescent="0.2">
      <c r="A243" s="3648"/>
      <c r="B243" s="1157" t="s">
        <v>2</v>
      </c>
      <c r="C243" s="2622"/>
      <c r="D243" s="415">
        <f t="shared" ref="D243:K243" si="183">+D244</f>
        <v>3606362</v>
      </c>
      <c r="E243" s="416">
        <f t="shared" si="183"/>
        <v>0</v>
      </c>
      <c r="F243" s="416">
        <f t="shared" si="183"/>
        <v>2466061</v>
      </c>
      <c r="G243" s="416">
        <f t="shared" si="183"/>
        <v>1140301</v>
      </c>
      <c r="H243" s="515">
        <f t="shared" si="183"/>
        <v>0</v>
      </c>
      <c r="I243" s="415">
        <f t="shared" si="183"/>
        <v>3606361.27</v>
      </c>
      <c r="J243" s="29">
        <f t="shared" ref="J243:J250" si="184">I243/D243*100</f>
        <v>99.999979757994339</v>
      </c>
      <c r="K243" s="416">
        <f t="shared" si="183"/>
        <v>1140300.27</v>
      </c>
      <c r="L243" s="29">
        <f t="shared" ref="L243:L257" si="185">K243/G243*100</f>
        <v>99.999935981815327</v>
      </c>
      <c r="M243" s="416">
        <f t="shared" si="163"/>
        <v>-0.72999999998137355</v>
      </c>
      <c r="N243" s="3651"/>
    </row>
    <row r="244" spans="1:14" ht="14.25" customHeight="1" x14ac:dyDescent="0.2">
      <c r="A244" s="3648"/>
      <c r="B244" s="1147" t="s">
        <v>3</v>
      </c>
      <c r="C244" s="3193" t="s">
        <v>170</v>
      </c>
      <c r="D244" s="913">
        <f t="shared" ref="D244:H244" si="186">+D245+D246</f>
        <v>3606362</v>
      </c>
      <c r="E244" s="560">
        <f t="shared" si="186"/>
        <v>0</v>
      </c>
      <c r="F244" s="560">
        <f t="shared" si="186"/>
        <v>2466061</v>
      </c>
      <c r="G244" s="560">
        <f t="shared" si="186"/>
        <v>1140301</v>
      </c>
      <c r="H244" s="2623">
        <f t="shared" si="186"/>
        <v>0</v>
      </c>
      <c r="I244" s="558">
        <f t="shared" ref="I244" si="187">+I245+I246</f>
        <v>3606361.27</v>
      </c>
      <c r="J244" s="176">
        <f t="shared" si="184"/>
        <v>99.999979757994339</v>
      </c>
      <c r="K244" s="560">
        <f>+K245+K246</f>
        <v>1140300.27</v>
      </c>
      <c r="L244" s="176">
        <f t="shared" si="185"/>
        <v>99.999935981815327</v>
      </c>
      <c r="M244" s="560">
        <f t="shared" si="163"/>
        <v>-0.72999999998137355</v>
      </c>
      <c r="N244" s="3651"/>
    </row>
    <row r="245" spans="1:14" ht="14.25" customHeight="1" x14ac:dyDescent="0.2">
      <c r="A245" s="3648"/>
      <c r="B245" s="493" t="s">
        <v>10</v>
      </c>
      <c r="C245" s="3653"/>
      <c r="D245" s="464">
        <f>+E245+F245+G245+H245</f>
        <v>2932001</v>
      </c>
      <c r="E245" s="463">
        <v>0</v>
      </c>
      <c r="F245" s="463">
        <v>2004927</v>
      </c>
      <c r="G245" s="463">
        <v>927074</v>
      </c>
      <c r="H245" s="494">
        <v>0</v>
      </c>
      <c r="I245" s="464">
        <f>F245+K245+E245</f>
        <v>2932000.39</v>
      </c>
      <c r="J245" s="465">
        <f t="shared" si="184"/>
        <v>99.999979195095776</v>
      </c>
      <c r="K245" s="463">
        <v>927073.39</v>
      </c>
      <c r="L245" s="465">
        <f t="shared" si="185"/>
        <v>99.999934201584779</v>
      </c>
      <c r="M245" s="463">
        <f t="shared" si="163"/>
        <v>-0.60999999998603016</v>
      </c>
      <c r="N245" s="3651"/>
    </row>
    <row r="246" spans="1:14" ht="14.25" customHeight="1" x14ac:dyDescent="0.2">
      <c r="A246" s="3648"/>
      <c r="B246" s="493" t="s">
        <v>8</v>
      </c>
      <c r="C246" s="3642"/>
      <c r="D246" s="464">
        <f>+E246+F246+G246+H246</f>
        <v>674361</v>
      </c>
      <c r="E246" s="463">
        <v>0</v>
      </c>
      <c r="F246" s="463">
        <v>461134</v>
      </c>
      <c r="G246" s="463">
        <v>213227</v>
      </c>
      <c r="H246" s="494">
        <v>0</v>
      </c>
      <c r="I246" s="464">
        <f>F246+K246+E246</f>
        <v>674360.88</v>
      </c>
      <c r="J246" s="465">
        <f t="shared" si="184"/>
        <v>99.999982205376654</v>
      </c>
      <c r="K246" s="463">
        <v>213226.88</v>
      </c>
      <c r="L246" s="465">
        <f t="shared" si="185"/>
        <v>99.99994372194891</v>
      </c>
      <c r="M246" s="463">
        <f t="shared" si="163"/>
        <v>-0.11999999999534339</v>
      </c>
      <c r="N246" s="3651"/>
    </row>
    <row r="247" spans="1:14" ht="14.25" customHeight="1" x14ac:dyDescent="0.2">
      <c r="A247" s="3648"/>
      <c r="B247" s="1157" t="s">
        <v>16</v>
      </c>
      <c r="C247" s="2622"/>
      <c r="D247" s="415">
        <f t="shared" ref="D247:H247" si="188">+D248</f>
        <v>3606362</v>
      </c>
      <c r="E247" s="416">
        <f t="shared" si="188"/>
        <v>0</v>
      </c>
      <c r="F247" s="416">
        <f t="shared" si="188"/>
        <v>2466061</v>
      </c>
      <c r="G247" s="416">
        <f t="shared" si="188"/>
        <v>1140301</v>
      </c>
      <c r="H247" s="515">
        <f t="shared" si="188"/>
        <v>0</v>
      </c>
      <c r="I247" s="415">
        <f t="shared" ref="I247" si="189">+I248</f>
        <v>3606361.27</v>
      </c>
      <c r="J247" s="29">
        <f t="shared" si="184"/>
        <v>99.999979757994339</v>
      </c>
      <c r="K247" s="416">
        <f>K248</f>
        <v>1140300.27</v>
      </c>
      <c r="L247" s="29">
        <f t="shared" si="185"/>
        <v>99.999935981815327</v>
      </c>
      <c r="M247" s="416">
        <f t="shared" si="163"/>
        <v>-0.72999999998137355</v>
      </c>
      <c r="N247" s="3651"/>
    </row>
    <row r="248" spans="1:14" ht="14.25" customHeight="1" x14ac:dyDescent="0.2">
      <c r="A248" s="3648"/>
      <c r="B248" s="1147" t="s">
        <v>3</v>
      </c>
      <c r="C248" s="3193" t="s">
        <v>170</v>
      </c>
      <c r="D248" s="913">
        <f t="shared" ref="D248:E248" si="190">+D249+D250</f>
        <v>3606362</v>
      </c>
      <c r="E248" s="560">
        <f t="shared" si="190"/>
        <v>0</v>
      </c>
      <c r="F248" s="560">
        <f>+F249+F250</f>
        <v>2466061</v>
      </c>
      <c r="G248" s="560">
        <f>+G249+G250</f>
        <v>1140301</v>
      </c>
      <c r="H248" s="2623">
        <f t="shared" ref="H248" si="191">+H249+H250</f>
        <v>0</v>
      </c>
      <c r="I248" s="913">
        <f>I249+I250</f>
        <v>3606361.27</v>
      </c>
      <c r="J248" s="1015">
        <f t="shared" si="184"/>
        <v>99.999979757994339</v>
      </c>
      <c r="K248" s="560">
        <f>SUM(K249:K250)</f>
        <v>1140300.27</v>
      </c>
      <c r="L248" s="1015">
        <f t="shared" si="185"/>
        <v>99.999935981815327</v>
      </c>
      <c r="M248" s="560">
        <f t="shared" si="163"/>
        <v>-0.72999999998137355</v>
      </c>
      <c r="N248" s="3651"/>
    </row>
    <row r="249" spans="1:14" ht="14.25" customHeight="1" x14ac:dyDescent="0.2">
      <c r="A249" s="3648"/>
      <c r="B249" s="493" t="s">
        <v>29</v>
      </c>
      <c r="C249" s="3653"/>
      <c r="D249" s="464">
        <f>+E249+F249+G249+H249</f>
        <v>2932001</v>
      </c>
      <c r="E249" s="463">
        <v>0</v>
      </c>
      <c r="F249" s="463">
        <v>2004927</v>
      </c>
      <c r="G249" s="463">
        <v>927074</v>
      </c>
      <c r="H249" s="494">
        <v>0</v>
      </c>
      <c r="I249" s="464">
        <f>F249+K249+E249</f>
        <v>2932000.39</v>
      </c>
      <c r="J249" s="465">
        <f t="shared" si="184"/>
        <v>99.999979195095776</v>
      </c>
      <c r="K249" s="463">
        <v>927073.39</v>
      </c>
      <c r="L249" s="465">
        <f t="shared" si="185"/>
        <v>99.999934201584779</v>
      </c>
      <c r="M249" s="463">
        <f t="shared" si="163"/>
        <v>-0.60999999998603016</v>
      </c>
      <c r="N249" s="3651"/>
    </row>
    <row r="250" spans="1:14" ht="14.25" customHeight="1" thickBot="1" x14ac:dyDescent="0.25">
      <c r="A250" s="3649"/>
      <c r="B250" s="2624" t="s">
        <v>8</v>
      </c>
      <c r="C250" s="3643"/>
      <c r="D250" s="504">
        <f>+E250+F250+G250+H250</f>
        <v>674361</v>
      </c>
      <c r="E250" s="502">
        <v>0</v>
      </c>
      <c r="F250" s="502">
        <v>461134</v>
      </c>
      <c r="G250" s="502">
        <v>213227</v>
      </c>
      <c r="H250" s="624">
        <v>0</v>
      </c>
      <c r="I250" s="504">
        <f>F250+K250+E250</f>
        <v>674360.88</v>
      </c>
      <c r="J250" s="505">
        <f t="shared" si="184"/>
        <v>99.999982205376654</v>
      </c>
      <c r="K250" s="463">
        <v>213226.88</v>
      </c>
      <c r="L250" s="505">
        <f t="shared" si="185"/>
        <v>99.99994372194891</v>
      </c>
      <c r="M250" s="502">
        <f t="shared" si="163"/>
        <v>-0.11999999999534339</v>
      </c>
      <c r="N250" s="3652"/>
    </row>
    <row r="251" spans="1:14" ht="44.25" customHeight="1" x14ac:dyDescent="0.2">
      <c r="A251" s="3637" t="s">
        <v>35</v>
      </c>
      <c r="B251" s="2336" t="s">
        <v>340</v>
      </c>
      <c r="C251" s="2598" t="s">
        <v>168</v>
      </c>
      <c r="D251" s="2337"/>
      <c r="E251" s="2307"/>
      <c r="F251" s="2307"/>
      <c r="G251" s="2307"/>
      <c r="H251" s="2621"/>
      <c r="I251" s="2309"/>
      <c r="J251" s="2310"/>
      <c r="K251" s="2311"/>
      <c r="L251" s="2310"/>
      <c r="M251" s="2307"/>
      <c r="N251" s="3639" t="s">
        <v>171</v>
      </c>
    </row>
    <row r="252" spans="1:14" ht="15" customHeight="1" x14ac:dyDescent="0.2">
      <c r="A252" s="3628"/>
      <c r="B252" s="1157" t="s">
        <v>2</v>
      </c>
      <c r="C252" s="2622"/>
      <c r="D252" s="415">
        <f t="shared" ref="D252:H252" si="192">+D254</f>
        <v>1737688</v>
      </c>
      <c r="E252" s="416">
        <f t="shared" si="192"/>
        <v>0</v>
      </c>
      <c r="F252" s="453">
        <f t="shared" si="192"/>
        <v>0</v>
      </c>
      <c r="G252" s="416">
        <f t="shared" si="192"/>
        <v>1026677</v>
      </c>
      <c r="H252" s="28">
        <f t="shared" si="192"/>
        <v>711011</v>
      </c>
      <c r="I252" s="415">
        <f>I253</f>
        <v>1026450.01</v>
      </c>
      <c r="J252" s="29">
        <f>I252/D252*100</f>
        <v>59.069868123621724</v>
      </c>
      <c r="K252" s="416">
        <f>+K254</f>
        <v>1026450.01</v>
      </c>
      <c r="L252" s="29">
        <f t="shared" si="185"/>
        <v>99.977890806943179</v>
      </c>
      <c r="M252" s="416">
        <f t="shared" ref="M252:M257" si="193">+K252-G252</f>
        <v>-226.98999999999069</v>
      </c>
      <c r="N252" s="3640"/>
    </row>
    <row r="253" spans="1:14" ht="15" customHeight="1" x14ac:dyDescent="0.2">
      <c r="A253" s="3628"/>
      <c r="B253" s="1147" t="s">
        <v>3</v>
      </c>
      <c r="C253" s="3193" t="s">
        <v>170</v>
      </c>
      <c r="D253" s="913">
        <f t="shared" ref="D253:H253" si="194">+D254</f>
        <v>1737688</v>
      </c>
      <c r="E253" s="560">
        <f t="shared" si="194"/>
        <v>0</v>
      </c>
      <c r="F253" s="915">
        <f t="shared" si="194"/>
        <v>0</v>
      </c>
      <c r="G253" s="560">
        <f t="shared" si="194"/>
        <v>1026677</v>
      </c>
      <c r="H253" s="2625">
        <f t="shared" si="194"/>
        <v>711011</v>
      </c>
      <c r="I253" s="558">
        <f>I254</f>
        <v>1026450.01</v>
      </c>
      <c r="J253" s="176">
        <f t="shared" ref="J253:J257" si="195">I253/D253*100</f>
        <v>59.069868123621724</v>
      </c>
      <c r="K253" s="560">
        <f>+K254</f>
        <v>1026450.01</v>
      </c>
      <c r="L253" s="176">
        <f t="shared" si="185"/>
        <v>99.977890806943179</v>
      </c>
      <c r="M253" s="560">
        <f t="shared" si="193"/>
        <v>-226.98999999999069</v>
      </c>
      <c r="N253" s="3640"/>
    </row>
    <row r="254" spans="1:14" ht="15" customHeight="1" x14ac:dyDescent="0.2">
      <c r="A254" s="3628"/>
      <c r="B254" s="493" t="s">
        <v>29</v>
      </c>
      <c r="C254" s="3642"/>
      <c r="D254" s="464">
        <f>+E254+F254+G254+H254</f>
        <v>1737688</v>
      </c>
      <c r="E254" s="463"/>
      <c r="F254" s="467"/>
      <c r="G254" s="463">
        <v>1026677</v>
      </c>
      <c r="H254" s="2626">
        <v>711011</v>
      </c>
      <c r="I254" s="464">
        <f>F254+K254+E254</f>
        <v>1026450.01</v>
      </c>
      <c r="J254" s="465">
        <f t="shared" si="195"/>
        <v>59.069868123621724</v>
      </c>
      <c r="K254" s="463">
        <v>1026450.01</v>
      </c>
      <c r="L254" s="465">
        <f t="shared" si="185"/>
        <v>99.977890806943179</v>
      </c>
      <c r="M254" s="463">
        <f t="shared" si="193"/>
        <v>-226.98999999999069</v>
      </c>
      <c r="N254" s="3640"/>
    </row>
    <row r="255" spans="1:14" ht="15" customHeight="1" x14ac:dyDescent="0.2">
      <c r="A255" s="3628"/>
      <c r="B255" s="1157" t="s">
        <v>16</v>
      </c>
      <c r="C255" s="2622"/>
      <c r="D255" s="415">
        <f t="shared" ref="D255:H256" si="196">+D256</f>
        <v>1737688</v>
      </c>
      <c r="E255" s="416">
        <f t="shared" si="196"/>
        <v>0</v>
      </c>
      <c r="F255" s="453">
        <f t="shared" si="196"/>
        <v>0</v>
      </c>
      <c r="G255" s="453">
        <f t="shared" si="196"/>
        <v>1026677</v>
      </c>
      <c r="H255" s="417">
        <f t="shared" si="196"/>
        <v>711011</v>
      </c>
      <c r="I255" s="415">
        <f>I256</f>
        <v>1026450.01</v>
      </c>
      <c r="J255" s="29">
        <f t="shared" si="195"/>
        <v>59.069868123621724</v>
      </c>
      <c r="K255" s="453">
        <f>+K256</f>
        <v>1026450.01</v>
      </c>
      <c r="L255" s="29">
        <f t="shared" si="185"/>
        <v>99.977890806943179</v>
      </c>
      <c r="M255" s="416">
        <f t="shared" si="193"/>
        <v>-226.98999999999069</v>
      </c>
      <c r="N255" s="3640"/>
    </row>
    <row r="256" spans="1:14" ht="15" customHeight="1" x14ac:dyDescent="0.2">
      <c r="A256" s="3628"/>
      <c r="B256" s="1147" t="s">
        <v>3</v>
      </c>
      <c r="C256" s="3193" t="s">
        <v>170</v>
      </c>
      <c r="D256" s="913">
        <f t="shared" si="196"/>
        <v>1737688</v>
      </c>
      <c r="E256" s="560">
        <f t="shared" si="196"/>
        <v>0</v>
      </c>
      <c r="F256" s="915">
        <f t="shared" si="196"/>
        <v>0</v>
      </c>
      <c r="G256" s="915">
        <f t="shared" si="196"/>
        <v>1026677</v>
      </c>
      <c r="H256" s="2386">
        <f t="shared" si="196"/>
        <v>711011</v>
      </c>
      <c r="I256" s="558">
        <f>I257</f>
        <v>1026450.01</v>
      </c>
      <c r="J256" s="176">
        <f t="shared" si="195"/>
        <v>59.069868123621724</v>
      </c>
      <c r="K256" s="915">
        <f>+K257</f>
        <v>1026450.01</v>
      </c>
      <c r="L256" s="176">
        <f t="shared" si="185"/>
        <v>99.977890806943179</v>
      </c>
      <c r="M256" s="560">
        <f t="shared" si="193"/>
        <v>-226.98999999999069</v>
      </c>
      <c r="N256" s="3640"/>
    </row>
    <row r="257" spans="1:14" ht="15" customHeight="1" thickBot="1" x14ac:dyDescent="0.25">
      <c r="A257" s="3638"/>
      <c r="B257" s="2624" t="s">
        <v>29</v>
      </c>
      <c r="C257" s="3643"/>
      <c r="D257" s="504">
        <f>+E257+F257+G257+H257</f>
        <v>1737688</v>
      </c>
      <c r="E257" s="502"/>
      <c r="F257" s="507"/>
      <c r="G257" s="507">
        <v>1026677</v>
      </c>
      <c r="H257" s="1062">
        <v>711011</v>
      </c>
      <c r="I257" s="504">
        <f>F257+K257+E257</f>
        <v>1026450.01</v>
      </c>
      <c r="J257" s="505">
        <f t="shared" si="195"/>
        <v>59.069868123621724</v>
      </c>
      <c r="K257" s="507">
        <v>1026450.01</v>
      </c>
      <c r="L257" s="505">
        <f t="shared" si="185"/>
        <v>99.977890806943179</v>
      </c>
      <c r="M257" s="502">
        <f t="shared" si="193"/>
        <v>-226.98999999999069</v>
      </c>
      <c r="N257" s="3641"/>
    </row>
    <row r="291" spans="6:6" x14ac:dyDescent="0.2">
      <c r="F291" s="274">
        <v>415162</v>
      </c>
    </row>
    <row r="323" spans="1:14" ht="12" thickBot="1" x14ac:dyDescent="0.25"/>
    <row r="324" spans="1:14" x14ac:dyDescent="0.2">
      <c r="A324" s="2248"/>
      <c r="B324" s="1779"/>
      <c r="C324" s="1779"/>
      <c r="D324" s="1779"/>
      <c r="E324" s="1779"/>
      <c r="F324" s="1779"/>
      <c r="G324" s="1779"/>
      <c r="H324" s="1779"/>
      <c r="I324" s="1779"/>
      <c r="J324" s="1779"/>
      <c r="K324" s="1779"/>
      <c r="L324" s="1779"/>
      <c r="M324" s="1779"/>
      <c r="N324" s="2252"/>
    </row>
    <row r="325" spans="1:14" x14ac:dyDescent="0.2">
      <c r="A325" s="2246"/>
      <c r="B325" s="1582"/>
      <c r="C325" s="1582"/>
      <c r="D325" s="1582"/>
      <c r="E325" s="1582"/>
      <c r="F325" s="1582"/>
      <c r="G325" s="1582"/>
      <c r="H325" s="1582"/>
      <c r="N325" s="2250"/>
    </row>
    <row r="326" spans="1:14" x14ac:dyDescent="0.2">
      <c r="A326" s="2246"/>
      <c r="B326" s="1582"/>
      <c r="C326" s="1582"/>
      <c r="D326" s="1582"/>
      <c r="E326" s="1582"/>
      <c r="F326" s="1582"/>
      <c r="G326" s="1582"/>
      <c r="H326" s="1582"/>
      <c r="N326" s="2250"/>
    </row>
    <row r="327" spans="1:14" x14ac:dyDescent="0.2">
      <c r="A327" s="2246"/>
      <c r="B327" s="1582"/>
      <c r="C327" s="1582"/>
      <c r="D327" s="1582"/>
      <c r="E327" s="1582"/>
      <c r="F327" s="1582"/>
      <c r="G327" s="1582"/>
      <c r="H327" s="1582"/>
      <c r="N327" s="2250"/>
    </row>
    <row r="328" spans="1:14" x14ac:dyDescent="0.2">
      <c r="A328" s="2246"/>
      <c r="B328" s="1582"/>
      <c r="C328" s="1582"/>
      <c r="D328" s="1582"/>
      <c r="E328" s="1582"/>
      <c r="F328" s="1582"/>
      <c r="G328" s="1582"/>
      <c r="H328" s="1582"/>
      <c r="N328" s="2250"/>
    </row>
    <row r="329" spans="1:14" x14ac:dyDescent="0.2">
      <c r="A329" s="2246"/>
      <c r="B329" s="1582"/>
      <c r="C329" s="1582"/>
      <c r="D329" s="1582"/>
      <c r="E329" s="1582"/>
      <c r="F329" s="1582"/>
      <c r="G329" s="1582"/>
      <c r="H329" s="1582"/>
      <c r="N329" s="2250"/>
    </row>
    <row r="330" spans="1:14" x14ac:dyDescent="0.2">
      <c r="A330" s="2246"/>
      <c r="B330" s="1582"/>
      <c r="C330" s="1582"/>
      <c r="D330" s="1582"/>
      <c r="E330" s="1582"/>
      <c r="F330" s="1582"/>
      <c r="G330" s="1582"/>
      <c r="H330" s="1582"/>
      <c r="N330" s="2250"/>
    </row>
    <row r="331" spans="1:14" ht="12" thickBot="1" x14ac:dyDescent="0.25">
      <c r="A331" s="2247"/>
      <c r="B331" s="1775"/>
      <c r="C331" s="1775"/>
      <c r="D331" s="1775"/>
      <c r="E331" s="1775"/>
      <c r="F331" s="1775"/>
      <c r="G331" s="1775"/>
      <c r="H331" s="1775"/>
      <c r="I331" s="1775"/>
      <c r="J331" s="1775"/>
      <c r="K331" s="1775"/>
      <c r="L331" s="1775"/>
      <c r="M331" s="1775"/>
      <c r="N331" s="2251"/>
    </row>
    <row r="332" spans="1:14" x14ac:dyDescent="0.2">
      <c r="A332" s="2248"/>
      <c r="B332" s="1779"/>
      <c r="C332" s="1779"/>
      <c r="D332" s="1779"/>
      <c r="E332" s="1779"/>
      <c r="F332" s="1779"/>
      <c r="G332" s="1779"/>
      <c r="H332" s="1779"/>
      <c r="I332" s="1779"/>
      <c r="J332" s="1779"/>
      <c r="K332" s="1779"/>
      <c r="L332" s="1779"/>
      <c r="M332" s="1779"/>
      <c r="N332" s="2252"/>
    </row>
    <row r="333" spans="1:14" x14ac:dyDescent="0.2">
      <c r="A333" s="2246"/>
      <c r="B333" s="1582"/>
      <c r="C333" s="1582"/>
      <c r="D333" s="1582"/>
      <c r="E333" s="1582"/>
      <c r="F333" s="1582"/>
      <c r="G333" s="1582"/>
      <c r="H333" s="1582"/>
      <c r="N333" s="2250"/>
    </row>
    <row r="334" spans="1:14" x14ac:dyDescent="0.2">
      <c r="A334" s="2246"/>
      <c r="B334" s="1582"/>
      <c r="C334" s="1582"/>
      <c r="D334" s="1582"/>
      <c r="E334" s="1582"/>
      <c r="F334" s="1582"/>
      <c r="G334" s="1582"/>
      <c r="H334" s="1582"/>
      <c r="N334" s="2250"/>
    </row>
    <row r="335" spans="1:14" ht="12" thickBot="1" x14ac:dyDescent="0.25">
      <c r="A335" s="2247"/>
      <c r="B335" s="1775"/>
      <c r="C335" s="1775"/>
      <c r="D335" s="1775"/>
      <c r="E335" s="1775"/>
      <c r="F335" s="1775"/>
      <c r="G335" s="1775"/>
      <c r="H335" s="1775"/>
      <c r="I335" s="1775"/>
      <c r="J335" s="1775"/>
      <c r="K335" s="1775"/>
      <c r="L335" s="1775"/>
      <c r="M335" s="1775"/>
      <c r="N335" s="2251"/>
    </row>
  </sheetData>
  <mergeCells count="96">
    <mergeCell ref="I4:M4"/>
    <mergeCell ref="N4:N7"/>
    <mergeCell ref="J5:J7"/>
    <mergeCell ref="K5:M5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G5:H5"/>
    <mergeCell ref="G6:G7"/>
    <mergeCell ref="A33:A45"/>
    <mergeCell ref="N33:N45"/>
    <mergeCell ref="C35:C39"/>
    <mergeCell ref="C41:C45"/>
    <mergeCell ref="A12:A32"/>
    <mergeCell ref="N12:N32"/>
    <mergeCell ref="C13:C22"/>
    <mergeCell ref="C24:C32"/>
    <mergeCell ref="H6:H7"/>
    <mergeCell ref="A8:B8"/>
    <mergeCell ref="A47:A59"/>
    <mergeCell ref="N47:N59"/>
    <mergeCell ref="C49:C53"/>
    <mergeCell ref="C55:C59"/>
    <mergeCell ref="A60:A72"/>
    <mergeCell ref="N60:N72"/>
    <mergeCell ref="C62:C66"/>
    <mergeCell ref="A73:A91"/>
    <mergeCell ref="C84:C91"/>
    <mergeCell ref="N73:N91"/>
    <mergeCell ref="A92:A107"/>
    <mergeCell ref="N92:N107"/>
    <mergeCell ref="C102:C107"/>
    <mergeCell ref="C75:C82"/>
    <mergeCell ref="C94:C100"/>
    <mergeCell ref="A108:A118"/>
    <mergeCell ref="N108:N118"/>
    <mergeCell ref="C110:C113"/>
    <mergeCell ref="C115:C118"/>
    <mergeCell ref="A119:A129"/>
    <mergeCell ref="N119:N129"/>
    <mergeCell ref="C121:C124"/>
    <mergeCell ref="C126:C129"/>
    <mergeCell ref="A130:A143"/>
    <mergeCell ref="N130:N143"/>
    <mergeCell ref="C132:C136"/>
    <mergeCell ref="C138:C143"/>
    <mergeCell ref="A144:A154"/>
    <mergeCell ref="N144:N154"/>
    <mergeCell ref="C146:C150"/>
    <mergeCell ref="C152:C154"/>
    <mergeCell ref="A190:A204"/>
    <mergeCell ref="N190:N204"/>
    <mergeCell ref="C160:C161"/>
    <mergeCell ref="C163:C164"/>
    <mergeCell ref="A165:A178"/>
    <mergeCell ref="N165:N178"/>
    <mergeCell ref="C167:C171"/>
    <mergeCell ref="C173:C178"/>
    <mergeCell ref="C199:C204"/>
    <mergeCell ref="A179:A189"/>
    <mergeCell ref="N179:N189"/>
    <mergeCell ref="C181:C184"/>
    <mergeCell ref="C186:C189"/>
    <mergeCell ref="C192:C197"/>
    <mergeCell ref="A158:A163"/>
    <mergeCell ref="N158:N164"/>
    <mergeCell ref="A251:A257"/>
    <mergeCell ref="N251:N257"/>
    <mergeCell ref="C253:C254"/>
    <mergeCell ref="C256:C257"/>
    <mergeCell ref="N230:N241"/>
    <mergeCell ref="A242:A250"/>
    <mergeCell ref="N242:N250"/>
    <mergeCell ref="C244:C246"/>
    <mergeCell ref="C248:C250"/>
    <mergeCell ref="A229:N229"/>
    <mergeCell ref="A233:A241"/>
    <mergeCell ref="C234:C237"/>
    <mergeCell ref="C239:C241"/>
    <mergeCell ref="A205:A219"/>
    <mergeCell ref="N205:N219"/>
    <mergeCell ref="C207:C212"/>
    <mergeCell ref="C214:C219"/>
    <mergeCell ref="A220:A228"/>
    <mergeCell ref="N220:N228"/>
    <mergeCell ref="C222:C225"/>
    <mergeCell ref="C227:C228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09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2" manualBreakCount="2">
    <brk id="91" max="13" man="1"/>
    <brk id="228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Z551"/>
  <sheetViews>
    <sheetView showGridLines="0" view="pageBreakPreview" zoomScaleNormal="100" zoomScaleSheetLayoutView="100" workbookViewId="0">
      <pane xSplit="3" ySplit="9" topLeftCell="D10" activePane="bottomRight" state="frozen"/>
      <selection activeCell="D5" sqref="D5:H5"/>
      <selection pane="topRight" activeCell="D5" sqref="D5:H5"/>
      <selection pane="bottomLeft" activeCell="D5" sqref="D5:H5"/>
      <selection pane="bottomRight" activeCell="O5" sqref="O5"/>
    </sheetView>
  </sheetViews>
  <sheetFormatPr defaultRowHeight="11.25" x14ac:dyDescent="0.2"/>
  <cols>
    <col min="1" max="1" width="2.85546875" style="1580" customWidth="1"/>
    <col min="2" max="2" width="52.5703125" style="1581" customWidth="1"/>
    <col min="3" max="3" width="11.28515625" style="1581" customWidth="1"/>
    <col min="4" max="4" width="13.85546875" style="1581" customWidth="1"/>
    <col min="5" max="5" width="10.85546875" style="1581" hidden="1" customWidth="1"/>
    <col min="6" max="6" width="13.28515625" style="1581" hidden="1" customWidth="1"/>
    <col min="7" max="7" width="12.28515625" style="1581" customWidth="1"/>
    <col min="8" max="8" width="12.140625" style="1581" customWidth="1"/>
    <col min="9" max="9" width="11.85546875" style="1581" customWidth="1"/>
    <col min="10" max="10" width="9.85546875" style="1794" customWidth="1"/>
    <col min="11" max="11" width="11.140625" style="1585" customWidth="1"/>
    <col min="12" max="12" width="11.7109375" style="1585" customWidth="1"/>
    <col min="13" max="13" width="13.140625" style="1585" customWidth="1"/>
    <col min="14" max="14" width="13.140625" style="1583" customWidth="1"/>
    <col min="15" max="16384" width="9.140625" style="1581"/>
  </cols>
  <sheetData>
    <row r="1" spans="1:104" ht="24.75" customHeight="1" x14ac:dyDescent="0.3">
      <c r="I1" s="43"/>
      <c r="J1" s="43"/>
      <c r="K1" s="3038" t="s">
        <v>378</v>
      </c>
      <c r="L1" s="3038"/>
    </row>
    <row r="2" spans="1:104" ht="15" customHeight="1" x14ac:dyDescent="0.2">
      <c r="I2" s="1079"/>
      <c r="J2" s="1581"/>
      <c r="K2" s="1581"/>
      <c r="L2" s="1581"/>
      <c r="M2" s="1581"/>
      <c r="N2" s="1078"/>
    </row>
    <row r="3" spans="1:104" ht="5.25" customHeight="1" thickBot="1" x14ac:dyDescent="0.25">
      <c r="I3" s="1079"/>
      <c r="J3" s="1581"/>
      <c r="K3" s="1581"/>
      <c r="L3" s="1581"/>
      <c r="M3" s="1581"/>
      <c r="N3" s="1078"/>
    </row>
    <row r="4" spans="1:104" ht="5.25" customHeight="1" x14ac:dyDescent="0.2">
      <c r="A4" s="2720"/>
      <c r="B4" s="1778"/>
      <c r="C4" s="1778"/>
      <c r="D4" s="1778"/>
      <c r="E4" s="1778"/>
      <c r="F4" s="1778"/>
      <c r="G4" s="1778"/>
      <c r="H4" s="1778"/>
      <c r="I4" s="2628"/>
      <c r="J4" s="1778"/>
      <c r="K4" s="1778"/>
      <c r="L4" s="1778"/>
      <c r="M4" s="1778"/>
      <c r="N4" s="2629"/>
    </row>
    <row r="5" spans="1:104" s="1712" customFormat="1" ht="45" customHeight="1" thickBot="1" x14ac:dyDescent="0.25">
      <c r="A5" s="3773" t="s">
        <v>193</v>
      </c>
      <c r="B5" s="3774"/>
      <c r="C5" s="3774"/>
      <c r="D5" s="3774"/>
      <c r="E5" s="3774"/>
      <c r="F5" s="3774"/>
      <c r="G5" s="3774"/>
      <c r="H5" s="3774"/>
      <c r="I5" s="3775"/>
      <c r="J5" s="3775"/>
      <c r="K5" s="3775"/>
      <c r="L5" s="3775"/>
      <c r="M5" s="3775"/>
      <c r="N5" s="3776"/>
      <c r="O5" s="1711"/>
      <c r="P5" s="1711"/>
      <c r="Q5" s="1711"/>
      <c r="R5" s="1711"/>
      <c r="S5" s="1711"/>
      <c r="T5" s="1711"/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1711"/>
      <c r="AL5" s="1711"/>
      <c r="AM5" s="1711"/>
      <c r="AN5" s="1711"/>
      <c r="AO5" s="1711"/>
      <c r="AP5" s="1711"/>
      <c r="AQ5" s="1711"/>
      <c r="AR5" s="1711"/>
      <c r="AS5" s="1711"/>
      <c r="AT5" s="1711"/>
      <c r="AU5" s="1711"/>
      <c r="AV5" s="1711"/>
      <c r="AW5" s="1711"/>
      <c r="AX5" s="1711"/>
      <c r="AY5" s="1711"/>
      <c r="AZ5" s="1711"/>
      <c r="BA5" s="1711"/>
      <c r="BB5" s="1711"/>
      <c r="BC5" s="1711"/>
      <c r="BD5" s="1711"/>
      <c r="BE5" s="1711"/>
      <c r="BF5" s="1711"/>
      <c r="BG5" s="1711"/>
      <c r="BH5" s="1711"/>
      <c r="BI5" s="1711"/>
      <c r="BJ5" s="1711"/>
      <c r="BK5" s="1711"/>
      <c r="BL5" s="1711"/>
      <c r="BM5" s="1711"/>
      <c r="BN5" s="1711"/>
      <c r="BO5" s="1711"/>
      <c r="BP5" s="1711"/>
      <c r="BQ5" s="1711"/>
      <c r="BR5" s="1711"/>
      <c r="BS5" s="1711"/>
      <c r="BT5" s="1711"/>
      <c r="BU5" s="1711"/>
      <c r="BV5" s="1711"/>
      <c r="BW5" s="1711"/>
      <c r="BX5" s="1711"/>
      <c r="BY5" s="1711"/>
      <c r="BZ5" s="1711"/>
      <c r="CA5" s="1711"/>
      <c r="CB5" s="1711"/>
      <c r="CC5" s="1711"/>
      <c r="CD5" s="1711"/>
      <c r="CE5" s="1711"/>
      <c r="CF5" s="1711"/>
      <c r="CG5" s="1711"/>
      <c r="CH5" s="1711"/>
      <c r="CI5" s="1711"/>
      <c r="CJ5" s="1711"/>
      <c r="CK5" s="1711"/>
      <c r="CL5" s="1711"/>
      <c r="CM5" s="1711"/>
      <c r="CN5" s="1711"/>
      <c r="CO5" s="1711"/>
      <c r="CP5" s="1711"/>
      <c r="CQ5" s="1711"/>
      <c r="CR5" s="1711"/>
      <c r="CS5" s="1711"/>
      <c r="CT5" s="1711"/>
      <c r="CU5" s="1711"/>
      <c r="CV5" s="1711"/>
      <c r="CW5" s="1711"/>
      <c r="CX5" s="1711"/>
      <c r="CY5" s="1711"/>
      <c r="CZ5" s="1711"/>
    </row>
    <row r="6" spans="1:104" s="20" customFormat="1" ht="31.5" customHeight="1" x14ac:dyDescent="0.2">
      <c r="A6" s="3743" t="s">
        <v>24</v>
      </c>
      <c r="B6" s="3746" t="s">
        <v>25</v>
      </c>
      <c r="C6" s="3406" t="s">
        <v>26</v>
      </c>
      <c r="D6" s="3010" t="s">
        <v>317</v>
      </c>
      <c r="E6" s="3011"/>
      <c r="F6" s="3011"/>
      <c r="G6" s="3011"/>
      <c r="H6" s="3012"/>
      <c r="I6" s="3010" t="s">
        <v>314</v>
      </c>
      <c r="J6" s="3011"/>
      <c r="K6" s="3011"/>
      <c r="L6" s="3011"/>
      <c r="M6" s="3011"/>
      <c r="N6" s="3317" t="s">
        <v>27</v>
      </c>
    </row>
    <row r="7" spans="1:104" s="20" customFormat="1" ht="24.75" customHeight="1" x14ac:dyDescent="0.2">
      <c r="A7" s="3744"/>
      <c r="B7" s="3747"/>
      <c r="C7" s="3407"/>
      <c r="D7" s="3013" t="s">
        <v>0</v>
      </c>
      <c r="E7" s="3042" t="s">
        <v>163</v>
      </c>
      <c r="F7" s="3045" t="s">
        <v>286</v>
      </c>
      <c r="G7" s="3032" t="s">
        <v>260</v>
      </c>
      <c r="H7" s="3033"/>
      <c r="I7" s="3005" t="s">
        <v>311</v>
      </c>
      <c r="J7" s="3282" t="s">
        <v>309</v>
      </c>
      <c r="K7" s="3040" t="s">
        <v>313</v>
      </c>
      <c r="L7" s="3041"/>
      <c r="M7" s="3041"/>
      <c r="N7" s="3318"/>
    </row>
    <row r="8" spans="1:104" s="20" customFormat="1" ht="65.25" customHeight="1" x14ac:dyDescent="0.2">
      <c r="A8" s="3744"/>
      <c r="B8" s="3747"/>
      <c r="C8" s="3407"/>
      <c r="D8" s="3014"/>
      <c r="E8" s="3043"/>
      <c r="F8" s="3046"/>
      <c r="G8" s="3034" t="s">
        <v>318</v>
      </c>
      <c r="H8" s="3036" t="s">
        <v>221</v>
      </c>
      <c r="I8" s="3006"/>
      <c r="J8" s="3283"/>
      <c r="K8" s="2998" t="s">
        <v>312</v>
      </c>
      <c r="L8" s="3230" t="s">
        <v>310</v>
      </c>
      <c r="M8" s="3232" t="s">
        <v>315</v>
      </c>
      <c r="N8" s="3318"/>
    </row>
    <row r="9" spans="1:104" s="20" customFormat="1" ht="28.5" customHeight="1" thickBot="1" x14ac:dyDescent="0.25">
      <c r="A9" s="3745"/>
      <c r="B9" s="3748"/>
      <c r="C9" s="3408"/>
      <c r="D9" s="3234"/>
      <c r="E9" s="3235"/>
      <c r="F9" s="3236"/>
      <c r="G9" s="3237"/>
      <c r="H9" s="3238"/>
      <c r="I9" s="3336"/>
      <c r="J9" s="3284"/>
      <c r="K9" s="3229"/>
      <c r="L9" s="3231"/>
      <c r="M9" s="3233"/>
      <c r="N9" s="3319"/>
    </row>
    <row r="10" spans="1:104" s="20" customFormat="1" ht="13.5" customHeight="1" thickBot="1" x14ac:dyDescent="0.25">
      <c r="A10" s="3708">
        <v>1</v>
      </c>
      <c r="B10" s="3709"/>
      <c r="C10" s="2630">
        <v>2</v>
      </c>
      <c r="D10" s="1589">
        <v>3</v>
      </c>
      <c r="E10" s="1590">
        <v>4</v>
      </c>
      <c r="F10" s="1590">
        <v>5</v>
      </c>
      <c r="G10" s="1590">
        <v>4</v>
      </c>
      <c r="H10" s="1591">
        <v>5</v>
      </c>
      <c r="I10" s="1589">
        <v>6</v>
      </c>
      <c r="J10" s="1801">
        <v>7</v>
      </c>
      <c r="K10" s="1801">
        <v>8</v>
      </c>
      <c r="L10" s="1802">
        <v>9</v>
      </c>
      <c r="M10" s="1802">
        <v>10</v>
      </c>
      <c r="N10" s="1593">
        <v>11</v>
      </c>
    </row>
    <row r="11" spans="1:104" s="20" customFormat="1" ht="19.5" customHeight="1" thickBot="1" x14ac:dyDescent="0.25">
      <c r="A11" s="2721"/>
      <c r="B11" s="267" t="s">
        <v>164</v>
      </c>
      <c r="C11" s="268"/>
      <c r="D11" s="50">
        <f t="shared" ref="D11:H11" si="0">D12+D13</f>
        <v>15930254</v>
      </c>
      <c r="E11" s="51">
        <f t="shared" si="0"/>
        <v>75251</v>
      </c>
      <c r="F11" s="51">
        <f t="shared" si="0"/>
        <v>733387</v>
      </c>
      <c r="G11" s="51">
        <f t="shared" si="0"/>
        <v>5505131</v>
      </c>
      <c r="H11" s="55">
        <f t="shared" si="0"/>
        <v>9616485</v>
      </c>
      <c r="I11" s="50">
        <f t="shared" ref="I11" si="1">I12+I13</f>
        <v>4792891.6400000006</v>
      </c>
      <c r="J11" s="2259">
        <f t="shared" ref="J11:J21" si="2">I11/D11*100</f>
        <v>30.086724543124049</v>
      </c>
      <c r="K11" s="51">
        <f>K12+K13</f>
        <v>3984253.64</v>
      </c>
      <c r="L11" s="2259">
        <f t="shared" ref="L11:L21" si="3">K11/G11*100</f>
        <v>72.373457416363024</v>
      </c>
      <c r="M11" s="54">
        <f t="shared" ref="M11:M21" si="4">+K11-G11</f>
        <v>-1520877.3599999999</v>
      </c>
      <c r="N11" s="2722"/>
    </row>
    <row r="12" spans="1:104" s="1670" customFormat="1" ht="15.75" customHeight="1" thickTop="1" x14ac:dyDescent="0.2">
      <c r="A12" s="2723"/>
      <c r="B12" s="276" t="s">
        <v>165</v>
      </c>
      <c r="C12" s="277"/>
      <c r="D12" s="59">
        <f t="shared" ref="D12:I12" si="5">D23+D41+D50+D57+D71</f>
        <v>15796484</v>
      </c>
      <c r="E12" s="60">
        <f t="shared" si="5"/>
        <v>75251</v>
      </c>
      <c r="F12" s="60">
        <f t="shared" si="5"/>
        <v>733387</v>
      </c>
      <c r="G12" s="60">
        <f t="shared" si="5"/>
        <v>5371361</v>
      </c>
      <c r="H12" s="65">
        <f t="shared" si="5"/>
        <v>9616485</v>
      </c>
      <c r="I12" s="59">
        <f t="shared" si="5"/>
        <v>4715221.6400000006</v>
      </c>
      <c r="J12" s="2639">
        <f t="shared" si="2"/>
        <v>29.84981746570946</v>
      </c>
      <c r="K12" s="60">
        <f>K23+K41+K50+K57+K71</f>
        <v>3906583.64</v>
      </c>
      <c r="L12" s="2262">
        <f t="shared" si="3"/>
        <v>72.729865670916553</v>
      </c>
      <c r="M12" s="279">
        <f t="shared" si="4"/>
        <v>-1464777.3599999999</v>
      </c>
      <c r="N12" s="2724"/>
    </row>
    <row r="13" spans="1:104" s="1670" customFormat="1" ht="15.75" customHeight="1" thickBot="1" x14ac:dyDescent="0.25">
      <c r="A13" s="2723"/>
      <c r="B13" s="1807" t="s">
        <v>166</v>
      </c>
      <c r="C13" s="1808"/>
      <c r="D13" s="2725">
        <f t="shared" ref="D13:I13" si="6">+D64+D32</f>
        <v>133770</v>
      </c>
      <c r="E13" s="1810">
        <f t="shared" si="6"/>
        <v>0</v>
      </c>
      <c r="F13" s="1810">
        <f t="shared" si="6"/>
        <v>0</v>
      </c>
      <c r="G13" s="1810">
        <f t="shared" si="6"/>
        <v>133770</v>
      </c>
      <c r="H13" s="2726">
        <f t="shared" si="6"/>
        <v>0</v>
      </c>
      <c r="I13" s="2725">
        <f t="shared" si="6"/>
        <v>77670</v>
      </c>
      <c r="J13" s="2727">
        <f t="shared" si="2"/>
        <v>58.062345817447856</v>
      </c>
      <c r="K13" s="1810">
        <f>+K64+K32</f>
        <v>77670</v>
      </c>
      <c r="L13" s="2269">
        <f t="shared" si="3"/>
        <v>58.062345817447856</v>
      </c>
      <c r="M13" s="940">
        <f t="shared" si="4"/>
        <v>-56100</v>
      </c>
      <c r="N13" s="2724"/>
    </row>
    <row r="14" spans="1:104" ht="18.75" customHeight="1" x14ac:dyDescent="0.2">
      <c r="A14" s="3770"/>
      <c r="B14" s="1268" t="s">
        <v>2</v>
      </c>
      <c r="C14" s="1269"/>
      <c r="D14" s="2728">
        <f t="shared" ref="D14:H14" si="7">D15+D17</f>
        <v>15930254</v>
      </c>
      <c r="E14" s="1085">
        <f t="shared" si="7"/>
        <v>75251</v>
      </c>
      <c r="F14" s="1085">
        <f t="shared" si="7"/>
        <v>733387</v>
      </c>
      <c r="G14" s="1085">
        <f t="shared" si="7"/>
        <v>5505131</v>
      </c>
      <c r="H14" s="2729">
        <f t="shared" si="7"/>
        <v>9616485</v>
      </c>
      <c r="I14" s="2728">
        <f>I15+I17</f>
        <v>4792891.6400000006</v>
      </c>
      <c r="J14" s="2730">
        <f t="shared" si="2"/>
        <v>30.086724543124049</v>
      </c>
      <c r="K14" s="1085">
        <f>K15+K17</f>
        <v>3984253.64</v>
      </c>
      <c r="L14" s="2273">
        <f t="shared" si="3"/>
        <v>72.373457416363024</v>
      </c>
      <c r="M14" s="1086">
        <f t="shared" si="4"/>
        <v>-1520877.3599999999</v>
      </c>
      <c r="N14" s="3738" t="s">
        <v>78</v>
      </c>
    </row>
    <row r="15" spans="1:104" ht="12" customHeight="1" x14ac:dyDescent="0.2">
      <c r="A15" s="3286"/>
      <c r="B15" s="1087" t="s">
        <v>17</v>
      </c>
      <c r="C15" s="3741" t="s">
        <v>78</v>
      </c>
      <c r="D15" s="2658">
        <f>D16</f>
        <v>227950</v>
      </c>
      <c r="E15" s="1089">
        <f>+E16</f>
        <v>11289</v>
      </c>
      <c r="F15" s="1089">
        <f>+F16</f>
        <v>28906</v>
      </c>
      <c r="G15" s="1089">
        <f>+G16</f>
        <v>138706</v>
      </c>
      <c r="H15" s="1090">
        <f>+H16</f>
        <v>49049</v>
      </c>
      <c r="I15" s="2731">
        <f>+I16</f>
        <v>131248.82999999999</v>
      </c>
      <c r="J15" s="2732">
        <f t="shared" si="2"/>
        <v>57.577903048914223</v>
      </c>
      <c r="K15" s="2733">
        <f>+K16</f>
        <v>91053.829999999987</v>
      </c>
      <c r="L15" s="2280">
        <f t="shared" si="3"/>
        <v>65.645199198304311</v>
      </c>
      <c r="M15" s="2734">
        <f t="shared" si="4"/>
        <v>-47652.170000000013</v>
      </c>
      <c r="N15" s="3739"/>
    </row>
    <row r="16" spans="1:104" ht="15" customHeight="1" x14ac:dyDescent="0.2">
      <c r="A16" s="3286"/>
      <c r="B16" s="324" t="s">
        <v>4</v>
      </c>
      <c r="C16" s="3742"/>
      <c r="D16" s="2289">
        <f t="shared" ref="D16:I16" si="8">D25+D43+D34</f>
        <v>227950</v>
      </c>
      <c r="E16" s="1097">
        <f t="shared" si="8"/>
        <v>11289</v>
      </c>
      <c r="F16" s="1097">
        <f t="shared" si="8"/>
        <v>28906</v>
      </c>
      <c r="G16" s="1097">
        <f t="shared" si="8"/>
        <v>138706</v>
      </c>
      <c r="H16" s="2735">
        <f t="shared" si="8"/>
        <v>49049</v>
      </c>
      <c r="I16" s="2289">
        <f t="shared" si="8"/>
        <v>131248.82999999999</v>
      </c>
      <c r="J16" s="2736">
        <f t="shared" si="2"/>
        <v>57.577903048914223</v>
      </c>
      <c r="K16" s="1097">
        <f>K25+K43+K34</f>
        <v>91053.829999999987</v>
      </c>
      <c r="L16" s="2283">
        <f t="shared" si="3"/>
        <v>65.645199198304311</v>
      </c>
      <c r="M16" s="1098">
        <f t="shared" si="4"/>
        <v>-47652.170000000013</v>
      </c>
      <c r="N16" s="3739"/>
    </row>
    <row r="17" spans="1:14" ht="14.25" customHeight="1" x14ac:dyDescent="0.2">
      <c r="A17" s="3286"/>
      <c r="B17" s="306" t="s">
        <v>12</v>
      </c>
      <c r="C17" s="3742"/>
      <c r="D17" s="2669">
        <f t="shared" ref="D17:H17" si="9">D18</f>
        <v>15702304</v>
      </c>
      <c r="E17" s="1089">
        <f t="shared" si="9"/>
        <v>63962</v>
      </c>
      <c r="F17" s="1089">
        <f t="shared" si="9"/>
        <v>704481</v>
      </c>
      <c r="G17" s="2674">
        <f t="shared" si="9"/>
        <v>5366425</v>
      </c>
      <c r="H17" s="1090">
        <f t="shared" si="9"/>
        <v>9567436</v>
      </c>
      <c r="I17" s="2731">
        <f t="shared" ref="I17:K17" si="10">I18</f>
        <v>4661642.8100000005</v>
      </c>
      <c r="J17" s="2673">
        <f t="shared" si="2"/>
        <v>29.687635712568046</v>
      </c>
      <c r="K17" s="1089">
        <f t="shared" si="10"/>
        <v>3893199.81</v>
      </c>
      <c r="L17" s="2737">
        <f t="shared" si="3"/>
        <v>72.547362722855539</v>
      </c>
      <c r="M17" s="2670">
        <f t="shared" si="4"/>
        <v>-1473225.19</v>
      </c>
      <c r="N17" s="3739"/>
    </row>
    <row r="18" spans="1:14" ht="13.5" customHeight="1" x14ac:dyDescent="0.2">
      <c r="A18" s="3286"/>
      <c r="B18" s="2738" t="s">
        <v>14</v>
      </c>
      <c r="C18" s="3771"/>
      <c r="D18" s="2665">
        <f t="shared" ref="D18:I18" si="11">D27+D45+D52+D59+D66+D36+D73</f>
        <v>15702304</v>
      </c>
      <c r="E18" s="1111">
        <f t="shared" si="11"/>
        <v>63962</v>
      </c>
      <c r="F18" s="1111">
        <f t="shared" si="11"/>
        <v>704481</v>
      </c>
      <c r="G18" s="1111">
        <f t="shared" si="11"/>
        <v>5366425</v>
      </c>
      <c r="H18" s="2666">
        <f t="shared" si="11"/>
        <v>9567436</v>
      </c>
      <c r="I18" s="2665">
        <f t="shared" si="11"/>
        <v>4661642.8100000005</v>
      </c>
      <c r="J18" s="2739">
        <f t="shared" si="2"/>
        <v>29.687635712568046</v>
      </c>
      <c r="K18" s="1111">
        <f>K27+K45+K52+K59+K66+K36+K73</f>
        <v>3893199.81</v>
      </c>
      <c r="L18" s="2739">
        <f t="shared" si="3"/>
        <v>72.547362722855539</v>
      </c>
      <c r="M18" s="1103">
        <f t="shared" si="4"/>
        <v>-1473225.19</v>
      </c>
      <c r="N18" s="3739"/>
    </row>
    <row r="19" spans="1:14" ht="18.75" customHeight="1" x14ac:dyDescent="0.2">
      <c r="A19" s="3286"/>
      <c r="B19" s="334" t="s">
        <v>16</v>
      </c>
      <c r="C19" s="27"/>
      <c r="D19" s="2651">
        <f>D20</f>
        <v>15702304</v>
      </c>
      <c r="E19" s="759">
        <f t="shared" ref="E19:H20" si="12">E20</f>
        <v>1291</v>
      </c>
      <c r="F19" s="759">
        <f t="shared" si="12"/>
        <v>739466</v>
      </c>
      <c r="G19" s="759">
        <f t="shared" si="12"/>
        <v>2700575</v>
      </c>
      <c r="H19" s="2740">
        <f t="shared" si="12"/>
        <v>12260972</v>
      </c>
      <c r="I19" s="1060">
        <f t="shared" ref="I19:K20" si="13">I20</f>
        <v>3459887</v>
      </c>
      <c r="J19" s="1009">
        <f t="shared" si="2"/>
        <v>22.034263252067976</v>
      </c>
      <c r="K19" s="759">
        <f t="shared" si="13"/>
        <v>2719130</v>
      </c>
      <c r="L19" s="1009">
        <f t="shared" si="3"/>
        <v>100.68707590050268</v>
      </c>
      <c r="M19" s="1105">
        <f t="shared" si="4"/>
        <v>18555</v>
      </c>
      <c r="N19" s="3739"/>
    </row>
    <row r="20" spans="1:14" ht="15" customHeight="1" x14ac:dyDescent="0.2">
      <c r="A20" s="3286"/>
      <c r="B20" s="353" t="s">
        <v>12</v>
      </c>
      <c r="C20" s="3772" t="s">
        <v>78</v>
      </c>
      <c r="D20" s="2680">
        <f>D21</f>
        <v>15702304</v>
      </c>
      <c r="E20" s="1108">
        <f t="shared" si="12"/>
        <v>1291</v>
      </c>
      <c r="F20" s="1108">
        <f t="shared" si="12"/>
        <v>739466</v>
      </c>
      <c r="G20" s="1108">
        <f t="shared" si="12"/>
        <v>2700575</v>
      </c>
      <c r="H20" s="1109">
        <f t="shared" si="12"/>
        <v>12260972</v>
      </c>
      <c r="I20" s="2741">
        <f t="shared" si="13"/>
        <v>3459887</v>
      </c>
      <c r="J20" s="2742">
        <f t="shared" si="2"/>
        <v>22.034263252067976</v>
      </c>
      <c r="K20" s="1108">
        <f t="shared" si="13"/>
        <v>2719130</v>
      </c>
      <c r="L20" s="2742">
        <f t="shared" si="3"/>
        <v>100.68707590050268</v>
      </c>
      <c r="M20" s="1110">
        <f t="shared" si="4"/>
        <v>18555</v>
      </c>
      <c r="N20" s="3739"/>
    </row>
    <row r="21" spans="1:14" ht="15" customHeight="1" thickBot="1" x14ac:dyDescent="0.25">
      <c r="A21" s="3286"/>
      <c r="B21" s="2738" t="s">
        <v>14</v>
      </c>
      <c r="C21" s="3771"/>
      <c r="D21" s="2743">
        <f>D30+D48+D55+D62+D69+D39+D76</f>
        <v>15702304</v>
      </c>
      <c r="E21" s="2684">
        <f>E30+E48+E55+E62+E69+E39</f>
        <v>1291</v>
      </c>
      <c r="F21" s="2684">
        <f>F30+F48+F55+F62+F69+F39+F76</f>
        <v>739466</v>
      </c>
      <c r="G21" s="2684">
        <f>G30+G48+G55+G62+G69+G39+G76</f>
        <v>2700575</v>
      </c>
      <c r="H21" s="2685">
        <f>H30+H48+H55+H62+H69+H39+H76</f>
        <v>12260972</v>
      </c>
      <c r="I21" s="2744">
        <f>I30+I48+I55+I62+I69+I39+I76</f>
        <v>3459887</v>
      </c>
      <c r="J21" s="2745">
        <f t="shared" si="2"/>
        <v>22.034263252067976</v>
      </c>
      <c r="K21" s="2684">
        <f>K30+K48+K55+K62+K69+K39+K76</f>
        <v>2719130</v>
      </c>
      <c r="L21" s="2745">
        <f t="shared" si="3"/>
        <v>100.68707590050268</v>
      </c>
      <c r="M21" s="2746">
        <f t="shared" si="4"/>
        <v>18555</v>
      </c>
      <c r="N21" s="3739"/>
    </row>
    <row r="22" spans="1:14" ht="54" customHeight="1" x14ac:dyDescent="0.2">
      <c r="A22" s="3728" t="s">
        <v>32</v>
      </c>
      <c r="B22" s="2747" t="s">
        <v>194</v>
      </c>
      <c r="C22" s="2688" t="s">
        <v>173</v>
      </c>
      <c r="D22" s="2690"/>
      <c r="E22" s="2690"/>
      <c r="F22" s="2690"/>
      <c r="G22" s="2690"/>
      <c r="H22" s="2749"/>
      <c r="I22" s="2689"/>
      <c r="J22" s="1647"/>
      <c r="K22" s="2692"/>
      <c r="L22" s="1647"/>
      <c r="M22" s="2749">
        <f t="shared" ref="M22" si="14">+K22-G22*0.5</f>
        <v>0</v>
      </c>
      <c r="N22" s="3725" t="s">
        <v>195</v>
      </c>
    </row>
    <row r="23" spans="1:14" ht="15" customHeight="1" x14ac:dyDescent="0.2">
      <c r="A23" s="3757"/>
      <c r="B23" s="334" t="s">
        <v>2</v>
      </c>
      <c r="C23" s="27"/>
      <c r="D23" s="415">
        <f t="shared" ref="D23" si="15">+D24+D26</f>
        <v>619664</v>
      </c>
      <c r="E23" s="416">
        <f>+E24+E26</f>
        <v>75251</v>
      </c>
      <c r="F23" s="416">
        <f>F24+F26</f>
        <v>89219</v>
      </c>
      <c r="G23" s="416">
        <f t="shared" ref="G23:H23" si="16">+G24+G26</f>
        <v>342694</v>
      </c>
      <c r="H23" s="453">
        <f t="shared" si="16"/>
        <v>112500</v>
      </c>
      <c r="I23" s="415">
        <f t="shared" ref="I23" si="17">+I24+I26</f>
        <v>427987.03</v>
      </c>
      <c r="J23" s="29">
        <f t="shared" ref="J23:J30" si="18">I23/D23*100</f>
        <v>69.067596310258466</v>
      </c>
      <c r="K23" s="416">
        <f>K24+K26</f>
        <v>263517.02999999997</v>
      </c>
      <c r="L23" s="29">
        <f t="shared" ref="L23:L30" si="19">K23/G23*100</f>
        <v>76.895723298336122</v>
      </c>
      <c r="M23" s="453">
        <f t="shared" ref="M23:M30" si="20">+K23-G23</f>
        <v>-79176.97000000003</v>
      </c>
      <c r="N23" s="3726"/>
    </row>
    <row r="24" spans="1:14" ht="15" customHeight="1" x14ac:dyDescent="0.2">
      <c r="A24" s="3757"/>
      <c r="B24" s="454" t="s">
        <v>17</v>
      </c>
      <c r="C24" s="3086" t="s">
        <v>196</v>
      </c>
      <c r="D24" s="558">
        <f t="shared" ref="D24:I24" si="21">+D25</f>
        <v>92950</v>
      </c>
      <c r="E24" s="559">
        <f t="shared" si="21"/>
        <v>11289</v>
      </c>
      <c r="F24" s="1651">
        <f>F25</f>
        <v>13383</v>
      </c>
      <c r="G24" s="559">
        <f t="shared" si="21"/>
        <v>51403</v>
      </c>
      <c r="H24" s="604">
        <f t="shared" si="21"/>
        <v>16875</v>
      </c>
      <c r="I24" s="558">
        <f t="shared" si="21"/>
        <v>64199.63</v>
      </c>
      <c r="J24" s="1650">
        <f t="shared" si="18"/>
        <v>69.068994082840234</v>
      </c>
      <c r="K24" s="1651">
        <f>K25</f>
        <v>39527.629999999997</v>
      </c>
      <c r="L24" s="1650">
        <f t="shared" si="19"/>
        <v>76.897515709199851</v>
      </c>
      <c r="M24" s="604">
        <f t="shared" si="20"/>
        <v>-11875.370000000003</v>
      </c>
      <c r="N24" s="3726"/>
    </row>
    <row r="25" spans="1:14" ht="15" customHeight="1" x14ac:dyDescent="0.2">
      <c r="A25" s="3757"/>
      <c r="B25" s="460" t="s">
        <v>4</v>
      </c>
      <c r="C25" s="3087"/>
      <c r="D25" s="461">
        <f>+E25+F25+G25+H25</f>
        <v>92950</v>
      </c>
      <c r="E25" s="463">
        <v>11289</v>
      </c>
      <c r="F25" s="463">
        <v>13383</v>
      </c>
      <c r="G25" s="463">
        <v>51403</v>
      </c>
      <c r="H25" s="467">
        <v>16875</v>
      </c>
      <c r="I25" s="1422">
        <f>K25+E25+F25</f>
        <v>64199.63</v>
      </c>
      <c r="J25" s="465">
        <f t="shared" si="18"/>
        <v>69.068994082840234</v>
      </c>
      <c r="K25" s="463">
        <v>39527.629999999997</v>
      </c>
      <c r="L25" s="465">
        <f t="shared" si="19"/>
        <v>76.897515709199851</v>
      </c>
      <c r="M25" s="467">
        <f t="shared" si="20"/>
        <v>-11875.370000000003</v>
      </c>
      <c r="N25" s="3726"/>
    </row>
    <row r="26" spans="1:14" ht="15" customHeight="1" x14ac:dyDescent="0.2">
      <c r="A26" s="3757"/>
      <c r="B26" s="473" t="s">
        <v>12</v>
      </c>
      <c r="C26" s="3087"/>
      <c r="D26" s="474">
        <f t="shared" ref="D26:I26" si="22">+D27</f>
        <v>526714</v>
      </c>
      <c r="E26" s="520">
        <f t="shared" si="22"/>
        <v>63962</v>
      </c>
      <c r="F26" s="916">
        <f>F27</f>
        <v>75836</v>
      </c>
      <c r="G26" s="520">
        <f t="shared" si="22"/>
        <v>291291</v>
      </c>
      <c r="H26" s="521">
        <f t="shared" si="22"/>
        <v>95625</v>
      </c>
      <c r="I26" s="474">
        <f t="shared" si="22"/>
        <v>363787.4</v>
      </c>
      <c r="J26" s="176">
        <f t="shared" si="18"/>
        <v>69.067349643259917</v>
      </c>
      <c r="K26" s="916">
        <f>K27</f>
        <v>223989.4</v>
      </c>
      <c r="L26" s="176">
        <f t="shared" si="19"/>
        <v>76.89540699849978</v>
      </c>
      <c r="M26" s="521">
        <f t="shared" si="20"/>
        <v>-67301.600000000006</v>
      </c>
      <c r="N26" s="3726"/>
    </row>
    <row r="27" spans="1:14" ht="15" customHeight="1" x14ac:dyDescent="0.2">
      <c r="A27" s="3757"/>
      <c r="B27" s="1674" t="s">
        <v>14</v>
      </c>
      <c r="C27" s="3087"/>
      <c r="D27" s="461">
        <f>+E27+F27+G27+H27</f>
        <v>526714</v>
      </c>
      <c r="E27" s="463">
        <v>63962</v>
      </c>
      <c r="F27" s="463">
        <v>75836</v>
      </c>
      <c r="G27" s="463">
        <v>291291</v>
      </c>
      <c r="H27" s="467">
        <v>95625</v>
      </c>
      <c r="I27" s="1422">
        <f>K27+E27+F27</f>
        <v>363787.4</v>
      </c>
      <c r="J27" s="465">
        <f t="shared" si="18"/>
        <v>69.067349643259917</v>
      </c>
      <c r="K27" s="463">
        <v>223989.4</v>
      </c>
      <c r="L27" s="465">
        <f t="shared" si="19"/>
        <v>76.89540699849978</v>
      </c>
      <c r="M27" s="467">
        <f t="shared" si="20"/>
        <v>-67301.600000000006</v>
      </c>
      <c r="N27" s="3726"/>
    </row>
    <row r="28" spans="1:14" ht="15" customHeight="1" x14ac:dyDescent="0.2">
      <c r="A28" s="3757"/>
      <c r="B28" s="334" t="s">
        <v>16</v>
      </c>
      <c r="C28" s="27"/>
      <c r="D28" s="415">
        <f>+D29</f>
        <v>526714</v>
      </c>
      <c r="E28" s="416">
        <f t="shared" ref="E28:H29" si="23">+E29</f>
        <v>1291</v>
      </c>
      <c r="F28" s="416">
        <f>F29</f>
        <v>77806</v>
      </c>
      <c r="G28" s="416">
        <f t="shared" si="23"/>
        <v>102000</v>
      </c>
      <c r="H28" s="453">
        <f t="shared" si="23"/>
        <v>345617</v>
      </c>
      <c r="I28" s="415">
        <f>I29</f>
        <v>136150</v>
      </c>
      <c r="J28" s="29">
        <f t="shared" si="18"/>
        <v>25.848942689960776</v>
      </c>
      <c r="K28" s="416">
        <f>K29</f>
        <v>57053</v>
      </c>
      <c r="L28" s="29">
        <f t="shared" si="19"/>
        <v>55.934313725490192</v>
      </c>
      <c r="M28" s="453">
        <f t="shared" si="20"/>
        <v>-44947</v>
      </c>
      <c r="N28" s="3726"/>
    </row>
    <row r="29" spans="1:14" ht="15" customHeight="1" x14ac:dyDescent="0.2">
      <c r="A29" s="3757"/>
      <c r="B29" s="473" t="s">
        <v>12</v>
      </c>
      <c r="C29" s="3193" t="s">
        <v>197</v>
      </c>
      <c r="D29" s="474">
        <f>+D30</f>
        <v>526714</v>
      </c>
      <c r="E29" s="475">
        <f t="shared" si="23"/>
        <v>1291</v>
      </c>
      <c r="F29" s="475">
        <f>F30</f>
        <v>77806</v>
      </c>
      <c r="G29" s="475">
        <f t="shared" si="23"/>
        <v>102000</v>
      </c>
      <c r="H29" s="479">
        <f t="shared" si="23"/>
        <v>345617</v>
      </c>
      <c r="I29" s="474">
        <f>I30</f>
        <v>136150</v>
      </c>
      <c r="J29" s="31">
        <f t="shared" si="18"/>
        <v>25.848942689960776</v>
      </c>
      <c r="K29" s="475">
        <f>K30</f>
        <v>57053</v>
      </c>
      <c r="L29" s="31">
        <f t="shared" si="19"/>
        <v>55.934313725490192</v>
      </c>
      <c r="M29" s="479">
        <f t="shared" si="20"/>
        <v>-44947</v>
      </c>
      <c r="N29" s="3726"/>
    </row>
    <row r="30" spans="1:14" s="2752" customFormat="1" ht="15" customHeight="1" thickBot="1" x14ac:dyDescent="0.25">
      <c r="A30" s="3758"/>
      <c r="B30" s="2751" t="s">
        <v>14</v>
      </c>
      <c r="C30" s="3090"/>
      <c r="D30" s="500">
        <f>+E30+F30+G30+H30</f>
        <v>526714</v>
      </c>
      <c r="E30" s="502">
        <v>1291</v>
      </c>
      <c r="F30" s="922">
        <v>77806</v>
      </c>
      <c r="G30" s="502">
        <v>102000</v>
      </c>
      <c r="H30" s="1062">
        <f>259992+85625</f>
        <v>345617</v>
      </c>
      <c r="I30" s="32">
        <f>K30+E30+F30</f>
        <v>136150</v>
      </c>
      <c r="J30" s="33">
        <f t="shared" si="18"/>
        <v>25.848942689960776</v>
      </c>
      <c r="K30" s="922">
        <v>57053</v>
      </c>
      <c r="L30" s="33">
        <f t="shared" si="19"/>
        <v>55.934313725490192</v>
      </c>
      <c r="M30" s="507">
        <f t="shared" si="20"/>
        <v>-44947</v>
      </c>
      <c r="N30" s="3727"/>
    </row>
    <row r="31" spans="1:14" s="2752" customFormat="1" ht="50.25" customHeight="1" x14ac:dyDescent="0.2">
      <c r="A31" s="3763" t="s">
        <v>35</v>
      </c>
      <c r="B31" s="2747" t="s">
        <v>341</v>
      </c>
      <c r="C31" s="2688" t="s">
        <v>168</v>
      </c>
      <c r="D31" s="2689"/>
      <c r="E31" s="2690"/>
      <c r="F31" s="2690"/>
      <c r="G31" s="2690"/>
      <c r="H31" s="2691"/>
      <c r="I31" s="2689"/>
      <c r="J31" s="1647"/>
      <c r="K31" s="2692"/>
      <c r="L31" s="1647"/>
      <c r="M31" s="2690"/>
      <c r="N31" s="3725" t="s">
        <v>195</v>
      </c>
    </row>
    <row r="32" spans="1:14" s="2752" customFormat="1" ht="15" customHeight="1" x14ac:dyDescent="0.2">
      <c r="A32" s="3764"/>
      <c r="B32" s="334" t="s">
        <v>2</v>
      </c>
      <c r="C32" s="37"/>
      <c r="D32" s="415">
        <f t="shared" ref="D32:I32" si="24">+D33+D35</f>
        <v>100000</v>
      </c>
      <c r="E32" s="416">
        <f t="shared" si="24"/>
        <v>0</v>
      </c>
      <c r="F32" s="416">
        <f t="shared" si="24"/>
        <v>0</v>
      </c>
      <c r="G32" s="416">
        <f t="shared" si="24"/>
        <v>100000</v>
      </c>
      <c r="H32" s="417">
        <f t="shared" si="24"/>
        <v>0</v>
      </c>
      <c r="I32" s="415">
        <f t="shared" si="24"/>
        <v>43900</v>
      </c>
      <c r="J32" s="29">
        <f t="shared" ref="J32:J38" si="25">I32/D32*100</f>
        <v>43.9</v>
      </c>
      <c r="K32" s="416">
        <f>+K33+K35</f>
        <v>43900</v>
      </c>
      <c r="L32" s="29">
        <f t="shared" ref="L32:L36" si="26">K32/G32*100</f>
        <v>43.9</v>
      </c>
      <c r="M32" s="416">
        <f t="shared" ref="M32:M38" si="27">+K32-G32</f>
        <v>-56100</v>
      </c>
      <c r="N32" s="3726"/>
    </row>
    <row r="33" spans="1:14" s="2752" customFormat="1" ht="15" customHeight="1" x14ac:dyDescent="0.2">
      <c r="A33" s="3764"/>
      <c r="B33" s="454" t="s">
        <v>17</v>
      </c>
      <c r="C33" s="3766" t="s">
        <v>342</v>
      </c>
      <c r="D33" s="558">
        <f t="shared" ref="D33:I33" si="28">+D34</f>
        <v>15000</v>
      </c>
      <c r="E33" s="559">
        <f t="shared" si="28"/>
        <v>0</v>
      </c>
      <c r="F33" s="559">
        <f t="shared" si="28"/>
        <v>0</v>
      </c>
      <c r="G33" s="560">
        <f t="shared" si="28"/>
        <v>15000</v>
      </c>
      <c r="H33" s="753">
        <f t="shared" si="28"/>
        <v>0</v>
      </c>
      <c r="I33" s="558">
        <f t="shared" si="28"/>
        <v>6585</v>
      </c>
      <c r="J33" s="1650">
        <f t="shared" si="25"/>
        <v>43.9</v>
      </c>
      <c r="K33" s="559">
        <f>+K34</f>
        <v>6585</v>
      </c>
      <c r="L33" s="1650">
        <f t="shared" si="26"/>
        <v>43.9</v>
      </c>
      <c r="M33" s="559">
        <f t="shared" si="27"/>
        <v>-8415</v>
      </c>
      <c r="N33" s="3726"/>
    </row>
    <row r="34" spans="1:14" s="2752" customFormat="1" ht="15" customHeight="1" x14ac:dyDescent="0.2">
      <c r="A34" s="3764"/>
      <c r="B34" s="460" t="s">
        <v>4</v>
      </c>
      <c r="C34" s="3767"/>
      <c r="D34" s="461">
        <f>+E34+F34+G34+H34</f>
        <v>15000</v>
      </c>
      <c r="E34" s="463">
        <v>0</v>
      </c>
      <c r="F34" s="463">
        <v>0</v>
      </c>
      <c r="G34" s="463">
        <v>15000</v>
      </c>
      <c r="H34" s="1066">
        <v>0</v>
      </c>
      <c r="I34" s="1422">
        <f>K34+E34+F34</f>
        <v>6585</v>
      </c>
      <c r="J34" s="465">
        <f t="shared" si="25"/>
        <v>43.9</v>
      </c>
      <c r="K34" s="463">
        <v>6585</v>
      </c>
      <c r="L34" s="465">
        <f t="shared" si="26"/>
        <v>43.9</v>
      </c>
      <c r="M34" s="463">
        <f t="shared" si="27"/>
        <v>-8415</v>
      </c>
      <c r="N34" s="3726"/>
    </row>
    <row r="35" spans="1:14" s="2752" customFormat="1" ht="15" customHeight="1" x14ac:dyDescent="0.2">
      <c r="A35" s="3764"/>
      <c r="B35" s="473" t="s">
        <v>12</v>
      </c>
      <c r="C35" s="3767"/>
      <c r="D35" s="474">
        <f>+D36</f>
        <v>85000</v>
      </c>
      <c r="E35" s="520">
        <f t="shared" ref="E35:H35" si="29">+E36</f>
        <v>0</v>
      </c>
      <c r="F35" s="520">
        <f t="shared" si="29"/>
        <v>0</v>
      </c>
      <c r="G35" s="916">
        <f t="shared" si="29"/>
        <v>85000</v>
      </c>
      <c r="H35" s="590">
        <f t="shared" si="29"/>
        <v>0</v>
      </c>
      <c r="I35" s="474">
        <f>+I36</f>
        <v>37315</v>
      </c>
      <c r="J35" s="176">
        <f t="shared" si="25"/>
        <v>43.9</v>
      </c>
      <c r="K35" s="475">
        <f>+K36</f>
        <v>37315</v>
      </c>
      <c r="L35" s="176">
        <f t="shared" si="26"/>
        <v>43.9</v>
      </c>
      <c r="M35" s="520">
        <f t="shared" si="27"/>
        <v>-47685</v>
      </c>
      <c r="N35" s="3726"/>
    </row>
    <row r="36" spans="1:14" s="2752" customFormat="1" ht="15" customHeight="1" x14ac:dyDescent="0.2">
      <c r="A36" s="3764"/>
      <c r="B36" s="1674" t="s">
        <v>14</v>
      </c>
      <c r="C36" s="3767"/>
      <c r="D36" s="461">
        <f>+E36+F36+G36+H36</f>
        <v>85000</v>
      </c>
      <c r="E36" s="463">
        <v>0</v>
      </c>
      <c r="F36" s="463">
        <v>0</v>
      </c>
      <c r="G36" s="463">
        <v>85000</v>
      </c>
      <c r="H36" s="1066">
        <v>0</v>
      </c>
      <c r="I36" s="1422">
        <f>K36+E36+F36</f>
        <v>37315</v>
      </c>
      <c r="J36" s="465">
        <f t="shared" si="25"/>
        <v>43.9</v>
      </c>
      <c r="K36" s="463">
        <v>37315</v>
      </c>
      <c r="L36" s="465">
        <f t="shared" si="26"/>
        <v>43.9</v>
      </c>
      <c r="M36" s="463">
        <f t="shared" si="27"/>
        <v>-47685</v>
      </c>
      <c r="N36" s="3726"/>
    </row>
    <row r="37" spans="1:14" s="2752" customFormat="1" ht="15" customHeight="1" x14ac:dyDescent="0.2">
      <c r="A37" s="3764"/>
      <c r="B37" s="334" t="s">
        <v>16</v>
      </c>
      <c r="C37" s="37"/>
      <c r="D37" s="415">
        <f>+D38</f>
        <v>85000</v>
      </c>
      <c r="E37" s="416">
        <f t="shared" ref="E37:H37" si="30">+E38</f>
        <v>0</v>
      </c>
      <c r="F37" s="416">
        <f>F38</f>
        <v>0</v>
      </c>
      <c r="G37" s="416">
        <f t="shared" si="30"/>
        <v>0</v>
      </c>
      <c r="H37" s="417">
        <f t="shared" si="30"/>
        <v>85000</v>
      </c>
      <c r="I37" s="415">
        <f>I38</f>
        <v>0</v>
      </c>
      <c r="J37" s="29">
        <f t="shared" si="25"/>
        <v>0</v>
      </c>
      <c r="K37" s="416">
        <f>K38</f>
        <v>0</v>
      </c>
      <c r="L37" s="29">
        <v>0</v>
      </c>
      <c r="M37" s="416">
        <f t="shared" si="27"/>
        <v>0</v>
      </c>
      <c r="N37" s="3726"/>
    </row>
    <row r="38" spans="1:14" s="2752" customFormat="1" ht="15" customHeight="1" x14ac:dyDescent="0.2">
      <c r="A38" s="3764"/>
      <c r="B38" s="473" t="s">
        <v>12</v>
      </c>
      <c r="C38" s="3768" t="s">
        <v>343</v>
      </c>
      <c r="D38" s="474">
        <f>+D39</f>
        <v>85000</v>
      </c>
      <c r="E38" s="475">
        <f>+E39</f>
        <v>0</v>
      </c>
      <c r="F38" s="475">
        <f>+F39</f>
        <v>0</v>
      </c>
      <c r="G38" s="475">
        <f>+G39</f>
        <v>0</v>
      </c>
      <c r="H38" s="592">
        <f>+H39</f>
        <v>85000</v>
      </c>
      <c r="I38" s="474">
        <f>+I39</f>
        <v>0</v>
      </c>
      <c r="J38" s="31">
        <f t="shared" si="25"/>
        <v>0</v>
      </c>
      <c r="K38" s="475">
        <f>+K39</f>
        <v>0</v>
      </c>
      <c r="L38" s="31">
        <v>0</v>
      </c>
      <c r="M38" s="475">
        <f t="shared" si="27"/>
        <v>0</v>
      </c>
      <c r="N38" s="3726"/>
    </row>
    <row r="39" spans="1:14" s="2752" customFormat="1" ht="15" customHeight="1" thickBot="1" x14ac:dyDescent="0.25">
      <c r="A39" s="3765"/>
      <c r="B39" s="2751" t="s">
        <v>14</v>
      </c>
      <c r="C39" s="3769"/>
      <c r="D39" s="500">
        <f>+E39+F39+G39+H39</f>
        <v>85000</v>
      </c>
      <c r="E39" s="502">
        <v>0</v>
      </c>
      <c r="F39" s="922">
        <v>0</v>
      </c>
      <c r="G39" s="502">
        <v>0</v>
      </c>
      <c r="H39" s="1062">
        <v>85000</v>
      </c>
      <c r="I39" s="1449">
        <f>K39+E39+F39</f>
        <v>0</v>
      </c>
      <c r="J39" s="33"/>
      <c r="K39" s="922"/>
      <c r="L39" s="33"/>
      <c r="M39" s="502"/>
      <c r="N39" s="3727"/>
    </row>
    <row r="40" spans="1:14" ht="57" customHeight="1" x14ac:dyDescent="0.2">
      <c r="A40" s="3728" t="s">
        <v>40</v>
      </c>
      <c r="B40" s="2747" t="s">
        <v>198</v>
      </c>
      <c r="C40" s="2688" t="s">
        <v>173</v>
      </c>
      <c r="D40" s="2689"/>
      <c r="E40" s="2690"/>
      <c r="F40" s="2690"/>
      <c r="G40" s="2690"/>
      <c r="H40" s="2691"/>
      <c r="I40" s="2748"/>
      <c r="J40" s="1647"/>
      <c r="K40" s="2692"/>
      <c r="L40" s="1647"/>
      <c r="M40" s="2749"/>
      <c r="N40" s="3725" t="s">
        <v>195</v>
      </c>
    </row>
    <row r="41" spans="1:14" ht="15.75" customHeight="1" x14ac:dyDescent="0.2">
      <c r="A41" s="3757"/>
      <c r="B41" s="334" t="s">
        <v>2</v>
      </c>
      <c r="C41" s="27"/>
      <c r="D41" s="415">
        <f t="shared" ref="D41:D47" si="31">E41+F41+G41+H41</f>
        <v>800000</v>
      </c>
      <c r="E41" s="593">
        <v>0</v>
      </c>
      <c r="F41" s="416">
        <f>F42+F44</f>
        <v>103502</v>
      </c>
      <c r="G41" s="453">
        <f>G42+G44</f>
        <v>482017</v>
      </c>
      <c r="H41" s="417">
        <f>H42+H44</f>
        <v>214481</v>
      </c>
      <c r="I41" s="28">
        <f>+I42+I44</f>
        <v>403109.62000000005</v>
      </c>
      <c r="J41" s="29">
        <f t="shared" ref="J41:J48" si="32">I41/D41*100</f>
        <v>50.388702500000008</v>
      </c>
      <c r="K41" s="416">
        <f>K42+K44</f>
        <v>299607.62</v>
      </c>
      <c r="L41" s="29">
        <f t="shared" ref="L41:L48" si="33">K41/G41*100</f>
        <v>62.157064999782165</v>
      </c>
      <c r="M41" s="453">
        <f t="shared" ref="M41:M55" si="34">+K41-G41</f>
        <v>-182409.38</v>
      </c>
      <c r="N41" s="3726"/>
    </row>
    <row r="42" spans="1:14" ht="15.75" customHeight="1" thickBot="1" x14ac:dyDescent="0.25">
      <c r="A42" s="3757"/>
      <c r="B42" s="454" t="s">
        <v>17</v>
      </c>
      <c r="C42" s="3086" t="s">
        <v>196</v>
      </c>
      <c r="D42" s="558">
        <f t="shared" si="31"/>
        <v>120000</v>
      </c>
      <c r="E42" s="585">
        <v>0</v>
      </c>
      <c r="F42" s="559">
        <f>F43</f>
        <v>15523</v>
      </c>
      <c r="G42" s="604">
        <f>G43</f>
        <v>72303</v>
      </c>
      <c r="H42" s="753">
        <f>H43</f>
        <v>32174</v>
      </c>
      <c r="I42" s="587">
        <f>+I43</f>
        <v>60464.2</v>
      </c>
      <c r="J42" s="1650">
        <f t="shared" si="32"/>
        <v>50.386833333333335</v>
      </c>
      <c r="K42" s="1651">
        <f>K43</f>
        <v>44941.2</v>
      </c>
      <c r="L42" s="1650">
        <f t="shared" si="33"/>
        <v>62.156756981038129</v>
      </c>
      <c r="M42" s="604">
        <f t="shared" si="34"/>
        <v>-27361.800000000003</v>
      </c>
      <c r="N42" s="3726"/>
    </row>
    <row r="43" spans="1:14" ht="15.75" customHeight="1" x14ac:dyDescent="0.2">
      <c r="A43" s="3759"/>
      <c r="B43" s="460" t="s">
        <v>4</v>
      </c>
      <c r="C43" s="3087"/>
      <c r="D43" s="461">
        <f t="shared" si="31"/>
        <v>120000</v>
      </c>
      <c r="E43" s="470">
        <v>0</v>
      </c>
      <c r="F43" s="463">
        <v>15523</v>
      </c>
      <c r="G43" s="467">
        <v>72303</v>
      </c>
      <c r="H43" s="1066">
        <v>32174</v>
      </c>
      <c r="I43" s="2750">
        <f>K43+E43+F43</f>
        <v>60464.2</v>
      </c>
      <c r="J43" s="465">
        <f t="shared" si="32"/>
        <v>50.386833333333335</v>
      </c>
      <c r="K43" s="463">
        <v>44941.2</v>
      </c>
      <c r="L43" s="465">
        <f t="shared" si="33"/>
        <v>62.156756981038129</v>
      </c>
      <c r="M43" s="467">
        <f t="shared" si="34"/>
        <v>-27361.800000000003</v>
      </c>
      <c r="N43" s="3725"/>
    </row>
    <row r="44" spans="1:14" ht="15.75" customHeight="1" x14ac:dyDescent="0.2">
      <c r="A44" s="3757"/>
      <c r="B44" s="473" t="s">
        <v>12</v>
      </c>
      <c r="C44" s="3087"/>
      <c r="D44" s="474">
        <f t="shared" si="31"/>
        <v>680000</v>
      </c>
      <c r="E44" s="477">
        <v>0</v>
      </c>
      <c r="F44" s="520">
        <f>F45</f>
        <v>87979</v>
      </c>
      <c r="G44" s="521">
        <f>G45</f>
        <v>409714</v>
      </c>
      <c r="H44" s="590">
        <f>H45</f>
        <v>182307</v>
      </c>
      <c r="I44" s="30">
        <f>+I45</f>
        <v>342645.42000000004</v>
      </c>
      <c r="J44" s="176">
        <f t="shared" si="32"/>
        <v>50.389032352941186</v>
      </c>
      <c r="K44" s="916">
        <f>K45</f>
        <v>254666.42</v>
      </c>
      <c r="L44" s="176">
        <f t="shared" si="33"/>
        <v>62.157119356429128</v>
      </c>
      <c r="M44" s="521">
        <f t="shared" si="34"/>
        <v>-155047.57999999999</v>
      </c>
      <c r="N44" s="3726"/>
    </row>
    <row r="45" spans="1:14" ht="15.75" customHeight="1" thickBot="1" x14ac:dyDescent="0.25">
      <c r="A45" s="3757"/>
      <c r="B45" s="1674" t="s">
        <v>14</v>
      </c>
      <c r="C45" s="3087"/>
      <c r="D45" s="461">
        <f t="shared" si="31"/>
        <v>680000</v>
      </c>
      <c r="E45" s="470">
        <v>0</v>
      </c>
      <c r="F45" s="463">
        <v>87979</v>
      </c>
      <c r="G45" s="467">
        <v>409714</v>
      </c>
      <c r="H45" s="1066">
        <v>182307</v>
      </c>
      <c r="I45" s="2750">
        <f>K45+E45+F45</f>
        <v>342645.42000000004</v>
      </c>
      <c r="J45" s="465">
        <f t="shared" si="32"/>
        <v>50.389032352941186</v>
      </c>
      <c r="K45" s="463">
        <v>254666.42</v>
      </c>
      <c r="L45" s="465">
        <f t="shared" si="33"/>
        <v>62.157119356429128</v>
      </c>
      <c r="M45" s="467">
        <f t="shared" si="34"/>
        <v>-155047.57999999999</v>
      </c>
      <c r="N45" s="3726"/>
    </row>
    <row r="46" spans="1:14" ht="15.75" customHeight="1" x14ac:dyDescent="0.2">
      <c r="A46" s="3759"/>
      <c r="B46" s="334" t="s">
        <v>16</v>
      </c>
      <c r="C46" s="27"/>
      <c r="D46" s="415">
        <f t="shared" si="31"/>
        <v>680000</v>
      </c>
      <c r="E46" s="593">
        <v>0</v>
      </c>
      <c r="F46" s="416">
        <f t="shared" ref="F46:H47" si="35">F47</f>
        <v>0</v>
      </c>
      <c r="G46" s="453">
        <f t="shared" si="35"/>
        <v>100000</v>
      </c>
      <c r="H46" s="417">
        <f t="shared" si="35"/>
        <v>580000</v>
      </c>
      <c r="I46" s="28">
        <f t="shared" ref="I46:I47" si="36">I47</f>
        <v>75215</v>
      </c>
      <c r="J46" s="29">
        <f t="shared" si="32"/>
        <v>11.061029411764705</v>
      </c>
      <c r="K46" s="416">
        <f>K47</f>
        <v>75215</v>
      </c>
      <c r="L46" s="29">
        <f t="shared" si="33"/>
        <v>75.215000000000003</v>
      </c>
      <c r="M46" s="453">
        <f t="shared" si="34"/>
        <v>-24785</v>
      </c>
      <c r="N46" s="3725"/>
    </row>
    <row r="47" spans="1:14" ht="15.75" customHeight="1" x14ac:dyDescent="0.2">
      <c r="A47" s="3757"/>
      <c r="B47" s="473" t="s">
        <v>12</v>
      </c>
      <c r="C47" s="3193" t="s">
        <v>197</v>
      </c>
      <c r="D47" s="474">
        <f t="shared" si="31"/>
        <v>680000</v>
      </c>
      <c r="E47" s="477">
        <v>0</v>
      </c>
      <c r="F47" s="475">
        <f t="shared" si="35"/>
        <v>0</v>
      </c>
      <c r="G47" s="479">
        <f t="shared" si="35"/>
        <v>100000</v>
      </c>
      <c r="H47" s="592">
        <f t="shared" si="35"/>
        <v>580000</v>
      </c>
      <c r="I47" s="30">
        <f t="shared" si="36"/>
        <v>75215</v>
      </c>
      <c r="J47" s="31">
        <f t="shared" si="32"/>
        <v>11.061029411764705</v>
      </c>
      <c r="K47" s="475">
        <f>K48</f>
        <v>75215</v>
      </c>
      <c r="L47" s="31">
        <f t="shared" si="33"/>
        <v>75.215000000000003</v>
      </c>
      <c r="M47" s="479">
        <f t="shared" si="34"/>
        <v>-24785</v>
      </c>
      <c r="N47" s="3726"/>
    </row>
    <row r="48" spans="1:14" ht="15.75" customHeight="1" thickBot="1" x14ac:dyDescent="0.25">
      <c r="A48" s="3760"/>
      <c r="B48" s="2753" t="s">
        <v>14</v>
      </c>
      <c r="C48" s="3762"/>
      <c r="D48" s="2754">
        <f>E48+F48+G48+H48</f>
        <v>680000</v>
      </c>
      <c r="E48" s="2755">
        <v>0</v>
      </c>
      <c r="F48" s="2756">
        <v>0</v>
      </c>
      <c r="G48" s="2757">
        <v>100000</v>
      </c>
      <c r="H48" s="2758">
        <f>280000+300000</f>
        <v>580000</v>
      </c>
      <c r="I48" s="2759">
        <f>K48+E48+F48</f>
        <v>75215</v>
      </c>
      <c r="J48" s="34">
        <f t="shared" si="32"/>
        <v>11.061029411764705</v>
      </c>
      <c r="K48" s="2760">
        <v>75215</v>
      </c>
      <c r="L48" s="34">
        <f t="shared" si="33"/>
        <v>75.215000000000003</v>
      </c>
      <c r="M48" s="507">
        <f t="shared" si="34"/>
        <v>-24785</v>
      </c>
      <c r="N48" s="3761"/>
    </row>
    <row r="49" spans="1:14" ht="41.25" customHeight="1" x14ac:dyDescent="0.2">
      <c r="A49" s="3752" t="s">
        <v>41</v>
      </c>
      <c r="B49" s="2761" t="s">
        <v>199</v>
      </c>
      <c r="C49" s="2762" t="s">
        <v>173</v>
      </c>
      <c r="D49" s="2763"/>
      <c r="E49" s="2764"/>
      <c r="F49" s="2764"/>
      <c r="G49" s="2764"/>
      <c r="H49" s="2765"/>
      <c r="I49" s="2763"/>
      <c r="J49" s="2766"/>
      <c r="K49" s="2767"/>
      <c r="L49" s="2766"/>
      <c r="M49" s="2768">
        <f t="shared" si="34"/>
        <v>0</v>
      </c>
      <c r="N49" s="3726" t="s">
        <v>195</v>
      </c>
    </row>
    <row r="50" spans="1:14" ht="15.75" customHeight="1" x14ac:dyDescent="0.2">
      <c r="A50" s="3753"/>
      <c r="B50" s="334" t="s">
        <v>2</v>
      </c>
      <c r="C50" s="2114"/>
      <c r="D50" s="1514">
        <f>+D51</f>
        <v>2470190</v>
      </c>
      <c r="E50" s="1740">
        <f t="shared" ref="E50:H51" si="37">E51</f>
        <v>0</v>
      </c>
      <c r="F50" s="35">
        <f t="shared" si="37"/>
        <v>11071</v>
      </c>
      <c r="G50" s="35">
        <f t="shared" si="37"/>
        <v>1780775</v>
      </c>
      <c r="H50" s="2769">
        <f t="shared" si="37"/>
        <v>678344</v>
      </c>
      <c r="I50" s="1514">
        <f>+I51</f>
        <v>1447840.08</v>
      </c>
      <c r="J50" s="38">
        <f t="shared" ref="J50:J55" si="38">I50/D50*100</f>
        <v>58.612498633708341</v>
      </c>
      <c r="K50" s="35">
        <f>K51</f>
        <v>1436769.08</v>
      </c>
      <c r="L50" s="38">
        <f t="shared" ref="L50:L55" si="39">K50/G50*100</f>
        <v>80.682235543513357</v>
      </c>
      <c r="M50" s="1741">
        <f t="shared" si="34"/>
        <v>-344005.91999999993</v>
      </c>
      <c r="N50" s="3726"/>
    </row>
    <row r="51" spans="1:14" ht="15.75" customHeight="1" x14ac:dyDescent="0.2">
      <c r="A51" s="3753"/>
      <c r="B51" s="495" t="s">
        <v>12</v>
      </c>
      <c r="C51" s="3086" t="s">
        <v>196</v>
      </c>
      <c r="D51" s="1444">
        <f>+D52</f>
        <v>2470190</v>
      </c>
      <c r="E51" s="2770">
        <f t="shared" si="37"/>
        <v>0</v>
      </c>
      <c r="F51" s="36">
        <f t="shared" si="37"/>
        <v>11071</v>
      </c>
      <c r="G51" s="36">
        <f t="shared" si="37"/>
        <v>1780775</v>
      </c>
      <c r="H51" s="2771">
        <f t="shared" si="37"/>
        <v>678344</v>
      </c>
      <c r="I51" s="1444">
        <f>+I52</f>
        <v>1447840.08</v>
      </c>
      <c r="J51" s="39">
        <f t="shared" si="38"/>
        <v>58.612498633708341</v>
      </c>
      <c r="K51" s="36">
        <f>K52</f>
        <v>1436769.08</v>
      </c>
      <c r="L51" s="39">
        <f t="shared" si="39"/>
        <v>80.682235543513357</v>
      </c>
      <c r="M51" s="2772">
        <f t="shared" si="34"/>
        <v>-344005.91999999993</v>
      </c>
      <c r="N51" s="3726"/>
    </row>
    <row r="52" spans="1:14" ht="15.75" customHeight="1" x14ac:dyDescent="0.2">
      <c r="A52" s="3753"/>
      <c r="B52" s="2773" t="s">
        <v>14</v>
      </c>
      <c r="C52" s="3171"/>
      <c r="D52" s="1378">
        <f>+E52+F52+G52+H52</f>
        <v>2470190</v>
      </c>
      <c r="E52" s="2366">
        <v>0</v>
      </c>
      <c r="F52" s="1424">
        <v>11071</v>
      </c>
      <c r="G52" s="1424">
        <v>1780775</v>
      </c>
      <c r="H52" s="2774">
        <v>678344</v>
      </c>
      <c r="I52" s="1422">
        <f>K52+E52+F52</f>
        <v>1447840.08</v>
      </c>
      <c r="J52" s="2775">
        <f t="shared" si="38"/>
        <v>58.612498633708341</v>
      </c>
      <c r="K52" s="1424">
        <v>1436769.08</v>
      </c>
      <c r="L52" s="2775">
        <f t="shared" si="39"/>
        <v>80.682235543513357</v>
      </c>
      <c r="M52" s="1473">
        <f t="shared" si="34"/>
        <v>-344005.91999999993</v>
      </c>
      <c r="N52" s="3726"/>
    </row>
    <row r="53" spans="1:14" ht="15.75" customHeight="1" x14ac:dyDescent="0.2">
      <c r="A53" s="3753"/>
      <c r="B53" s="334" t="s">
        <v>16</v>
      </c>
      <c r="C53" s="2114"/>
      <c r="D53" s="415">
        <f>E53+F53+G53+H53</f>
        <v>2470190</v>
      </c>
      <c r="E53" s="593">
        <f t="shared" ref="E53:H54" si="40">E54</f>
        <v>0</v>
      </c>
      <c r="F53" s="416">
        <f t="shared" si="40"/>
        <v>0</v>
      </c>
      <c r="G53" s="416">
        <f t="shared" si="40"/>
        <v>1444123</v>
      </c>
      <c r="H53" s="417">
        <f t="shared" si="40"/>
        <v>1026067</v>
      </c>
      <c r="I53" s="415">
        <f t="shared" ref="I53:I54" si="41">I54</f>
        <v>1412581</v>
      </c>
      <c r="J53" s="29">
        <f t="shared" si="38"/>
        <v>57.185115315016255</v>
      </c>
      <c r="K53" s="416">
        <f>K54</f>
        <v>1412581</v>
      </c>
      <c r="L53" s="38">
        <f t="shared" si="39"/>
        <v>97.81583701665302</v>
      </c>
      <c r="M53" s="453">
        <f t="shared" si="34"/>
        <v>-31542</v>
      </c>
      <c r="N53" s="3726"/>
    </row>
    <row r="54" spans="1:14" ht="15.75" customHeight="1" x14ac:dyDescent="0.2">
      <c r="A54" s="3753"/>
      <c r="B54" s="473" t="s">
        <v>12</v>
      </c>
      <c r="C54" s="3697" t="s">
        <v>200</v>
      </c>
      <c r="D54" s="474">
        <f>E54+F54+G54+H54</f>
        <v>2470190</v>
      </c>
      <c r="E54" s="477">
        <f t="shared" si="40"/>
        <v>0</v>
      </c>
      <c r="F54" s="475">
        <f t="shared" si="40"/>
        <v>0</v>
      </c>
      <c r="G54" s="475">
        <f t="shared" si="40"/>
        <v>1444123</v>
      </c>
      <c r="H54" s="592">
        <f t="shared" si="40"/>
        <v>1026067</v>
      </c>
      <c r="I54" s="474">
        <f t="shared" si="41"/>
        <v>1412581</v>
      </c>
      <c r="J54" s="31">
        <f t="shared" si="38"/>
        <v>57.185115315016255</v>
      </c>
      <c r="K54" s="475">
        <f>K55</f>
        <v>1412581</v>
      </c>
      <c r="L54" s="39">
        <f t="shared" si="39"/>
        <v>97.81583701665302</v>
      </c>
      <c r="M54" s="479">
        <f t="shared" si="34"/>
        <v>-31542</v>
      </c>
      <c r="N54" s="3726"/>
    </row>
    <row r="55" spans="1:14" ht="15.75" customHeight="1" thickBot="1" x14ac:dyDescent="0.25">
      <c r="A55" s="3754"/>
      <c r="B55" s="1671" t="s">
        <v>14</v>
      </c>
      <c r="C55" s="3755"/>
      <c r="D55" s="500">
        <f>E55+F55+G55+H55</f>
        <v>2470190</v>
      </c>
      <c r="E55" s="526">
        <v>0</v>
      </c>
      <c r="F55" s="502">
        <v>0</v>
      </c>
      <c r="G55" s="502">
        <v>1444123</v>
      </c>
      <c r="H55" s="1062">
        <f>945964+80103</f>
        <v>1026067</v>
      </c>
      <c r="I55" s="1449">
        <f>K55+E55+F55</f>
        <v>1412581</v>
      </c>
      <c r="J55" s="33">
        <f t="shared" si="38"/>
        <v>57.185115315016255</v>
      </c>
      <c r="K55" s="922">
        <v>1412581</v>
      </c>
      <c r="L55" s="2775">
        <f t="shared" si="39"/>
        <v>97.81583701665302</v>
      </c>
      <c r="M55" s="507">
        <f t="shared" si="34"/>
        <v>-31542</v>
      </c>
      <c r="N55" s="3727"/>
    </row>
    <row r="56" spans="1:14" ht="52.5" customHeight="1" thickBot="1" x14ac:dyDescent="0.25">
      <c r="A56" s="3756" t="s">
        <v>43</v>
      </c>
      <c r="B56" s="2747" t="s">
        <v>201</v>
      </c>
      <c r="C56" s="2688" t="s">
        <v>173</v>
      </c>
      <c r="D56" s="2689"/>
      <c r="E56" s="2690"/>
      <c r="F56" s="2690"/>
      <c r="G56" s="2690"/>
      <c r="H56" s="2691"/>
      <c r="I56" s="2689"/>
      <c r="J56" s="1647"/>
      <c r="K56" s="2692"/>
      <c r="L56" s="2692"/>
      <c r="M56" s="2749"/>
      <c r="N56" s="3725" t="s">
        <v>195</v>
      </c>
    </row>
    <row r="57" spans="1:14" ht="15" customHeight="1" x14ac:dyDescent="0.2">
      <c r="A57" s="3729"/>
      <c r="B57" s="334" t="s">
        <v>2</v>
      </c>
      <c r="C57" s="27"/>
      <c r="D57" s="1514">
        <f>+D58</f>
        <v>5906630</v>
      </c>
      <c r="E57" s="1740">
        <f t="shared" ref="E57:H58" si="42">E58</f>
        <v>0</v>
      </c>
      <c r="F57" s="35">
        <f t="shared" si="42"/>
        <v>529595</v>
      </c>
      <c r="G57" s="35">
        <f t="shared" si="42"/>
        <v>1743579</v>
      </c>
      <c r="H57" s="2776">
        <f t="shared" si="42"/>
        <v>3633456</v>
      </c>
      <c r="I57" s="1514">
        <f>+I58</f>
        <v>1434284.9100000001</v>
      </c>
      <c r="J57" s="38">
        <f t="shared" ref="J57:J62" si="43">I57/D57*100</f>
        <v>24.282626641587505</v>
      </c>
      <c r="K57" s="35">
        <f>K58</f>
        <v>904689.91</v>
      </c>
      <c r="L57" s="38">
        <f t="shared" ref="L57:L62" si="44">K57/G57*100</f>
        <v>51.886946906334622</v>
      </c>
      <c r="M57" s="1741">
        <f t="shared" ref="M57:M62" si="45">+K57-G57</f>
        <v>-838889.09</v>
      </c>
      <c r="N57" s="3725"/>
    </row>
    <row r="58" spans="1:14" ht="15" customHeight="1" thickBot="1" x14ac:dyDescent="0.25">
      <c r="A58" s="3730"/>
      <c r="B58" s="473" t="s">
        <v>12</v>
      </c>
      <c r="C58" s="3140" t="s">
        <v>196</v>
      </c>
      <c r="D58" s="1444">
        <f>+D59</f>
        <v>5906630</v>
      </c>
      <c r="E58" s="2770">
        <f t="shared" si="42"/>
        <v>0</v>
      </c>
      <c r="F58" s="36">
        <f t="shared" si="42"/>
        <v>529595</v>
      </c>
      <c r="G58" s="36">
        <f t="shared" si="42"/>
        <v>1743579</v>
      </c>
      <c r="H58" s="2777">
        <f t="shared" si="42"/>
        <v>3633456</v>
      </c>
      <c r="I58" s="1444">
        <f>+I59</f>
        <v>1434284.9100000001</v>
      </c>
      <c r="J58" s="39">
        <f t="shared" si="43"/>
        <v>24.282626641587505</v>
      </c>
      <c r="K58" s="36">
        <f>K59</f>
        <v>904689.91</v>
      </c>
      <c r="L58" s="39">
        <f t="shared" si="44"/>
        <v>51.886946906334622</v>
      </c>
      <c r="M58" s="2772">
        <f t="shared" si="45"/>
        <v>-838889.09</v>
      </c>
      <c r="N58" s="3727"/>
    </row>
    <row r="59" spans="1:14" ht="15" customHeight="1" x14ac:dyDescent="0.2">
      <c r="A59" s="3728"/>
      <c r="B59" s="2778" t="s">
        <v>14</v>
      </c>
      <c r="C59" s="3142"/>
      <c r="D59" s="1378">
        <f>+E59+F59+G59+H59</f>
        <v>5906630</v>
      </c>
      <c r="E59" s="2366">
        <v>0</v>
      </c>
      <c r="F59" s="1424">
        <v>529595</v>
      </c>
      <c r="G59" s="1424">
        <v>1743579</v>
      </c>
      <c r="H59" s="2779">
        <v>3633456</v>
      </c>
      <c r="I59" s="1422">
        <f>K59+E59+F59</f>
        <v>1434284.9100000001</v>
      </c>
      <c r="J59" s="2775">
        <f t="shared" si="43"/>
        <v>24.282626641587505</v>
      </c>
      <c r="K59" s="1424">
        <v>904689.91</v>
      </c>
      <c r="L59" s="2775">
        <f t="shared" si="44"/>
        <v>51.886946906334622</v>
      </c>
      <c r="M59" s="1473">
        <f t="shared" si="45"/>
        <v>-838889.09</v>
      </c>
      <c r="N59" s="3725"/>
    </row>
    <row r="60" spans="1:14" ht="15" customHeight="1" x14ac:dyDescent="0.2">
      <c r="A60" s="3729"/>
      <c r="B60" s="334" t="s">
        <v>16</v>
      </c>
      <c r="C60" s="27"/>
      <c r="D60" s="451">
        <f>E60+F60+G60+H60</f>
        <v>5906630</v>
      </c>
      <c r="E60" s="593">
        <f t="shared" ref="E60:I61" si="46">E61</f>
        <v>0</v>
      </c>
      <c r="F60" s="416">
        <f t="shared" si="46"/>
        <v>661660</v>
      </c>
      <c r="G60" s="416">
        <f t="shared" si="46"/>
        <v>1020682</v>
      </c>
      <c r="H60" s="594">
        <f t="shared" si="46"/>
        <v>4224288</v>
      </c>
      <c r="I60" s="415">
        <f t="shared" si="46"/>
        <v>1802171</v>
      </c>
      <c r="J60" s="29">
        <f t="shared" si="43"/>
        <v>30.510985113338741</v>
      </c>
      <c r="K60" s="416">
        <f>K61</f>
        <v>1140511</v>
      </c>
      <c r="L60" s="29">
        <f t="shared" si="44"/>
        <v>111.74009142906409</v>
      </c>
      <c r="M60" s="453">
        <f t="shared" si="45"/>
        <v>119829</v>
      </c>
      <c r="N60" s="3726"/>
    </row>
    <row r="61" spans="1:14" ht="15" customHeight="1" x14ac:dyDescent="0.2">
      <c r="A61" s="3729"/>
      <c r="B61" s="473" t="s">
        <v>12</v>
      </c>
      <c r="C61" s="3149" t="s">
        <v>200</v>
      </c>
      <c r="D61" s="1209">
        <f>E61+F61+G61+H61</f>
        <v>5906630</v>
      </c>
      <c r="E61" s="477">
        <f t="shared" si="46"/>
        <v>0</v>
      </c>
      <c r="F61" s="475">
        <f t="shared" si="46"/>
        <v>661660</v>
      </c>
      <c r="G61" s="475">
        <f t="shared" si="46"/>
        <v>1020682</v>
      </c>
      <c r="H61" s="595">
        <f t="shared" si="46"/>
        <v>4224288</v>
      </c>
      <c r="I61" s="474">
        <f t="shared" si="46"/>
        <v>1802171</v>
      </c>
      <c r="J61" s="31">
        <f t="shared" si="43"/>
        <v>30.510985113338741</v>
      </c>
      <c r="K61" s="475">
        <f>K62</f>
        <v>1140511</v>
      </c>
      <c r="L61" s="31">
        <f t="shared" si="44"/>
        <v>111.74009142906409</v>
      </c>
      <c r="M61" s="479">
        <f t="shared" si="45"/>
        <v>119829</v>
      </c>
      <c r="N61" s="3726"/>
    </row>
    <row r="62" spans="1:14" ht="15" customHeight="1" thickBot="1" x14ac:dyDescent="0.25">
      <c r="A62" s="3730"/>
      <c r="B62" s="1671" t="s">
        <v>14</v>
      </c>
      <c r="C62" s="3150"/>
      <c r="D62" s="500">
        <f>E62+F62+G62+H62</f>
        <v>5906630</v>
      </c>
      <c r="E62" s="526">
        <v>0</v>
      </c>
      <c r="F62" s="502">
        <v>661660</v>
      </c>
      <c r="G62" s="502">
        <v>1020682</v>
      </c>
      <c r="H62" s="2702">
        <f>3255748+968540</f>
        <v>4224288</v>
      </c>
      <c r="I62" s="1449">
        <f>K62+E62+F62</f>
        <v>1802171</v>
      </c>
      <c r="J62" s="33">
        <f t="shared" si="43"/>
        <v>30.510985113338741</v>
      </c>
      <c r="K62" s="922">
        <v>1140511</v>
      </c>
      <c r="L62" s="33">
        <f t="shared" si="44"/>
        <v>111.74009142906409</v>
      </c>
      <c r="M62" s="507">
        <f t="shared" si="45"/>
        <v>119829</v>
      </c>
      <c r="N62" s="3727"/>
    </row>
    <row r="63" spans="1:14" ht="57.75" customHeight="1" x14ac:dyDescent="0.2">
      <c r="A63" s="3728" t="s">
        <v>44</v>
      </c>
      <c r="B63" s="2747" t="s">
        <v>202</v>
      </c>
      <c r="C63" s="2688" t="s">
        <v>168</v>
      </c>
      <c r="D63" s="2689"/>
      <c r="E63" s="2690"/>
      <c r="F63" s="2690"/>
      <c r="G63" s="2690"/>
      <c r="H63" s="2691"/>
      <c r="I63" s="2689"/>
      <c r="J63" s="1647"/>
      <c r="K63" s="2692"/>
      <c r="L63" s="2975"/>
      <c r="M63" s="2690"/>
      <c r="N63" s="3725" t="s">
        <v>195</v>
      </c>
    </row>
    <row r="64" spans="1:14" ht="14.25" customHeight="1" x14ac:dyDescent="0.2">
      <c r="A64" s="3729"/>
      <c r="B64" s="334" t="s">
        <v>2</v>
      </c>
      <c r="C64" s="27"/>
      <c r="D64" s="1514">
        <f>+D65</f>
        <v>33770</v>
      </c>
      <c r="E64" s="1740">
        <f t="shared" ref="E64:H65" si="47">E65</f>
        <v>0</v>
      </c>
      <c r="F64" s="35">
        <f t="shared" si="47"/>
        <v>0</v>
      </c>
      <c r="G64" s="35">
        <f t="shared" si="47"/>
        <v>33770</v>
      </c>
      <c r="H64" s="2776">
        <f t="shared" si="47"/>
        <v>0</v>
      </c>
      <c r="I64" s="1514">
        <f>+I65</f>
        <v>33770</v>
      </c>
      <c r="J64" s="38">
        <f t="shared" ref="J64:J69" si="48">I64/D64*100</f>
        <v>100</v>
      </c>
      <c r="K64" s="35">
        <f>K65</f>
        <v>33770</v>
      </c>
      <c r="L64" s="2976">
        <f t="shared" ref="L64:L69" si="49">K64/G64*100</f>
        <v>100</v>
      </c>
      <c r="M64" s="35">
        <f t="shared" ref="M64:M69" si="50">+K64-G64</f>
        <v>0</v>
      </c>
      <c r="N64" s="3726"/>
    </row>
    <row r="65" spans="1:14" ht="14.25" customHeight="1" x14ac:dyDescent="0.2">
      <c r="A65" s="3729"/>
      <c r="B65" s="473" t="s">
        <v>12</v>
      </c>
      <c r="C65" s="3086" t="s">
        <v>196</v>
      </c>
      <c r="D65" s="1444">
        <f>+D66</f>
        <v>33770</v>
      </c>
      <c r="E65" s="2770">
        <f t="shared" si="47"/>
        <v>0</v>
      </c>
      <c r="F65" s="36">
        <f t="shared" si="47"/>
        <v>0</v>
      </c>
      <c r="G65" s="36">
        <f t="shared" si="47"/>
        <v>33770</v>
      </c>
      <c r="H65" s="2777">
        <f t="shared" si="47"/>
        <v>0</v>
      </c>
      <c r="I65" s="1444">
        <f>+I66</f>
        <v>33770</v>
      </c>
      <c r="J65" s="39">
        <f t="shared" si="48"/>
        <v>100</v>
      </c>
      <c r="K65" s="36">
        <f>K66</f>
        <v>33770</v>
      </c>
      <c r="L65" s="2977">
        <f t="shared" si="49"/>
        <v>100</v>
      </c>
      <c r="M65" s="36">
        <f t="shared" si="50"/>
        <v>0</v>
      </c>
      <c r="N65" s="3726"/>
    </row>
    <row r="66" spans="1:14" ht="14.25" customHeight="1" x14ac:dyDescent="0.2">
      <c r="A66" s="3729"/>
      <c r="B66" s="2778" t="s">
        <v>14</v>
      </c>
      <c r="C66" s="3171"/>
      <c r="D66" s="1378">
        <f>+E66+F66+G66+H66</f>
        <v>33770</v>
      </c>
      <c r="E66" s="2366">
        <v>0</v>
      </c>
      <c r="F66" s="1424"/>
      <c r="G66" s="1424">
        <v>33770</v>
      </c>
      <c r="H66" s="2779">
        <v>0</v>
      </c>
      <c r="I66" s="1422">
        <f>K66+E66+F66</f>
        <v>33770</v>
      </c>
      <c r="J66" s="2775">
        <f t="shared" si="48"/>
        <v>100</v>
      </c>
      <c r="K66" s="1424">
        <v>33770</v>
      </c>
      <c r="L66" s="2978">
        <f t="shared" si="49"/>
        <v>100</v>
      </c>
      <c r="M66" s="1424">
        <f t="shared" si="50"/>
        <v>0</v>
      </c>
      <c r="N66" s="3726"/>
    </row>
    <row r="67" spans="1:14" ht="15" customHeight="1" x14ac:dyDescent="0.2">
      <c r="A67" s="3729"/>
      <c r="B67" s="334" t="s">
        <v>16</v>
      </c>
      <c r="C67" s="27"/>
      <c r="D67" s="451">
        <f>E67+F67+G67+H67</f>
        <v>33770</v>
      </c>
      <c r="E67" s="2780">
        <f t="shared" ref="E67:H68" si="51">E68</f>
        <v>0</v>
      </c>
      <c r="F67" s="2622">
        <f t="shared" si="51"/>
        <v>0</v>
      </c>
      <c r="G67" s="35">
        <f t="shared" si="51"/>
        <v>33770</v>
      </c>
      <c r="H67" s="2781">
        <f t="shared" si="51"/>
        <v>0</v>
      </c>
      <c r="I67" s="28">
        <f t="shared" ref="I67:I68" si="52">I68</f>
        <v>33770</v>
      </c>
      <c r="J67" s="38">
        <f t="shared" si="48"/>
        <v>100</v>
      </c>
      <c r="K67" s="35">
        <f>K68</f>
        <v>33770</v>
      </c>
      <c r="L67" s="2976">
        <f t="shared" si="49"/>
        <v>100</v>
      </c>
      <c r="M67" s="416">
        <f t="shared" si="50"/>
        <v>0</v>
      </c>
      <c r="N67" s="3726"/>
    </row>
    <row r="68" spans="1:14" ht="12" customHeight="1" thickBot="1" x14ac:dyDescent="0.25">
      <c r="A68" s="3729"/>
      <c r="B68" s="495" t="s">
        <v>12</v>
      </c>
      <c r="C68" s="3149" t="s">
        <v>200</v>
      </c>
      <c r="D68" s="1444">
        <f>E68+F68+G68+H68</f>
        <v>33770</v>
      </c>
      <c r="E68" s="2770">
        <f t="shared" si="51"/>
        <v>0</v>
      </c>
      <c r="F68" s="36">
        <f t="shared" si="51"/>
        <v>0</v>
      </c>
      <c r="G68" s="36">
        <f t="shared" si="51"/>
        <v>33770</v>
      </c>
      <c r="H68" s="2777">
        <f t="shared" si="51"/>
        <v>0</v>
      </c>
      <c r="I68" s="30">
        <f t="shared" si="52"/>
        <v>33770</v>
      </c>
      <c r="J68" s="39">
        <f t="shared" si="48"/>
        <v>100</v>
      </c>
      <c r="K68" s="36">
        <f>K69</f>
        <v>33770</v>
      </c>
      <c r="L68" s="2977">
        <f t="shared" si="49"/>
        <v>100</v>
      </c>
      <c r="M68" s="475">
        <f t="shared" si="50"/>
        <v>0</v>
      </c>
      <c r="N68" s="3727"/>
    </row>
    <row r="69" spans="1:14" ht="13.5" thickBot="1" x14ac:dyDescent="0.25">
      <c r="A69" s="3730"/>
      <c r="B69" s="2782" t="s">
        <v>14</v>
      </c>
      <c r="C69" s="3102"/>
      <c r="D69" s="925">
        <f>E69+F69+G69+H69</f>
        <v>33770</v>
      </c>
      <c r="E69" s="2783">
        <v>0</v>
      </c>
      <c r="F69" s="2784"/>
      <c r="G69" s="2785">
        <v>33770</v>
      </c>
      <c r="H69" s="2786"/>
      <c r="I69" s="32">
        <f>K69+E69+F69</f>
        <v>33770</v>
      </c>
      <c r="J69" s="40">
        <f t="shared" si="48"/>
        <v>100</v>
      </c>
      <c r="K69" s="41">
        <v>33770</v>
      </c>
      <c r="L69" s="2979">
        <f t="shared" si="49"/>
        <v>100</v>
      </c>
      <c r="M69" s="502">
        <f t="shared" si="50"/>
        <v>0</v>
      </c>
      <c r="N69" s="3731"/>
    </row>
    <row r="70" spans="1:14" ht="51" x14ac:dyDescent="0.2">
      <c r="A70" s="3728" t="s">
        <v>45</v>
      </c>
      <c r="B70" s="2747" t="s">
        <v>368</v>
      </c>
      <c r="C70" s="2688" t="s">
        <v>173</v>
      </c>
      <c r="D70" s="2689"/>
      <c r="E70" s="2690"/>
      <c r="F70" s="2690"/>
      <c r="G70" s="2690"/>
      <c r="H70" s="2691"/>
      <c r="I70" s="2689"/>
      <c r="J70" s="1647"/>
      <c r="K70" s="2692"/>
      <c r="L70" s="2975"/>
      <c r="M70" s="2690"/>
      <c r="N70" s="3725" t="s">
        <v>195</v>
      </c>
    </row>
    <row r="71" spans="1:14" ht="12.75" x14ac:dyDescent="0.2">
      <c r="A71" s="3729"/>
      <c r="B71" s="334" t="s">
        <v>2</v>
      </c>
      <c r="C71" s="27"/>
      <c r="D71" s="1514">
        <f>+D72</f>
        <v>6000000</v>
      </c>
      <c r="E71" s="1740">
        <f t="shared" ref="E71:H72" si="53">E72</f>
        <v>0</v>
      </c>
      <c r="F71" s="35">
        <f t="shared" si="53"/>
        <v>0</v>
      </c>
      <c r="G71" s="35">
        <f t="shared" si="53"/>
        <v>1022296</v>
      </c>
      <c r="H71" s="2776">
        <f t="shared" si="53"/>
        <v>4977704</v>
      </c>
      <c r="I71" s="1514">
        <f>+I72</f>
        <v>1002000</v>
      </c>
      <c r="J71" s="38">
        <f t="shared" ref="J71:J76" si="54">I71/D71*100</f>
        <v>16.7</v>
      </c>
      <c r="K71" s="35">
        <f>K72</f>
        <v>1002000</v>
      </c>
      <c r="L71" s="2976">
        <f t="shared" ref="L71:L73" si="55">K71/G71*100</f>
        <v>98.014665028524036</v>
      </c>
      <c r="M71" s="35">
        <f t="shared" ref="M71:M76" si="56">+K71-G71</f>
        <v>-20296</v>
      </c>
      <c r="N71" s="3726"/>
    </row>
    <row r="72" spans="1:14" ht="12.75" x14ac:dyDescent="0.2">
      <c r="A72" s="3729"/>
      <c r="B72" s="473" t="s">
        <v>12</v>
      </c>
      <c r="C72" s="3086" t="s">
        <v>342</v>
      </c>
      <c r="D72" s="1444">
        <f>+D73</f>
        <v>6000000</v>
      </c>
      <c r="E72" s="2770">
        <f t="shared" si="53"/>
        <v>0</v>
      </c>
      <c r="F72" s="36">
        <f t="shared" si="53"/>
        <v>0</v>
      </c>
      <c r="G72" s="36">
        <f t="shared" si="53"/>
        <v>1022296</v>
      </c>
      <c r="H72" s="2777">
        <f t="shared" si="53"/>
        <v>4977704</v>
      </c>
      <c r="I72" s="1444">
        <f>+I73</f>
        <v>1002000</v>
      </c>
      <c r="J72" s="39">
        <f t="shared" si="54"/>
        <v>16.7</v>
      </c>
      <c r="K72" s="36">
        <f>K73</f>
        <v>1002000</v>
      </c>
      <c r="L72" s="2977">
        <f t="shared" si="55"/>
        <v>98.014665028524036</v>
      </c>
      <c r="M72" s="36">
        <f t="shared" si="56"/>
        <v>-20296</v>
      </c>
      <c r="N72" s="3726"/>
    </row>
    <row r="73" spans="1:14" ht="12.75" x14ac:dyDescent="0.2">
      <c r="A73" s="3729"/>
      <c r="B73" s="2778" t="s">
        <v>14</v>
      </c>
      <c r="C73" s="3171"/>
      <c r="D73" s="1378">
        <f>+E73+F73+G73+H73</f>
        <v>6000000</v>
      </c>
      <c r="E73" s="2366">
        <v>0</v>
      </c>
      <c r="F73" s="1424"/>
      <c r="G73" s="1424">
        <v>1022296</v>
      </c>
      <c r="H73" s="2779">
        <f>4227704+750000</f>
        <v>4977704</v>
      </c>
      <c r="I73" s="1422">
        <f>K73+E73+F73</f>
        <v>1002000</v>
      </c>
      <c r="J73" s="2775">
        <f t="shared" si="54"/>
        <v>16.7</v>
      </c>
      <c r="K73" s="1424">
        <v>1002000</v>
      </c>
      <c r="L73" s="2978">
        <f t="shared" si="55"/>
        <v>98.014665028524036</v>
      </c>
      <c r="M73" s="1424">
        <f t="shared" si="56"/>
        <v>-20296</v>
      </c>
      <c r="N73" s="3726"/>
    </row>
    <row r="74" spans="1:14" ht="12.75" x14ac:dyDescent="0.2">
      <c r="A74" s="3729"/>
      <c r="B74" s="334" t="s">
        <v>16</v>
      </c>
      <c r="C74" s="27"/>
      <c r="D74" s="451">
        <f>E74+F74+G74+H74</f>
        <v>6000000</v>
      </c>
      <c r="E74" s="2780">
        <f t="shared" ref="E74:I75" si="57">E75</f>
        <v>0</v>
      </c>
      <c r="F74" s="2622">
        <f t="shared" si="57"/>
        <v>0</v>
      </c>
      <c r="G74" s="35">
        <f t="shared" si="57"/>
        <v>0</v>
      </c>
      <c r="H74" s="1741">
        <f t="shared" si="57"/>
        <v>6000000</v>
      </c>
      <c r="I74" s="415">
        <f t="shared" si="57"/>
        <v>0</v>
      </c>
      <c r="J74" s="38">
        <f t="shared" si="54"/>
        <v>0</v>
      </c>
      <c r="K74" s="35">
        <f>K75</f>
        <v>0</v>
      </c>
      <c r="L74" s="2980" t="s">
        <v>356</v>
      </c>
      <c r="M74" s="416">
        <f t="shared" si="56"/>
        <v>0</v>
      </c>
      <c r="N74" s="3726"/>
    </row>
    <row r="75" spans="1:14" ht="13.5" thickBot="1" x14ac:dyDescent="0.25">
      <c r="A75" s="3729"/>
      <c r="B75" s="495" t="s">
        <v>12</v>
      </c>
      <c r="C75" s="3149" t="s">
        <v>34</v>
      </c>
      <c r="D75" s="1444">
        <f>E75+F75+G75+H75</f>
        <v>6000000</v>
      </c>
      <c r="E75" s="2770">
        <f t="shared" si="57"/>
        <v>0</v>
      </c>
      <c r="F75" s="36">
        <f t="shared" si="57"/>
        <v>0</v>
      </c>
      <c r="G75" s="36">
        <f t="shared" si="57"/>
        <v>0</v>
      </c>
      <c r="H75" s="2772">
        <f t="shared" si="57"/>
        <v>6000000</v>
      </c>
      <c r="I75" s="474">
        <f t="shared" si="57"/>
        <v>0</v>
      </c>
      <c r="J75" s="39">
        <f t="shared" si="54"/>
        <v>0</v>
      </c>
      <c r="K75" s="36">
        <f>K76</f>
        <v>0</v>
      </c>
      <c r="L75" s="2981" t="s">
        <v>356</v>
      </c>
      <c r="M75" s="475">
        <f t="shared" si="56"/>
        <v>0</v>
      </c>
      <c r="N75" s="3727"/>
    </row>
    <row r="76" spans="1:14" ht="13.5" thickBot="1" x14ac:dyDescent="0.25">
      <c r="A76" s="3730"/>
      <c r="B76" s="2782" t="s">
        <v>14</v>
      </c>
      <c r="C76" s="3102"/>
      <c r="D76" s="925">
        <f>E76+F76+G76+H76</f>
        <v>6000000</v>
      </c>
      <c r="E76" s="2783">
        <v>0</v>
      </c>
      <c r="F76" s="2784"/>
      <c r="G76" s="2785">
        <v>0</v>
      </c>
      <c r="H76" s="2785">
        <f>4217574+1782426</f>
        <v>6000000</v>
      </c>
      <c r="I76" s="1449">
        <f>K76+E76+F76</f>
        <v>0</v>
      </c>
      <c r="J76" s="40">
        <f t="shared" si="54"/>
        <v>0</v>
      </c>
      <c r="K76" s="41">
        <v>0</v>
      </c>
      <c r="L76" s="2982" t="s">
        <v>356</v>
      </c>
      <c r="M76" s="502">
        <f t="shared" si="56"/>
        <v>0</v>
      </c>
      <c r="N76" s="3731"/>
    </row>
    <row r="77" spans="1:14" ht="12.75" x14ac:dyDescent="0.2">
      <c r="A77" s="2787"/>
      <c r="B77" s="2788"/>
      <c r="C77" s="2789"/>
      <c r="D77" s="2790"/>
      <c r="E77" s="2791"/>
      <c r="F77" s="2792"/>
      <c r="G77" s="2793"/>
      <c r="H77" s="2792"/>
      <c r="I77" s="2793"/>
      <c r="J77" s="2794"/>
      <c r="K77" s="2793"/>
      <c r="L77" s="2794"/>
      <c r="M77" s="2795"/>
      <c r="N77" s="2796"/>
    </row>
    <row r="78" spans="1:14" ht="20.25" customHeight="1" thickBot="1" x14ac:dyDescent="0.25">
      <c r="A78" s="2627" t="s">
        <v>323</v>
      </c>
      <c r="B78" s="2797"/>
      <c r="C78" s="2798"/>
      <c r="D78" s="2799"/>
      <c r="E78" s="2797"/>
      <c r="F78" s="2797"/>
      <c r="G78" s="2800"/>
      <c r="H78" s="2801"/>
      <c r="I78" s="2802"/>
      <c r="J78" s="2803"/>
      <c r="K78" s="2804"/>
      <c r="L78" s="2804"/>
      <c r="M78" s="2805"/>
      <c r="N78" s="2806"/>
    </row>
    <row r="79" spans="1:14" ht="18" customHeight="1" x14ac:dyDescent="0.2">
      <c r="A79" s="3743" t="s">
        <v>24</v>
      </c>
      <c r="B79" s="3746" t="s">
        <v>25</v>
      </c>
      <c r="C79" s="3406" t="s">
        <v>26</v>
      </c>
      <c r="D79" s="3010" t="s">
        <v>317</v>
      </c>
      <c r="E79" s="3011"/>
      <c r="F79" s="3011"/>
      <c r="G79" s="3011"/>
      <c r="H79" s="3012"/>
      <c r="I79" s="3749" t="s">
        <v>314</v>
      </c>
      <c r="J79" s="3750"/>
      <c r="K79" s="3750"/>
      <c r="L79" s="3750"/>
      <c r="M79" s="3751"/>
      <c r="N79" s="3317" t="s">
        <v>27</v>
      </c>
    </row>
    <row r="80" spans="1:14" ht="23.25" customHeight="1" x14ac:dyDescent="0.2">
      <c r="A80" s="3744"/>
      <c r="B80" s="3747"/>
      <c r="C80" s="3407"/>
      <c r="D80" s="3013" t="s">
        <v>0</v>
      </c>
      <c r="E80" s="3042" t="s">
        <v>163</v>
      </c>
      <c r="F80" s="3045" t="s">
        <v>286</v>
      </c>
      <c r="G80" s="3032" t="s">
        <v>260</v>
      </c>
      <c r="H80" s="3033"/>
      <c r="I80" s="3005" t="s">
        <v>311</v>
      </c>
      <c r="J80" s="3282" t="s">
        <v>309</v>
      </c>
      <c r="K80" s="3040" t="s">
        <v>313</v>
      </c>
      <c r="L80" s="3041"/>
      <c r="M80" s="3041"/>
      <c r="N80" s="3318"/>
    </row>
    <row r="81" spans="1:14" ht="36" customHeight="1" x14ac:dyDescent="0.2">
      <c r="A81" s="3744"/>
      <c r="B81" s="3747"/>
      <c r="C81" s="3407"/>
      <c r="D81" s="3014"/>
      <c r="E81" s="3043"/>
      <c r="F81" s="3046"/>
      <c r="G81" s="3034" t="s">
        <v>318</v>
      </c>
      <c r="H81" s="3036" t="s">
        <v>221</v>
      </c>
      <c r="I81" s="3006"/>
      <c r="J81" s="3283"/>
      <c r="K81" s="2998" t="s">
        <v>312</v>
      </c>
      <c r="L81" s="3230" t="s">
        <v>310</v>
      </c>
      <c r="M81" s="3232" t="s">
        <v>315</v>
      </c>
      <c r="N81" s="3318"/>
    </row>
    <row r="82" spans="1:14" ht="65.25" customHeight="1" thickBot="1" x14ac:dyDescent="0.25">
      <c r="A82" s="3745"/>
      <c r="B82" s="3748"/>
      <c r="C82" s="3408"/>
      <c r="D82" s="3234"/>
      <c r="E82" s="3235"/>
      <c r="F82" s="3236"/>
      <c r="G82" s="3237"/>
      <c r="H82" s="3238"/>
      <c r="I82" s="3336"/>
      <c r="J82" s="3284"/>
      <c r="K82" s="3229"/>
      <c r="L82" s="3231"/>
      <c r="M82" s="3233"/>
      <c r="N82" s="3319"/>
    </row>
    <row r="83" spans="1:14" ht="12.75" thickBot="1" x14ac:dyDescent="0.25">
      <c r="A83" s="3708">
        <v>1</v>
      </c>
      <c r="B83" s="3709"/>
      <c r="C83" s="2630">
        <v>2</v>
      </c>
      <c r="D83" s="1589">
        <v>3</v>
      </c>
      <c r="E83" s="1590">
        <v>4</v>
      </c>
      <c r="F83" s="1590">
        <v>5</v>
      </c>
      <c r="G83" s="1590">
        <v>4</v>
      </c>
      <c r="H83" s="1591">
        <v>5</v>
      </c>
      <c r="I83" s="1589">
        <v>6</v>
      </c>
      <c r="J83" s="1801">
        <v>7</v>
      </c>
      <c r="K83" s="1801">
        <v>8</v>
      </c>
      <c r="L83" s="1802">
        <v>9</v>
      </c>
      <c r="M83" s="1802">
        <v>12</v>
      </c>
      <c r="N83" s="1593">
        <v>10</v>
      </c>
    </row>
    <row r="84" spans="1:14" ht="13.5" thickBot="1" x14ac:dyDescent="0.25">
      <c r="A84" s="2721"/>
      <c r="B84" s="267" t="s">
        <v>164</v>
      </c>
      <c r="C84" s="268"/>
      <c r="D84" s="50">
        <f t="shared" ref="D84:I84" si="58">D85+D86</f>
        <v>8404000</v>
      </c>
      <c r="E84" s="51">
        <f t="shared" si="58"/>
        <v>0</v>
      </c>
      <c r="F84" s="51">
        <f t="shared" si="58"/>
        <v>0</v>
      </c>
      <c r="G84" s="51">
        <f t="shared" si="58"/>
        <v>0</v>
      </c>
      <c r="H84" s="55">
        <f t="shared" si="58"/>
        <v>8404000</v>
      </c>
      <c r="I84" s="50">
        <f t="shared" si="58"/>
        <v>0</v>
      </c>
      <c r="J84" s="2259">
        <f t="shared" ref="J84:J89" si="59">I84/D84*100</f>
        <v>0</v>
      </c>
      <c r="K84" s="51">
        <f>K85+K86</f>
        <v>0</v>
      </c>
      <c r="L84" s="2807" t="s">
        <v>356</v>
      </c>
      <c r="M84" s="54">
        <f t="shared" ref="M84:M89" si="60">+K84-G84*0.5</f>
        <v>0</v>
      </c>
      <c r="N84" s="2722"/>
    </row>
    <row r="85" spans="1:14" ht="13.5" thickTop="1" x14ac:dyDescent="0.2">
      <c r="A85" s="2723"/>
      <c r="B85" s="276" t="s">
        <v>165</v>
      </c>
      <c r="C85" s="277"/>
      <c r="D85" s="59">
        <f t="shared" ref="D85:I85" si="61">D91+D100+D109+D116</f>
        <v>8404000</v>
      </c>
      <c r="E85" s="279">
        <f t="shared" si="61"/>
        <v>0</v>
      </c>
      <c r="F85" s="279">
        <f t="shared" si="61"/>
        <v>0</v>
      </c>
      <c r="G85" s="279">
        <f t="shared" si="61"/>
        <v>0</v>
      </c>
      <c r="H85" s="65">
        <f t="shared" si="61"/>
        <v>8404000</v>
      </c>
      <c r="I85" s="59">
        <f t="shared" si="61"/>
        <v>0</v>
      </c>
      <c r="J85" s="2262">
        <f t="shared" si="59"/>
        <v>0</v>
      </c>
      <c r="K85" s="279">
        <f>K91+K100+K109+K116</f>
        <v>0</v>
      </c>
      <c r="L85" s="2808" t="s">
        <v>356</v>
      </c>
      <c r="M85" s="279">
        <f t="shared" si="60"/>
        <v>0</v>
      </c>
      <c r="N85" s="2724"/>
    </row>
    <row r="86" spans="1:14" ht="13.5" thickBot="1" x14ac:dyDescent="0.25">
      <c r="A86" s="2723"/>
      <c r="B86" s="1807" t="s">
        <v>166</v>
      </c>
      <c r="C86" s="1808"/>
      <c r="D86" s="2725">
        <f t="shared" ref="D86:I86" si="62">+D123</f>
        <v>0</v>
      </c>
      <c r="E86" s="940">
        <f t="shared" si="62"/>
        <v>0</v>
      </c>
      <c r="F86" s="940">
        <f t="shared" si="62"/>
        <v>0</v>
      </c>
      <c r="G86" s="940">
        <f t="shared" si="62"/>
        <v>0</v>
      </c>
      <c r="H86" s="941">
        <f t="shared" si="62"/>
        <v>0</v>
      </c>
      <c r="I86" s="2725">
        <f t="shared" si="62"/>
        <v>0</v>
      </c>
      <c r="J86" s="2809" t="s">
        <v>356</v>
      </c>
      <c r="K86" s="940">
        <f>+K123</f>
        <v>0</v>
      </c>
      <c r="L86" s="2809" t="s">
        <v>356</v>
      </c>
      <c r="M86" s="940">
        <f t="shared" si="60"/>
        <v>0</v>
      </c>
      <c r="N86" s="2724"/>
    </row>
    <row r="87" spans="1:14" ht="12.75" x14ac:dyDescent="0.2">
      <c r="A87" s="3736"/>
      <c r="B87" s="1268" t="s">
        <v>2</v>
      </c>
      <c r="C87" s="1269"/>
      <c r="D87" s="2728">
        <f>D88</f>
        <v>8404000</v>
      </c>
      <c r="E87" s="1085">
        <f t="shared" ref="E87:H87" si="63">E88</f>
        <v>0</v>
      </c>
      <c r="F87" s="1085">
        <f t="shared" si="63"/>
        <v>0</v>
      </c>
      <c r="G87" s="1085">
        <f t="shared" si="63"/>
        <v>0</v>
      </c>
      <c r="H87" s="2810">
        <f t="shared" si="63"/>
        <v>8404000</v>
      </c>
      <c r="I87" s="2728">
        <f>I88</f>
        <v>0</v>
      </c>
      <c r="J87" s="2273">
        <f t="shared" si="59"/>
        <v>0</v>
      </c>
      <c r="K87" s="2811">
        <f>K88</f>
        <v>0</v>
      </c>
      <c r="L87" s="2812" t="s">
        <v>356</v>
      </c>
      <c r="M87" s="1086">
        <f t="shared" si="60"/>
        <v>0</v>
      </c>
      <c r="N87" s="3738" t="s">
        <v>78</v>
      </c>
    </row>
    <row r="88" spans="1:14" ht="12.75" x14ac:dyDescent="0.2">
      <c r="A88" s="3737"/>
      <c r="B88" s="1087" t="s">
        <v>17</v>
      </c>
      <c r="C88" s="3741" t="s">
        <v>78</v>
      </c>
      <c r="D88" s="2658">
        <f>D89</f>
        <v>8404000</v>
      </c>
      <c r="E88" s="1089">
        <f>+E89</f>
        <v>0</v>
      </c>
      <c r="F88" s="2813">
        <f>+F89</f>
        <v>0</v>
      </c>
      <c r="G88" s="1091">
        <f>+G89</f>
        <v>0</v>
      </c>
      <c r="H88" s="1090">
        <f>+H89</f>
        <v>8404000</v>
      </c>
      <c r="I88" s="2731">
        <f>+I89</f>
        <v>0</v>
      </c>
      <c r="J88" s="2280">
        <f t="shared" si="59"/>
        <v>0</v>
      </c>
      <c r="K88" s="2814">
        <f>+K89</f>
        <v>0</v>
      </c>
      <c r="L88" s="2815" t="s">
        <v>356</v>
      </c>
      <c r="M88" s="2734">
        <f t="shared" si="60"/>
        <v>0</v>
      </c>
      <c r="N88" s="3739"/>
    </row>
    <row r="89" spans="1:14" ht="13.5" thickBot="1" x14ac:dyDescent="0.25">
      <c r="A89" s="3737"/>
      <c r="B89" s="324" t="s">
        <v>217</v>
      </c>
      <c r="C89" s="3742"/>
      <c r="D89" s="2289">
        <f t="shared" ref="D89:I89" si="64">D93+D102</f>
        <v>8404000</v>
      </c>
      <c r="E89" s="1097">
        <f t="shared" si="64"/>
        <v>0</v>
      </c>
      <c r="F89" s="2816">
        <f t="shared" si="64"/>
        <v>0</v>
      </c>
      <c r="G89" s="1098">
        <f t="shared" si="64"/>
        <v>0</v>
      </c>
      <c r="H89" s="2735">
        <f t="shared" si="64"/>
        <v>8404000</v>
      </c>
      <c r="I89" s="2289">
        <f t="shared" si="64"/>
        <v>0</v>
      </c>
      <c r="J89" s="2283">
        <f t="shared" si="59"/>
        <v>0</v>
      </c>
      <c r="K89" s="2816">
        <f t="shared" ref="K89" si="65">K93+K102</f>
        <v>0</v>
      </c>
      <c r="L89" s="2817" t="s">
        <v>356</v>
      </c>
      <c r="M89" s="1098">
        <f t="shared" si="60"/>
        <v>0</v>
      </c>
      <c r="N89" s="3740"/>
    </row>
    <row r="90" spans="1:14" ht="38.25" x14ac:dyDescent="0.2">
      <c r="A90" s="3732" t="s">
        <v>32</v>
      </c>
      <c r="B90" s="2818" t="s">
        <v>324</v>
      </c>
      <c r="C90" s="2688" t="s">
        <v>325</v>
      </c>
      <c r="D90" s="2689"/>
      <c r="E90" s="2690"/>
      <c r="F90" s="2690"/>
      <c r="G90" s="2690"/>
      <c r="H90" s="2691"/>
      <c r="I90" s="2689"/>
      <c r="J90" s="1647"/>
      <c r="K90" s="2692"/>
      <c r="L90" s="1647"/>
      <c r="M90" s="2819"/>
      <c r="N90" s="3725" t="s">
        <v>398</v>
      </c>
    </row>
    <row r="91" spans="1:14" ht="12.75" x14ac:dyDescent="0.2">
      <c r="A91" s="3733"/>
      <c r="B91" s="25" t="s">
        <v>2</v>
      </c>
      <c r="C91" s="26"/>
      <c r="D91" s="1514">
        <f>+D92</f>
        <v>8404000</v>
      </c>
      <c r="E91" s="1740">
        <f t="shared" ref="E91:H92" si="66">E92</f>
        <v>0</v>
      </c>
      <c r="F91" s="35">
        <f t="shared" si="66"/>
        <v>0</v>
      </c>
      <c r="G91" s="35">
        <f t="shared" si="66"/>
        <v>0</v>
      </c>
      <c r="H91" s="2776">
        <f t="shared" si="66"/>
        <v>8404000</v>
      </c>
      <c r="I91" s="1514">
        <f>+I92</f>
        <v>0</v>
      </c>
      <c r="J91" s="38">
        <f t="shared" ref="J91:J93" si="67">I91/D91*100</f>
        <v>0</v>
      </c>
      <c r="K91" s="35">
        <f>K92</f>
        <v>0</v>
      </c>
      <c r="L91" s="2820" t="s">
        <v>356</v>
      </c>
      <c r="M91" s="1513">
        <f t="shared" ref="M91:M93" si="68">+K91-G91*0.5</f>
        <v>0</v>
      </c>
      <c r="N91" s="3726"/>
    </row>
    <row r="92" spans="1:14" ht="12.75" x14ac:dyDescent="0.2">
      <c r="A92" s="3733"/>
      <c r="B92" s="23" t="s">
        <v>17</v>
      </c>
      <c r="C92" s="3086" t="s">
        <v>326</v>
      </c>
      <c r="D92" s="1444">
        <f>+D93</f>
        <v>8404000</v>
      </c>
      <c r="E92" s="2770">
        <f t="shared" si="66"/>
        <v>0</v>
      </c>
      <c r="F92" s="36">
        <f t="shared" si="66"/>
        <v>0</v>
      </c>
      <c r="G92" s="36">
        <f t="shared" si="66"/>
        <v>0</v>
      </c>
      <c r="H92" s="2777">
        <f t="shared" si="66"/>
        <v>8404000</v>
      </c>
      <c r="I92" s="1444">
        <f>+I93</f>
        <v>0</v>
      </c>
      <c r="J92" s="39">
        <f t="shared" si="67"/>
        <v>0</v>
      </c>
      <c r="K92" s="36">
        <f>K93</f>
        <v>0</v>
      </c>
      <c r="L92" s="2821" t="s">
        <v>356</v>
      </c>
      <c r="M92" s="2822">
        <f t="shared" si="68"/>
        <v>0</v>
      </c>
      <c r="N92" s="3726"/>
    </row>
    <row r="93" spans="1:14" ht="13.5" thickBot="1" x14ac:dyDescent="0.25">
      <c r="A93" s="3734"/>
      <c r="B93" s="24" t="s">
        <v>217</v>
      </c>
      <c r="C93" s="3735"/>
      <c r="D93" s="1398">
        <f>+E93+F93+G93+H93</f>
        <v>8404000</v>
      </c>
      <c r="E93" s="1747">
        <v>0</v>
      </c>
      <c r="F93" s="41">
        <v>0</v>
      </c>
      <c r="G93" s="41">
        <v>0</v>
      </c>
      <c r="H93" s="2823">
        <v>8404000</v>
      </c>
      <c r="I93" s="1449">
        <f>K93+E93+F93</f>
        <v>0</v>
      </c>
      <c r="J93" s="40">
        <f t="shared" si="67"/>
        <v>0</v>
      </c>
      <c r="K93" s="41">
        <v>0</v>
      </c>
      <c r="L93" s="2824" t="s">
        <v>356</v>
      </c>
      <c r="M93" s="2703">
        <f t="shared" si="68"/>
        <v>0</v>
      </c>
      <c r="N93" s="3727"/>
    </row>
    <row r="94" spans="1:14" x14ac:dyDescent="0.2">
      <c r="A94" s="2825"/>
      <c r="B94" s="2826"/>
      <c r="C94" s="1679"/>
      <c r="D94" s="2827"/>
      <c r="E94" s="2828"/>
      <c r="F94" s="2828"/>
      <c r="G94" s="2828"/>
      <c r="H94" s="2828"/>
      <c r="I94" s="1470"/>
      <c r="J94" s="2829"/>
      <c r="K94" s="2830"/>
      <c r="L94" s="2829"/>
      <c r="M94" s="2831"/>
      <c r="N94" s="2832"/>
    </row>
    <row r="95" spans="1:14" ht="12" customHeight="1" x14ac:dyDescent="0.2">
      <c r="A95" s="2825"/>
      <c r="B95" s="2826"/>
      <c r="C95" s="1679"/>
      <c r="D95" s="2827"/>
      <c r="E95" s="2828"/>
      <c r="F95" s="2828"/>
      <c r="G95" s="2828"/>
      <c r="H95" s="2828"/>
      <c r="I95" s="1470"/>
      <c r="J95" s="2829"/>
      <c r="K95" s="2830"/>
      <c r="L95" s="2829"/>
      <c r="M95" s="2831"/>
      <c r="N95" s="2832"/>
    </row>
    <row r="96" spans="1:14" ht="12" customHeight="1" x14ac:dyDescent="0.2">
      <c r="A96" s="2825"/>
      <c r="B96" s="2826"/>
      <c r="C96" s="1679"/>
      <c r="D96" s="2827"/>
      <c r="E96" s="2828"/>
      <c r="F96" s="2828"/>
      <c r="G96" s="2828"/>
      <c r="H96" s="2828"/>
      <c r="I96" s="1470"/>
      <c r="J96" s="2829"/>
      <c r="K96" s="2830"/>
      <c r="L96" s="2829"/>
      <c r="M96" s="2831"/>
      <c r="N96" s="2832"/>
    </row>
    <row r="97" spans="1:14" ht="12" customHeight="1" x14ac:dyDescent="0.2">
      <c r="A97" s="2825"/>
      <c r="B97" s="2826"/>
      <c r="C97" s="1679"/>
      <c r="D97" s="2827"/>
      <c r="E97" s="2828"/>
      <c r="F97" s="2828"/>
      <c r="G97" s="2828"/>
      <c r="H97" s="2828"/>
      <c r="I97" s="1470"/>
      <c r="J97" s="2829"/>
      <c r="K97" s="2830"/>
      <c r="L97" s="2829"/>
      <c r="M97" s="2831"/>
      <c r="N97" s="2832"/>
    </row>
    <row r="98" spans="1:14" ht="12" customHeight="1" x14ac:dyDescent="0.2">
      <c r="A98" s="2825"/>
      <c r="B98" s="2826"/>
      <c r="C98" s="1679"/>
      <c r="D98" s="2827"/>
      <c r="E98" s="2828"/>
      <c r="F98" s="2828"/>
      <c r="G98" s="2828"/>
      <c r="H98" s="2828"/>
      <c r="I98" s="1470"/>
      <c r="J98" s="2829"/>
      <c r="K98" s="2830"/>
      <c r="L98" s="2829"/>
      <c r="M98" s="2831"/>
      <c r="N98" s="2832"/>
    </row>
    <row r="99" spans="1:14" x14ac:dyDescent="0.2">
      <c r="A99" s="1584"/>
      <c r="B99" s="1585"/>
      <c r="C99" s="1585"/>
      <c r="D99" s="1585"/>
      <c r="E99" s="1585"/>
      <c r="F99" s="1585"/>
      <c r="G99" s="1585"/>
      <c r="H99" s="1585"/>
      <c r="I99" s="1585"/>
      <c r="J99" s="1585"/>
      <c r="N99" s="1793"/>
    </row>
    <row r="100" spans="1:14" x14ac:dyDescent="0.2">
      <c r="A100" s="1584"/>
      <c r="B100" s="1585"/>
      <c r="C100" s="1585"/>
      <c r="D100" s="1585"/>
      <c r="E100" s="1585"/>
      <c r="F100" s="1585"/>
      <c r="G100" s="1585"/>
      <c r="H100" s="1585"/>
      <c r="I100" s="1585"/>
      <c r="J100" s="1585"/>
      <c r="N100" s="1793"/>
    </row>
    <row r="101" spans="1:14" x14ac:dyDescent="0.2">
      <c r="A101" s="1584"/>
      <c r="B101" s="1585"/>
      <c r="C101" s="1585"/>
      <c r="D101" s="1585"/>
      <c r="E101" s="1585"/>
      <c r="F101" s="1585"/>
      <c r="G101" s="1585"/>
      <c r="H101" s="1585"/>
      <c r="I101" s="1585"/>
      <c r="J101" s="1585"/>
      <c r="N101" s="1793"/>
    </row>
    <row r="102" spans="1:14" x14ac:dyDescent="0.2">
      <c r="A102" s="1584"/>
      <c r="B102" s="1585"/>
      <c r="C102" s="1585"/>
      <c r="D102" s="1585"/>
      <c r="E102" s="1585"/>
      <c r="F102" s="1585"/>
      <c r="G102" s="1585"/>
      <c r="H102" s="1585"/>
      <c r="I102" s="1585"/>
      <c r="J102" s="1585"/>
      <c r="N102" s="1793"/>
    </row>
    <row r="103" spans="1:14" x14ac:dyDescent="0.2">
      <c r="A103" s="1584"/>
      <c r="B103" s="1585"/>
      <c r="C103" s="1585"/>
      <c r="D103" s="1585"/>
      <c r="E103" s="1585"/>
      <c r="F103" s="1585"/>
      <c r="G103" s="1585"/>
      <c r="H103" s="1585"/>
      <c r="I103" s="1585"/>
      <c r="J103" s="1585"/>
      <c r="N103" s="1793"/>
    </row>
    <row r="104" spans="1:14" x14ac:dyDescent="0.2">
      <c r="A104" s="1584"/>
      <c r="B104" s="1585"/>
      <c r="C104" s="1585"/>
      <c r="D104" s="1585"/>
      <c r="E104" s="1585"/>
      <c r="F104" s="1585"/>
      <c r="G104" s="1585"/>
      <c r="H104" s="1585"/>
      <c r="I104" s="1585"/>
      <c r="J104" s="1585"/>
      <c r="N104" s="1793"/>
    </row>
    <row r="105" spans="1:14" x14ac:dyDescent="0.2">
      <c r="A105" s="1584"/>
      <c r="B105" s="1585"/>
      <c r="C105" s="1585"/>
      <c r="D105" s="1585"/>
      <c r="E105" s="1585"/>
      <c r="F105" s="1585"/>
      <c r="G105" s="1585"/>
      <c r="H105" s="1585"/>
      <c r="I105" s="1585"/>
      <c r="J105" s="1585"/>
      <c r="N105" s="1793"/>
    </row>
    <row r="106" spans="1:14" x14ac:dyDescent="0.2">
      <c r="A106" s="1584"/>
      <c r="B106" s="1585"/>
      <c r="C106" s="1585"/>
      <c r="D106" s="1585"/>
      <c r="E106" s="1585"/>
      <c r="F106" s="1585"/>
      <c r="G106" s="1585"/>
      <c r="H106" s="1585"/>
      <c r="I106" s="1585"/>
      <c r="J106" s="1585"/>
      <c r="N106" s="1793"/>
    </row>
    <row r="107" spans="1:14" x14ac:dyDescent="0.2">
      <c r="A107" s="1584"/>
      <c r="B107" s="1585"/>
      <c r="C107" s="1585"/>
      <c r="D107" s="1585"/>
      <c r="E107" s="1585"/>
      <c r="F107" s="1585"/>
      <c r="G107" s="1585"/>
      <c r="H107" s="1585"/>
      <c r="I107" s="1585"/>
      <c r="J107" s="1585"/>
      <c r="N107" s="1793"/>
    </row>
    <row r="108" spans="1:14" x14ac:dyDescent="0.2">
      <c r="A108" s="1584"/>
      <c r="B108" s="1585"/>
      <c r="C108" s="1585"/>
      <c r="D108" s="1585"/>
      <c r="E108" s="1585"/>
      <c r="F108" s="1585"/>
      <c r="G108" s="1585"/>
      <c r="H108" s="1585"/>
      <c r="I108" s="1585"/>
      <c r="J108" s="1585"/>
      <c r="N108" s="1793"/>
    </row>
    <row r="109" spans="1:14" x14ac:dyDescent="0.2">
      <c r="A109" s="1584"/>
      <c r="B109" s="1585"/>
      <c r="C109" s="1585"/>
      <c r="D109" s="1585"/>
      <c r="E109" s="1585"/>
      <c r="F109" s="1585"/>
      <c r="G109" s="1585"/>
      <c r="H109" s="1585"/>
      <c r="I109" s="1585"/>
      <c r="J109" s="1585"/>
      <c r="N109" s="1793"/>
    </row>
    <row r="110" spans="1:14" x14ac:dyDescent="0.2">
      <c r="A110" s="1584"/>
      <c r="B110" s="1585"/>
      <c r="C110" s="1585"/>
      <c r="D110" s="1585"/>
      <c r="E110" s="1585"/>
      <c r="F110" s="1585"/>
      <c r="G110" s="1585"/>
      <c r="H110" s="1585"/>
      <c r="I110" s="1585"/>
      <c r="J110" s="1585"/>
      <c r="N110" s="1793"/>
    </row>
    <row r="111" spans="1:14" x14ac:dyDescent="0.2">
      <c r="A111" s="1584"/>
      <c r="B111" s="1585"/>
      <c r="C111" s="1585"/>
      <c r="D111" s="1585"/>
      <c r="E111" s="1585"/>
      <c r="F111" s="1585"/>
      <c r="G111" s="1585"/>
      <c r="H111" s="1585"/>
      <c r="I111" s="1585"/>
      <c r="J111" s="1585"/>
      <c r="N111" s="1793"/>
    </row>
    <row r="112" spans="1:14" x14ac:dyDescent="0.2">
      <c r="A112" s="1584"/>
      <c r="B112" s="1585"/>
      <c r="C112" s="1585"/>
      <c r="D112" s="1585"/>
      <c r="E112" s="1585"/>
      <c r="F112" s="1585"/>
      <c r="G112" s="1585"/>
      <c r="H112" s="1585"/>
      <c r="I112" s="1585"/>
      <c r="J112" s="1585"/>
      <c r="N112" s="1793"/>
    </row>
    <row r="113" spans="1:14" x14ac:dyDescent="0.2">
      <c r="A113" s="1584"/>
      <c r="B113" s="1585"/>
      <c r="C113" s="1585"/>
      <c r="D113" s="1585"/>
      <c r="E113" s="1585"/>
      <c r="F113" s="1585"/>
      <c r="G113" s="1585"/>
      <c r="H113" s="1585"/>
      <c r="I113" s="1585"/>
      <c r="J113" s="1585"/>
      <c r="N113" s="1793"/>
    </row>
    <row r="114" spans="1:14" x14ac:dyDescent="0.2">
      <c r="A114" s="1584"/>
      <c r="B114" s="1585"/>
      <c r="C114" s="1585"/>
      <c r="D114" s="1585"/>
      <c r="E114" s="1585"/>
      <c r="F114" s="1585"/>
      <c r="G114" s="1585"/>
      <c r="H114" s="1585"/>
      <c r="I114" s="1585"/>
      <c r="J114" s="1585"/>
      <c r="N114" s="1793"/>
    </row>
    <row r="115" spans="1:14" x14ac:dyDescent="0.2">
      <c r="A115" s="1584"/>
      <c r="B115" s="1585"/>
      <c r="C115" s="1585"/>
      <c r="D115" s="1585"/>
      <c r="E115" s="1585"/>
      <c r="F115" s="1585"/>
      <c r="G115" s="1585"/>
      <c r="H115" s="1585"/>
      <c r="I115" s="1585"/>
      <c r="J115" s="1585"/>
      <c r="N115" s="1793"/>
    </row>
    <row r="116" spans="1:14" x14ac:dyDescent="0.2">
      <c r="A116" s="1584"/>
      <c r="B116" s="1585"/>
      <c r="C116" s="1585"/>
      <c r="D116" s="1585"/>
      <c r="E116" s="1585"/>
      <c r="F116" s="1585"/>
      <c r="G116" s="1585"/>
      <c r="H116" s="1585"/>
      <c r="I116" s="1585"/>
      <c r="J116" s="1585"/>
      <c r="N116" s="1793"/>
    </row>
    <row r="117" spans="1:14" x14ac:dyDescent="0.2">
      <c r="A117" s="1584"/>
      <c r="B117" s="1585"/>
      <c r="C117" s="1585"/>
      <c r="D117" s="1585"/>
      <c r="E117" s="1585"/>
      <c r="F117" s="1585"/>
      <c r="G117" s="1585"/>
      <c r="H117" s="1585"/>
      <c r="I117" s="1585"/>
      <c r="J117" s="1585"/>
      <c r="N117" s="1793"/>
    </row>
    <row r="118" spans="1:14" x14ac:dyDescent="0.2">
      <c r="A118" s="1584"/>
      <c r="B118" s="1585"/>
      <c r="C118" s="1585"/>
      <c r="D118" s="1585"/>
      <c r="E118" s="1585"/>
      <c r="F118" s="1585"/>
      <c r="G118" s="1585"/>
      <c r="H118" s="1585"/>
      <c r="I118" s="1585"/>
      <c r="J118" s="1585"/>
      <c r="N118" s="1793"/>
    </row>
    <row r="119" spans="1:14" x14ac:dyDescent="0.2">
      <c r="A119" s="1584"/>
      <c r="B119" s="1585"/>
      <c r="C119" s="1585"/>
      <c r="D119" s="1585"/>
      <c r="E119" s="1585"/>
      <c r="F119" s="1585"/>
      <c r="G119" s="1585"/>
      <c r="H119" s="1585"/>
      <c r="I119" s="1585"/>
      <c r="J119" s="1585"/>
      <c r="N119" s="1793"/>
    </row>
    <row r="120" spans="1:14" x14ac:dyDescent="0.2">
      <c r="A120" s="1584"/>
      <c r="B120" s="1585"/>
      <c r="C120" s="1585"/>
      <c r="D120" s="1585"/>
      <c r="E120" s="1585"/>
      <c r="F120" s="1585"/>
      <c r="G120" s="1585"/>
      <c r="H120" s="1585"/>
      <c r="I120" s="1585"/>
      <c r="J120" s="1585"/>
      <c r="N120" s="1793"/>
    </row>
    <row r="121" spans="1:14" x14ac:dyDescent="0.2">
      <c r="A121" s="1584"/>
      <c r="B121" s="1585"/>
      <c r="C121" s="1585"/>
      <c r="D121" s="1585"/>
      <c r="E121" s="1585"/>
      <c r="F121" s="1585"/>
      <c r="G121" s="1585"/>
      <c r="H121" s="1585"/>
      <c r="I121" s="1585"/>
      <c r="J121" s="1585"/>
      <c r="N121" s="1793"/>
    </row>
    <row r="122" spans="1:14" x14ac:dyDescent="0.2">
      <c r="A122" s="1584"/>
      <c r="B122" s="1585"/>
      <c r="C122" s="1585"/>
      <c r="D122" s="1585"/>
      <c r="E122" s="1585"/>
      <c r="F122" s="1585"/>
      <c r="G122" s="1585"/>
      <c r="H122" s="1585"/>
      <c r="I122" s="1585"/>
      <c r="J122" s="1585"/>
      <c r="N122" s="1793"/>
    </row>
    <row r="123" spans="1:14" x14ac:dyDescent="0.2">
      <c r="A123" s="1584"/>
      <c r="B123" s="1585"/>
      <c r="C123" s="1585"/>
      <c r="D123" s="1585"/>
      <c r="E123" s="1585"/>
      <c r="F123" s="1585"/>
      <c r="G123" s="1585"/>
      <c r="H123" s="1585"/>
      <c r="I123" s="1585"/>
      <c r="J123" s="1585"/>
      <c r="N123" s="1793"/>
    </row>
    <row r="124" spans="1:14" x14ac:dyDescent="0.2">
      <c r="A124" s="2833"/>
      <c r="B124" s="2834"/>
      <c r="C124" s="2834"/>
      <c r="D124" s="2834"/>
      <c r="E124" s="2834"/>
      <c r="F124" s="2834"/>
      <c r="G124" s="2834"/>
      <c r="H124" s="2834"/>
      <c r="I124" s="2834"/>
      <c r="J124" s="2834"/>
      <c r="K124" s="2834"/>
      <c r="L124" s="2834"/>
      <c r="M124" s="2834"/>
      <c r="N124" s="2835"/>
    </row>
    <row r="125" spans="1:14" x14ac:dyDescent="0.2">
      <c r="A125" s="1785"/>
      <c r="B125" s="1786"/>
      <c r="C125" s="1786"/>
      <c r="D125" s="1786"/>
      <c r="E125" s="1786"/>
      <c r="F125" s="1786"/>
      <c r="G125" s="1786"/>
      <c r="H125" s="1786"/>
      <c r="I125" s="1786"/>
      <c r="J125" s="1786"/>
      <c r="K125" s="1786"/>
      <c r="L125" s="1786"/>
      <c r="M125" s="1786"/>
      <c r="N125" s="1788"/>
    </row>
    <row r="126" spans="1:14" x14ac:dyDescent="0.2">
      <c r="A126" s="1785"/>
      <c r="B126" s="1786"/>
      <c r="C126" s="1786"/>
      <c r="D126" s="1786"/>
      <c r="E126" s="1786"/>
      <c r="F126" s="1786"/>
      <c r="G126" s="1786"/>
      <c r="H126" s="1786"/>
      <c r="I126" s="1786"/>
      <c r="J126" s="1786"/>
      <c r="K126" s="1786"/>
      <c r="L126" s="1786"/>
      <c r="M126" s="1786"/>
      <c r="N126" s="1788"/>
    </row>
    <row r="127" spans="1:14" x14ac:dyDescent="0.2">
      <c r="A127" s="1785"/>
      <c r="B127" s="1786"/>
      <c r="C127" s="1786"/>
      <c r="D127" s="1786"/>
      <c r="E127" s="1786"/>
      <c r="F127" s="1786"/>
      <c r="G127" s="1786"/>
      <c r="H127" s="1786"/>
      <c r="I127" s="1786"/>
      <c r="J127" s="1786"/>
      <c r="K127" s="1786"/>
      <c r="L127" s="1786"/>
      <c r="M127" s="1786"/>
      <c r="N127" s="1788"/>
    </row>
    <row r="128" spans="1:14" x14ac:dyDescent="0.2">
      <c r="A128" s="1785"/>
      <c r="B128" s="1786"/>
      <c r="C128" s="1786"/>
      <c r="D128" s="1786"/>
      <c r="E128" s="1786"/>
      <c r="F128" s="1786"/>
      <c r="G128" s="1786"/>
      <c r="H128" s="1786"/>
      <c r="I128" s="1786"/>
      <c r="J128" s="1786"/>
      <c r="K128" s="1786"/>
      <c r="L128" s="1786"/>
      <c r="M128" s="1786"/>
      <c r="N128" s="1788"/>
    </row>
    <row r="129" spans="1:14" x14ac:dyDescent="0.2">
      <c r="A129" s="1785"/>
      <c r="B129" s="1786"/>
      <c r="C129" s="1786"/>
      <c r="D129" s="1786"/>
      <c r="E129" s="1786"/>
      <c r="F129" s="1786"/>
      <c r="G129" s="1786"/>
      <c r="H129" s="1786"/>
      <c r="I129" s="1786"/>
      <c r="J129" s="1786"/>
      <c r="K129" s="1786"/>
      <c r="L129" s="1786"/>
      <c r="M129" s="1786"/>
      <c r="N129" s="1788"/>
    </row>
    <row r="130" spans="1:14" x14ac:dyDescent="0.2">
      <c r="A130" s="1785"/>
      <c r="B130" s="1786"/>
      <c r="C130" s="1786"/>
      <c r="D130" s="1786"/>
      <c r="E130" s="1786"/>
      <c r="F130" s="1786"/>
      <c r="G130" s="1786"/>
      <c r="H130" s="1786"/>
      <c r="I130" s="1786"/>
      <c r="J130" s="1786"/>
      <c r="K130" s="1786"/>
      <c r="L130" s="1786"/>
      <c r="M130" s="1786"/>
      <c r="N130" s="1788"/>
    </row>
    <row r="131" spans="1:14" ht="12" thickBot="1" x14ac:dyDescent="0.25">
      <c r="A131" s="1789"/>
      <c r="B131" s="1790"/>
      <c r="C131" s="1790"/>
      <c r="D131" s="1790"/>
      <c r="E131" s="1790"/>
      <c r="F131" s="1790"/>
      <c r="G131" s="1790"/>
      <c r="H131" s="1790"/>
      <c r="I131" s="1790"/>
      <c r="J131" s="1790"/>
      <c r="K131" s="1790"/>
      <c r="L131" s="1790"/>
      <c r="M131" s="1790"/>
      <c r="N131" s="1792"/>
    </row>
    <row r="132" spans="1:14" x14ac:dyDescent="0.2">
      <c r="A132" s="1777"/>
      <c r="B132" s="1778"/>
      <c r="C132" s="1778"/>
      <c r="D132" s="1778"/>
      <c r="E132" s="1778"/>
      <c r="F132" s="1778"/>
      <c r="G132" s="1778"/>
      <c r="H132" s="1778"/>
      <c r="I132" s="1778"/>
      <c r="J132" s="1778"/>
      <c r="K132" s="1778"/>
      <c r="L132" s="1778"/>
      <c r="M132" s="1778"/>
      <c r="N132" s="1780"/>
    </row>
    <row r="133" spans="1:14" x14ac:dyDescent="0.2">
      <c r="A133" s="1771"/>
      <c r="B133" s="1585"/>
      <c r="C133" s="1585"/>
      <c r="D133" s="1585"/>
      <c r="E133" s="1585"/>
      <c r="F133" s="1585"/>
      <c r="G133" s="1585"/>
      <c r="H133" s="1585"/>
      <c r="I133" s="1585"/>
      <c r="J133" s="1585"/>
      <c r="N133" s="1772"/>
    </row>
    <row r="134" spans="1:14" x14ac:dyDescent="0.2">
      <c r="A134" s="1771"/>
      <c r="B134" s="1585"/>
      <c r="C134" s="1585"/>
      <c r="D134" s="1585"/>
      <c r="E134" s="1585"/>
      <c r="F134" s="1585"/>
      <c r="G134" s="1585"/>
      <c r="H134" s="1585"/>
      <c r="I134" s="1585"/>
      <c r="J134" s="1585"/>
      <c r="N134" s="1772"/>
    </row>
    <row r="135" spans="1:14" x14ac:dyDescent="0.2">
      <c r="A135" s="1771"/>
      <c r="B135" s="1585"/>
      <c r="C135" s="1585"/>
      <c r="D135" s="1585"/>
      <c r="E135" s="1585"/>
      <c r="F135" s="1585"/>
      <c r="G135" s="1585"/>
      <c r="H135" s="1585"/>
      <c r="I135" s="1585"/>
      <c r="J135" s="1585"/>
      <c r="N135" s="1772"/>
    </row>
    <row r="136" spans="1:14" x14ac:dyDescent="0.2">
      <c r="A136" s="1771"/>
      <c r="B136" s="1585"/>
      <c r="C136" s="1585"/>
      <c r="D136" s="1585"/>
      <c r="E136" s="1585"/>
      <c r="F136" s="1585"/>
      <c r="G136" s="1585"/>
      <c r="H136" s="1585"/>
      <c r="I136" s="1585"/>
      <c r="J136" s="1585"/>
      <c r="N136" s="1772"/>
    </row>
    <row r="137" spans="1:14" x14ac:dyDescent="0.2">
      <c r="A137" s="1771"/>
      <c r="B137" s="1585"/>
      <c r="C137" s="1585"/>
      <c r="D137" s="1585"/>
      <c r="E137" s="1585"/>
      <c r="F137" s="1585"/>
      <c r="G137" s="1585"/>
      <c r="H137" s="1585"/>
      <c r="I137" s="1585"/>
      <c r="J137" s="1585"/>
      <c r="N137" s="1772"/>
    </row>
    <row r="138" spans="1:14" x14ac:dyDescent="0.2">
      <c r="A138" s="1771"/>
      <c r="B138" s="1585"/>
      <c r="C138" s="1585"/>
      <c r="D138" s="1585"/>
      <c r="E138" s="1585"/>
      <c r="F138" s="1585"/>
      <c r="G138" s="1585"/>
      <c r="H138" s="1585"/>
      <c r="I138" s="1585"/>
      <c r="J138" s="1585"/>
      <c r="N138" s="1772"/>
    </row>
    <row r="139" spans="1:14" x14ac:dyDescent="0.2">
      <c r="A139" s="1771"/>
      <c r="B139" s="1585"/>
      <c r="C139" s="1585"/>
      <c r="D139" s="1585"/>
      <c r="E139" s="1585"/>
      <c r="F139" s="1585"/>
      <c r="G139" s="1585"/>
      <c r="H139" s="1585"/>
      <c r="I139" s="1585"/>
      <c r="J139" s="1585"/>
      <c r="N139" s="1772"/>
    </row>
    <row r="140" spans="1:14" ht="12" thickBot="1" x14ac:dyDescent="0.25">
      <c r="A140" s="1773"/>
      <c r="B140" s="1774"/>
      <c r="C140" s="1774"/>
      <c r="D140" s="1774"/>
      <c r="E140" s="1774"/>
      <c r="F140" s="1774"/>
      <c r="G140" s="1774"/>
      <c r="H140" s="1774"/>
      <c r="I140" s="1774"/>
      <c r="J140" s="1774"/>
      <c r="K140" s="1774"/>
      <c r="L140" s="1774"/>
      <c r="M140" s="1774"/>
      <c r="N140" s="1776"/>
    </row>
    <row r="141" spans="1:14" x14ac:dyDescent="0.2">
      <c r="A141" s="1777"/>
      <c r="B141" s="1778"/>
      <c r="C141" s="1778"/>
      <c r="D141" s="1778"/>
      <c r="E141" s="1778"/>
      <c r="F141" s="1778"/>
      <c r="G141" s="1778"/>
      <c r="H141" s="1778"/>
      <c r="I141" s="1778"/>
      <c r="J141" s="1778"/>
      <c r="K141" s="1778"/>
      <c r="L141" s="1778"/>
      <c r="M141" s="1778"/>
      <c r="N141" s="1780"/>
    </row>
    <row r="142" spans="1:14" x14ac:dyDescent="0.2">
      <c r="A142" s="1771"/>
      <c r="B142" s="1585"/>
      <c r="C142" s="1585"/>
      <c r="D142" s="1585"/>
      <c r="E142" s="1585"/>
      <c r="F142" s="1585"/>
      <c r="G142" s="1585"/>
      <c r="H142" s="1585"/>
      <c r="I142" s="1585"/>
      <c r="J142" s="1585"/>
      <c r="N142" s="1772"/>
    </row>
    <row r="143" spans="1:14" ht="12" thickBot="1" x14ac:dyDescent="0.25">
      <c r="A143" s="1773"/>
      <c r="B143" s="1774"/>
      <c r="C143" s="1774"/>
      <c r="D143" s="1774"/>
      <c r="E143" s="1774"/>
      <c r="F143" s="1774"/>
      <c r="G143" s="1774"/>
      <c r="H143" s="1774"/>
      <c r="I143" s="1774"/>
      <c r="J143" s="1774"/>
      <c r="K143" s="1774"/>
      <c r="L143" s="1774"/>
      <c r="M143" s="1774"/>
      <c r="N143" s="1776"/>
    </row>
    <row r="144" spans="1:14" x14ac:dyDescent="0.2">
      <c r="A144" s="1777"/>
      <c r="B144" s="1778"/>
      <c r="C144" s="1778"/>
      <c r="D144" s="1778"/>
      <c r="E144" s="1778"/>
      <c r="F144" s="1778"/>
      <c r="G144" s="1778"/>
      <c r="H144" s="1778"/>
      <c r="I144" s="1778"/>
      <c r="J144" s="1778"/>
      <c r="K144" s="1778"/>
      <c r="L144" s="1778"/>
      <c r="M144" s="1778"/>
      <c r="N144" s="1780"/>
    </row>
    <row r="145" spans="1:14" x14ac:dyDescent="0.2">
      <c r="A145" s="1771"/>
      <c r="B145" s="1585"/>
      <c r="C145" s="1585"/>
      <c r="D145" s="1585"/>
      <c r="E145" s="1585"/>
      <c r="F145" s="1585"/>
      <c r="G145" s="1585"/>
      <c r="H145" s="1585"/>
      <c r="I145" s="1585"/>
      <c r="J145" s="1585"/>
      <c r="N145" s="1772"/>
    </row>
    <row r="146" spans="1:14" x14ac:dyDescent="0.2">
      <c r="A146" s="1771"/>
      <c r="B146" s="1585"/>
      <c r="C146" s="1585"/>
      <c r="D146" s="1585"/>
      <c r="E146" s="1585"/>
      <c r="F146" s="1585"/>
      <c r="G146" s="1585"/>
      <c r="H146" s="1585"/>
      <c r="I146" s="1585"/>
      <c r="J146" s="1585"/>
      <c r="N146" s="1772"/>
    </row>
    <row r="147" spans="1:14" x14ac:dyDescent="0.2">
      <c r="A147" s="1771"/>
      <c r="B147" s="1585"/>
      <c r="C147" s="1585"/>
      <c r="D147" s="1585"/>
      <c r="E147" s="1585"/>
      <c r="F147" s="1585"/>
      <c r="G147" s="1585"/>
      <c r="H147" s="1585"/>
      <c r="I147" s="1585"/>
      <c r="J147" s="1585"/>
      <c r="N147" s="1772"/>
    </row>
    <row r="148" spans="1:14" x14ac:dyDescent="0.2">
      <c r="A148" s="1771"/>
      <c r="B148" s="1585"/>
      <c r="C148" s="1585"/>
      <c r="D148" s="1585"/>
      <c r="E148" s="1585"/>
      <c r="F148" s="1585"/>
      <c r="G148" s="1585"/>
      <c r="H148" s="1585"/>
      <c r="I148" s="1585"/>
      <c r="J148" s="1585"/>
      <c r="N148" s="1772"/>
    </row>
    <row r="149" spans="1:14" x14ac:dyDescent="0.2">
      <c r="A149" s="1771"/>
      <c r="B149" s="1585"/>
      <c r="C149" s="1585"/>
      <c r="D149" s="1585"/>
      <c r="E149" s="1585"/>
      <c r="F149" s="1585"/>
      <c r="G149" s="1585"/>
      <c r="H149" s="1585"/>
      <c r="I149" s="1585"/>
      <c r="J149" s="1585"/>
      <c r="N149" s="1772"/>
    </row>
    <row r="150" spans="1:14" x14ac:dyDescent="0.2">
      <c r="A150" s="1771"/>
      <c r="B150" s="1585"/>
      <c r="C150" s="1585"/>
      <c r="D150" s="1585"/>
      <c r="E150" s="1585"/>
      <c r="F150" s="1585"/>
      <c r="G150" s="1585"/>
      <c r="H150" s="1585"/>
      <c r="I150" s="1585"/>
      <c r="J150" s="1585"/>
      <c r="N150" s="1772"/>
    </row>
    <row r="151" spans="1:14" x14ac:dyDescent="0.2">
      <c r="A151" s="1771"/>
      <c r="B151" s="1585"/>
      <c r="C151" s="1585"/>
      <c r="D151" s="1585"/>
      <c r="E151" s="1585"/>
      <c r="F151" s="1585"/>
      <c r="G151" s="1585"/>
      <c r="H151" s="1585"/>
      <c r="I151" s="1585"/>
      <c r="J151" s="1585"/>
      <c r="N151" s="1772"/>
    </row>
    <row r="152" spans="1:14" ht="12" thickBot="1" x14ac:dyDescent="0.25">
      <c r="A152" s="1773"/>
      <c r="B152" s="1774"/>
      <c r="C152" s="1774"/>
      <c r="D152" s="1774"/>
      <c r="E152" s="1774"/>
      <c r="F152" s="1774"/>
      <c r="G152" s="1774"/>
      <c r="H152" s="1774"/>
      <c r="I152" s="1774"/>
      <c r="J152" s="1774"/>
      <c r="K152" s="1774"/>
      <c r="L152" s="1774"/>
      <c r="M152" s="1774"/>
      <c r="N152" s="1776"/>
    </row>
    <row r="153" spans="1:14" x14ac:dyDescent="0.2">
      <c r="A153" s="1771"/>
      <c r="B153" s="1585"/>
      <c r="C153" s="1585"/>
      <c r="D153" s="1585"/>
      <c r="E153" s="1585"/>
      <c r="F153" s="1585"/>
      <c r="G153" s="1585"/>
      <c r="H153" s="1585"/>
      <c r="I153" s="1585"/>
      <c r="J153" s="1585"/>
      <c r="N153" s="1772"/>
    </row>
    <row r="154" spans="1:14" x14ac:dyDescent="0.2">
      <c r="A154" s="1771"/>
      <c r="B154" s="1585"/>
      <c r="C154" s="1585"/>
      <c r="D154" s="1585"/>
      <c r="E154" s="1585"/>
      <c r="F154" s="1585"/>
      <c r="G154" s="1585"/>
      <c r="H154" s="1585"/>
      <c r="I154" s="1585"/>
      <c r="J154" s="1585"/>
      <c r="N154" s="1772"/>
    </row>
    <row r="155" spans="1:14" ht="12" thickBot="1" x14ac:dyDescent="0.25">
      <c r="A155" s="1773"/>
      <c r="B155" s="1774"/>
      <c r="C155" s="1774"/>
      <c r="D155" s="1774"/>
      <c r="E155" s="1774"/>
      <c r="F155" s="1774"/>
      <c r="G155" s="1774"/>
      <c r="H155" s="1774"/>
      <c r="I155" s="1774"/>
      <c r="J155" s="1774"/>
      <c r="K155" s="1774"/>
      <c r="L155" s="1774"/>
      <c r="M155" s="1774"/>
      <c r="N155" s="1776"/>
    </row>
    <row r="156" spans="1:14" x14ac:dyDescent="0.2">
      <c r="A156" s="1777"/>
      <c r="B156" s="1778"/>
      <c r="C156" s="1778"/>
      <c r="D156" s="1778"/>
      <c r="E156" s="1778"/>
      <c r="F156" s="1778"/>
      <c r="G156" s="1778"/>
      <c r="H156" s="1778"/>
      <c r="I156" s="1778"/>
      <c r="J156" s="1778"/>
      <c r="K156" s="1778"/>
      <c r="L156" s="1778"/>
      <c r="M156" s="1778"/>
      <c r="N156" s="1780"/>
    </row>
    <row r="157" spans="1:14" x14ac:dyDescent="0.2">
      <c r="A157" s="1771"/>
      <c r="B157" s="1585"/>
      <c r="C157" s="1585"/>
      <c r="D157" s="1585"/>
      <c r="E157" s="1585"/>
      <c r="F157" s="1585"/>
      <c r="G157" s="1585"/>
      <c r="H157" s="1585"/>
      <c r="I157" s="1585"/>
      <c r="J157" s="1585"/>
      <c r="N157" s="1772"/>
    </row>
    <row r="158" spans="1:14" x14ac:dyDescent="0.2">
      <c r="A158" s="1771"/>
      <c r="B158" s="1585"/>
      <c r="C158" s="1585"/>
      <c r="D158" s="1585"/>
      <c r="E158" s="1585"/>
      <c r="F158" s="1585"/>
      <c r="G158" s="1585"/>
      <c r="H158" s="1585"/>
      <c r="I158" s="1585"/>
      <c r="J158" s="1585"/>
      <c r="N158" s="1772"/>
    </row>
    <row r="159" spans="1:14" x14ac:dyDescent="0.2">
      <c r="A159" s="1771"/>
      <c r="B159" s="1585"/>
      <c r="C159" s="1585"/>
      <c r="D159" s="1585"/>
      <c r="E159" s="1585"/>
      <c r="F159" s="1585"/>
      <c r="G159" s="1585"/>
      <c r="H159" s="1585"/>
      <c r="I159" s="1585"/>
      <c r="J159" s="1585"/>
      <c r="N159" s="1772"/>
    </row>
    <row r="160" spans="1:14" x14ac:dyDescent="0.2">
      <c r="A160" s="1771"/>
      <c r="B160" s="1585"/>
      <c r="C160" s="1585"/>
      <c r="D160" s="1585"/>
      <c r="E160" s="1585"/>
      <c r="F160" s="1585"/>
      <c r="G160" s="1585"/>
      <c r="H160" s="1585"/>
      <c r="I160" s="1585"/>
      <c r="J160" s="1585"/>
      <c r="N160" s="1772"/>
    </row>
    <row r="161" spans="1:14" x14ac:dyDescent="0.2">
      <c r="A161" s="1771"/>
      <c r="B161" s="1585"/>
      <c r="C161" s="1585"/>
      <c r="D161" s="1585"/>
      <c r="E161" s="1585"/>
      <c r="F161" s="1585"/>
      <c r="G161" s="1585"/>
      <c r="H161" s="1585"/>
      <c r="I161" s="1585"/>
      <c r="J161" s="1585"/>
      <c r="N161" s="1772"/>
    </row>
    <row r="162" spans="1:14" x14ac:dyDescent="0.2">
      <c r="A162" s="1771"/>
      <c r="B162" s="1585"/>
      <c r="C162" s="1585"/>
      <c r="D162" s="1585"/>
      <c r="E162" s="1585"/>
      <c r="F162" s="1585"/>
      <c r="G162" s="1585"/>
      <c r="H162" s="1585"/>
      <c r="I162" s="1585"/>
      <c r="J162" s="1585"/>
      <c r="N162" s="1772"/>
    </row>
    <row r="163" spans="1:14" x14ac:dyDescent="0.2">
      <c r="A163" s="1771"/>
      <c r="B163" s="1585"/>
      <c r="C163" s="1585"/>
      <c r="D163" s="1585"/>
      <c r="E163" s="1585"/>
      <c r="F163" s="1585"/>
      <c r="G163" s="1585"/>
      <c r="H163" s="1585"/>
      <c r="I163" s="1585"/>
      <c r="J163" s="1585"/>
      <c r="N163" s="1772"/>
    </row>
    <row r="164" spans="1:14" x14ac:dyDescent="0.2">
      <c r="A164" s="1771"/>
      <c r="B164" s="1585"/>
      <c r="C164" s="1585"/>
      <c r="D164" s="1585"/>
      <c r="E164" s="1585"/>
      <c r="F164" s="1585"/>
      <c r="G164" s="1585"/>
      <c r="H164" s="1585"/>
      <c r="I164" s="1585"/>
      <c r="J164" s="1585"/>
      <c r="N164" s="1772"/>
    </row>
    <row r="165" spans="1:14" x14ac:dyDescent="0.2">
      <c r="A165" s="1771"/>
      <c r="B165" s="1585"/>
      <c r="C165" s="1585"/>
      <c r="D165" s="1585"/>
      <c r="E165" s="1585"/>
      <c r="F165" s="1585"/>
      <c r="G165" s="1585"/>
      <c r="H165" s="1585"/>
      <c r="I165" s="1585"/>
      <c r="J165" s="1585"/>
      <c r="N165" s="1772"/>
    </row>
    <row r="166" spans="1:14" x14ac:dyDescent="0.2">
      <c r="A166" s="1771"/>
      <c r="B166" s="1585"/>
      <c r="C166" s="1585"/>
      <c r="D166" s="1585"/>
      <c r="E166" s="1585"/>
      <c r="F166" s="1585"/>
      <c r="G166" s="1585"/>
      <c r="H166" s="1585"/>
      <c r="I166" s="1585"/>
      <c r="J166" s="1585"/>
      <c r="N166" s="1772"/>
    </row>
    <row r="167" spans="1:14" ht="12" thickBot="1" x14ac:dyDescent="0.25">
      <c r="A167" s="1773"/>
      <c r="B167" s="1774"/>
      <c r="C167" s="1774"/>
      <c r="D167" s="1774"/>
      <c r="E167" s="1774"/>
      <c r="F167" s="1774"/>
      <c r="G167" s="1774"/>
      <c r="H167" s="1774"/>
      <c r="I167" s="1774"/>
      <c r="J167" s="1774"/>
      <c r="K167" s="1774"/>
      <c r="L167" s="1774"/>
      <c r="M167" s="1774"/>
      <c r="N167" s="1776"/>
    </row>
    <row r="168" spans="1:14" x14ac:dyDescent="0.2">
      <c r="A168" s="1777"/>
      <c r="B168" s="1778"/>
      <c r="C168" s="1778"/>
      <c r="D168" s="1778"/>
      <c r="E168" s="1778"/>
      <c r="F168" s="1778"/>
      <c r="G168" s="1778"/>
      <c r="H168" s="1778"/>
      <c r="I168" s="1778"/>
      <c r="J168" s="1778"/>
      <c r="K168" s="1778"/>
      <c r="L168" s="1778"/>
      <c r="M168" s="1778"/>
      <c r="N168" s="1780"/>
    </row>
    <row r="169" spans="1:14" x14ac:dyDescent="0.2">
      <c r="A169" s="1771"/>
      <c r="B169" s="1585"/>
      <c r="C169" s="1585"/>
      <c r="D169" s="1585"/>
      <c r="E169" s="1585"/>
      <c r="F169" s="1585"/>
      <c r="G169" s="1585"/>
      <c r="H169" s="1585"/>
      <c r="I169" s="1585"/>
      <c r="J169" s="1585"/>
      <c r="N169" s="1772"/>
    </row>
    <row r="170" spans="1:14" x14ac:dyDescent="0.2">
      <c r="A170" s="1771"/>
      <c r="B170" s="1585"/>
      <c r="C170" s="1585"/>
      <c r="D170" s="1585"/>
      <c r="E170" s="1585"/>
      <c r="F170" s="1585"/>
      <c r="G170" s="1585"/>
      <c r="H170" s="1585"/>
      <c r="I170" s="1585"/>
      <c r="J170" s="1585"/>
      <c r="N170" s="1772"/>
    </row>
    <row r="171" spans="1:14" x14ac:dyDescent="0.2">
      <c r="A171" s="1771"/>
      <c r="B171" s="1585"/>
      <c r="C171" s="1585"/>
      <c r="D171" s="1585"/>
      <c r="E171" s="1585"/>
      <c r="F171" s="1585"/>
      <c r="G171" s="1585"/>
      <c r="H171" s="1585"/>
      <c r="I171" s="1585"/>
      <c r="J171" s="1585"/>
      <c r="N171" s="1772"/>
    </row>
    <row r="172" spans="1:14" x14ac:dyDescent="0.2">
      <c r="A172" s="1771"/>
      <c r="B172" s="1585"/>
      <c r="C172" s="1585"/>
      <c r="D172" s="1585"/>
      <c r="E172" s="1585"/>
      <c r="F172" s="1585"/>
      <c r="G172" s="1585"/>
      <c r="H172" s="1585"/>
      <c r="I172" s="1585"/>
      <c r="J172" s="1585"/>
      <c r="N172" s="1772"/>
    </row>
    <row r="173" spans="1:14" ht="12" thickBot="1" x14ac:dyDescent="0.25">
      <c r="A173" s="1771"/>
      <c r="B173" s="1585"/>
      <c r="C173" s="1585"/>
      <c r="D173" s="1585"/>
      <c r="E173" s="1585"/>
      <c r="F173" s="1585"/>
      <c r="G173" s="1585"/>
      <c r="H173" s="1585"/>
      <c r="I173" s="1585"/>
      <c r="J173" s="1585"/>
      <c r="N173" s="1772"/>
    </row>
    <row r="174" spans="1:14" x14ac:dyDescent="0.2">
      <c r="A174" s="1777"/>
      <c r="B174" s="1778"/>
      <c r="C174" s="1778"/>
      <c r="D174" s="1778"/>
      <c r="E174" s="1778"/>
      <c r="F174" s="1778"/>
      <c r="G174" s="1778"/>
      <c r="H174" s="1778"/>
      <c r="I174" s="1778"/>
      <c r="J174" s="1778"/>
      <c r="K174" s="1778"/>
      <c r="L174" s="1778"/>
      <c r="M174" s="1778"/>
      <c r="N174" s="1780"/>
    </row>
    <row r="175" spans="1:14" x14ac:dyDescent="0.2">
      <c r="A175" s="1771"/>
      <c r="B175" s="1585"/>
      <c r="C175" s="1585"/>
      <c r="D175" s="1585"/>
      <c r="E175" s="1585"/>
      <c r="F175" s="1585"/>
      <c r="G175" s="1585"/>
      <c r="H175" s="1585"/>
      <c r="I175" s="1585"/>
      <c r="J175" s="1585"/>
      <c r="N175" s="1772"/>
    </row>
    <row r="176" spans="1:14" x14ac:dyDescent="0.2">
      <c r="A176" s="1771"/>
      <c r="B176" s="1585"/>
      <c r="C176" s="1585"/>
      <c r="D176" s="1585"/>
      <c r="E176" s="1585"/>
      <c r="F176" s="1585"/>
      <c r="G176" s="1585"/>
      <c r="H176" s="1585"/>
      <c r="I176" s="1585"/>
      <c r="J176" s="1585"/>
      <c r="N176" s="1772"/>
    </row>
    <row r="177" spans="1:14" x14ac:dyDescent="0.2">
      <c r="A177" s="1771"/>
      <c r="B177" s="1585"/>
      <c r="C177" s="1585"/>
      <c r="D177" s="1585"/>
      <c r="E177" s="1585"/>
      <c r="F177" s="1585"/>
      <c r="G177" s="1585"/>
      <c r="H177" s="1585"/>
      <c r="I177" s="1585"/>
      <c r="J177" s="1585"/>
      <c r="N177" s="1772"/>
    </row>
    <row r="178" spans="1:14" x14ac:dyDescent="0.2">
      <c r="A178" s="1771"/>
      <c r="B178" s="1585"/>
      <c r="C178" s="1585"/>
      <c r="D178" s="1585"/>
      <c r="E178" s="1585"/>
      <c r="F178" s="1585"/>
      <c r="G178" s="1585"/>
      <c r="H178" s="1585"/>
      <c r="I178" s="1585"/>
      <c r="J178" s="1585"/>
      <c r="N178" s="1772"/>
    </row>
    <row r="179" spans="1:14" ht="12" thickBot="1" x14ac:dyDescent="0.25">
      <c r="A179" s="1773"/>
      <c r="B179" s="1774"/>
      <c r="C179" s="1774"/>
      <c r="D179" s="1774"/>
      <c r="E179" s="1774"/>
      <c r="F179" s="1774"/>
      <c r="G179" s="1774"/>
      <c r="H179" s="1774"/>
      <c r="I179" s="1774"/>
      <c r="J179" s="1774"/>
      <c r="K179" s="1774"/>
      <c r="L179" s="1774"/>
      <c r="M179" s="1774"/>
      <c r="N179" s="1776"/>
    </row>
    <row r="180" spans="1:14" x14ac:dyDescent="0.2">
      <c r="A180" s="1777"/>
      <c r="B180" s="1778"/>
      <c r="C180" s="1778"/>
      <c r="D180" s="1778"/>
      <c r="E180" s="1778"/>
      <c r="F180" s="1778"/>
      <c r="G180" s="1778"/>
      <c r="H180" s="1778"/>
      <c r="I180" s="1778"/>
      <c r="J180" s="1778"/>
      <c r="K180" s="1778"/>
      <c r="L180" s="1778"/>
      <c r="M180" s="1778"/>
      <c r="N180" s="1780"/>
    </row>
    <row r="181" spans="1:14" x14ac:dyDescent="0.2">
      <c r="A181" s="1771"/>
      <c r="B181" s="1585"/>
      <c r="C181" s="1585"/>
      <c r="D181" s="1585"/>
      <c r="E181" s="1585"/>
      <c r="F181" s="1585"/>
      <c r="G181" s="1585"/>
      <c r="H181" s="1585"/>
      <c r="I181" s="1585"/>
      <c r="J181" s="1585"/>
      <c r="N181" s="1772"/>
    </row>
    <row r="182" spans="1:14" ht="12" thickBot="1" x14ac:dyDescent="0.25">
      <c r="A182" s="1773"/>
      <c r="B182" s="1774"/>
      <c r="C182" s="1774"/>
      <c r="D182" s="1774"/>
      <c r="E182" s="1774"/>
      <c r="F182" s="1774"/>
      <c r="G182" s="1774"/>
      <c r="H182" s="1774"/>
      <c r="I182" s="1774"/>
      <c r="J182" s="1774"/>
      <c r="K182" s="1774"/>
      <c r="L182" s="1774"/>
      <c r="M182" s="1774"/>
      <c r="N182" s="1776"/>
    </row>
    <row r="183" spans="1:14" x14ac:dyDescent="0.2">
      <c r="A183" s="1777"/>
      <c r="B183" s="1778"/>
      <c r="C183" s="1778"/>
      <c r="D183" s="1778"/>
      <c r="E183" s="1778"/>
      <c r="F183" s="1778"/>
      <c r="G183" s="1778"/>
      <c r="H183" s="1778"/>
      <c r="I183" s="1778"/>
      <c r="J183" s="1778"/>
      <c r="K183" s="1778"/>
      <c r="L183" s="1778"/>
      <c r="M183" s="1778"/>
      <c r="N183" s="1780"/>
    </row>
    <row r="184" spans="1:14" x14ac:dyDescent="0.2">
      <c r="A184" s="1771"/>
      <c r="B184" s="1585"/>
      <c r="C184" s="1585"/>
      <c r="D184" s="1585"/>
      <c r="E184" s="1585"/>
      <c r="F184" s="1585"/>
      <c r="G184" s="1585"/>
      <c r="H184" s="1585"/>
      <c r="I184" s="1585"/>
      <c r="J184" s="1585"/>
      <c r="N184" s="1772"/>
    </row>
    <row r="185" spans="1:14" x14ac:dyDescent="0.2">
      <c r="A185" s="1771"/>
      <c r="B185" s="1585"/>
      <c r="C185" s="1585"/>
      <c r="D185" s="1585"/>
      <c r="E185" s="1585"/>
      <c r="F185" s="1585"/>
      <c r="G185" s="1585"/>
      <c r="H185" s="1585"/>
      <c r="I185" s="1585"/>
      <c r="J185" s="1585"/>
      <c r="N185" s="1772"/>
    </row>
    <row r="186" spans="1:14" x14ac:dyDescent="0.2">
      <c r="A186" s="1771"/>
      <c r="B186" s="1585"/>
      <c r="C186" s="1585"/>
      <c r="D186" s="1585"/>
      <c r="E186" s="1585"/>
      <c r="F186" s="1585"/>
      <c r="G186" s="1585"/>
      <c r="H186" s="1585"/>
      <c r="I186" s="1585"/>
      <c r="J186" s="1585"/>
      <c r="N186" s="1772"/>
    </row>
    <row r="187" spans="1:14" x14ac:dyDescent="0.2">
      <c r="A187" s="1771"/>
      <c r="B187" s="1585"/>
      <c r="C187" s="1585"/>
      <c r="D187" s="1585"/>
      <c r="E187" s="1585"/>
      <c r="F187" s="1585"/>
      <c r="G187" s="1585"/>
      <c r="H187" s="1585"/>
      <c r="I187" s="1585"/>
      <c r="J187" s="1585"/>
      <c r="N187" s="1772"/>
    </row>
    <row r="188" spans="1:14" x14ac:dyDescent="0.2">
      <c r="A188" s="1771"/>
      <c r="B188" s="1585"/>
      <c r="C188" s="1585"/>
      <c r="D188" s="1585"/>
      <c r="E188" s="1585"/>
      <c r="F188" s="1585"/>
      <c r="G188" s="1585"/>
      <c r="H188" s="1585"/>
      <c r="I188" s="1585"/>
      <c r="J188" s="1585"/>
      <c r="N188" s="1772"/>
    </row>
    <row r="189" spans="1:14" x14ac:dyDescent="0.2">
      <c r="A189" s="1771"/>
      <c r="B189" s="1585"/>
      <c r="C189" s="1585"/>
      <c r="D189" s="1585"/>
      <c r="E189" s="1585"/>
      <c r="F189" s="1585"/>
      <c r="G189" s="1585"/>
      <c r="H189" s="1585"/>
      <c r="I189" s="1585"/>
      <c r="J189" s="1585"/>
      <c r="N189" s="1772"/>
    </row>
    <row r="190" spans="1:14" x14ac:dyDescent="0.2">
      <c r="A190" s="1771"/>
      <c r="B190" s="1585"/>
      <c r="C190" s="1585"/>
      <c r="D190" s="1585"/>
      <c r="E190" s="1585"/>
      <c r="F190" s="1585"/>
      <c r="G190" s="1585"/>
      <c r="H190" s="1585"/>
      <c r="I190" s="1585"/>
      <c r="J190" s="1585"/>
      <c r="N190" s="1772"/>
    </row>
    <row r="191" spans="1:14" ht="12" thickBot="1" x14ac:dyDescent="0.25">
      <c r="A191" s="1773"/>
      <c r="B191" s="1774"/>
      <c r="C191" s="1774"/>
      <c r="D191" s="1774"/>
      <c r="E191" s="1774"/>
      <c r="F191" s="1774"/>
      <c r="G191" s="1774"/>
      <c r="H191" s="1774"/>
      <c r="I191" s="1774"/>
      <c r="J191" s="1774"/>
      <c r="K191" s="1774"/>
      <c r="L191" s="1774"/>
      <c r="M191" s="1774"/>
      <c r="N191" s="1776"/>
    </row>
    <row r="192" spans="1:14" x14ac:dyDescent="0.2">
      <c r="A192" s="1777"/>
      <c r="B192" s="1778"/>
      <c r="C192" s="1778"/>
      <c r="D192" s="1778"/>
      <c r="E192" s="1778"/>
      <c r="F192" s="1778"/>
      <c r="G192" s="1778"/>
      <c r="H192" s="1778"/>
      <c r="I192" s="1778"/>
      <c r="J192" s="1778"/>
      <c r="K192" s="1778"/>
      <c r="L192" s="1778"/>
      <c r="M192" s="1778"/>
      <c r="N192" s="1780"/>
    </row>
    <row r="193" spans="1:14" x14ac:dyDescent="0.2">
      <c r="A193" s="1771"/>
      <c r="B193" s="1585"/>
      <c r="C193" s="1585"/>
      <c r="D193" s="1585"/>
      <c r="E193" s="1585"/>
      <c r="F193" s="1585"/>
      <c r="G193" s="1585"/>
      <c r="H193" s="1585"/>
      <c r="I193" s="1585"/>
      <c r="J193" s="1585"/>
      <c r="N193" s="1772"/>
    </row>
    <row r="194" spans="1:14" x14ac:dyDescent="0.2">
      <c r="A194" s="1771"/>
      <c r="B194" s="1585"/>
      <c r="C194" s="1585"/>
      <c r="D194" s="1585"/>
      <c r="E194" s="1585"/>
      <c r="F194" s="1585"/>
      <c r="G194" s="1585"/>
      <c r="H194" s="1585"/>
      <c r="I194" s="1585"/>
      <c r="J194" s="1585"/>
      <c r="N194" s="1772"/>
    </row>
    <row r="195" spans="1:14" x14ac:dyDescent="0.2">
      <c r="A195" s="1771"/>
      <c r="B195" s="1585"/>
      <c r="C195" s="1585"/>
      <c r="D195" s="1585"/>
      <c r="E195" s="1585"/>
      <c r="F195" s="1585"/>
      <c r="G195" s="1585"/>
      <c r="H195" s="1585"/>
      <c r="I195" s="1585"/>
      <c r="J195" s="1585"/>
      <c r="N195" s="1772"/>
    </row>
    <row r="196" spans="1:14" x14ac:dyDescent="0.2">
      <c r="A196" s="1771"/>
      <c r="B196" s="1585"/>
      <c r="C196" s="1585"/>
      <c r="D196" s="1585"/>
      <c r="E196" s="1585"/>
      <c r="F196" s="1585"/>
      <c r="G196" s="1585"/>
      <c r="H196" s="1585"/>
      <c r="I196" s="1585"/>
      <c r="J196" s="1585"/>
      <c r="N196" s="1772"/>
    </row>
    <row r="197" spans="1:14" x14ac:dyDescent="0.2">
      <c r="A197" s="1771"/>
      <c r="B197" s="1585"/>
      <c r="C197" s="1585"/>
      <c r="D197" s="1585"/>
      <c r="E197" s="1585"/>
      <c r="F197" s="1585"/>
      <c r="G197" s="1585"/>
      <c r="H197" s="1585"/>
      <c r="I197" s="1585"/>
      <c r="J197" s="1585"/>
      <c r="N197" s="1772"/>
    </row>
    <row r="198" spans="1:14" x14ac:dyDescent="0.2">
      <c r="A198" s="1771"/>
      <c r="B198" s="1585"/>
      <c r="C198" s="1585"/>
      <c r="D198" s="1585"/>
      <c r="E198" s="1585"/>
      <c r="F198" s="1585"/>
      <c r="G198" s="1585"/>
      <c r="H198" s="1585"/>
      <c r="I198" s="1585"/>
      <c r="J198" s="1585"/>
      <c r="N198" s="1772"/>
    </row>
    <row r="199" spans="1:14" x14ac:dyDescent="0.2">
      <c r="A199" s="1771"/>
      <c r="B199" s="1585"/>
      <c r="C199" s="1585"/>
      <c r="D199" s="1585"/>
      <c r="E199" s="1585"/>
      <c r="F199" s="1585"/>
      <c r="G199" s="1585"/>
      <c r="H199" s="1585"/>
      <c r="I199" s="1585"/>
      <c r="J199" s="1585"/>
      <c r="N199" s="1772"/>
    </row>
    <row r="200" spans="1:14" x14ac:dyDescent="0.2">
      <c r="A200" s="1771"/>
      <c r="B200" s="1585"/>
      <c r="C200" s="1585"/>
      <c r="D200" s="1585"/>
      <c r="E200" s="1585"/>
      <c r="F200" s="1585"/>
      <c r="G200" s="1585"/>
      <c r="H200" s="1585"/>
      <c r="I200" s="1585"/>
      <c r="J200" s="1585"/>
      <c r="N200" s="1772"/>
    </row>
    <row r="201" spans="1:14" x14ac:dyDescent="0.2">
      <c r="A201" s="1771"/>
      <c r="B201" s="1585"/>
      <c r="C201" s="1585"/>
      <c r="D201" s="1585"/>
      <c r="E201" s="1585"/>
      <c r="F201" s="1585"/>
      <c r="G201" s="1585"/>
      <c r="H201" s="1585"/>
      <c r="I201" s="1585"/>
      <c r="J201" s="1585"/>
      <c r="N201" s="1772"/>
    </row>
    <row r="202" spans="1:14" x14ac:dyDescent="0.2">
      <c r="A202" s="1771"/>
      <c r="B202" s="1585"/>
      <c r="C202" s="1585"/>
      <c r="D202" s="1585"/>
      <c r="E202" s="1585"/>
      <c r="F202" s="1585"/>
      <c r="G202" s="1585"/>
      <c r="H202" s="1585"/>
      <c r="I202" s="1585"/>
      <c r="J202" s="1585"/>
      <c r="N202" s="1772"/>
    </row>
    <row r="203" spans="1:14" ht="12" thickBot="1" x14ac:dyDescent="0.25">
      <c r="A203" s="1773"/>
      <c r="B203" s="1774"/>
      <c r="C203" s="1774"/>
      <c r="D203" s="1774"/>
      <c r="E203" s="1774"/>
      <c r="F203" s="1774"/>
      <c r="G203" s="1774"/>
      <c r="H203" s="1774"/>
      <c r="I203" s="1774"/>
      <c r="J203" s="1774"/>
      <c r="K203" s="1774"/>
      <c r="L203" s="1774"/>
      <c r="M203" s="1774"/>
      <c r="N203" s="1776"/>
    </row>
    <row r="204" spans="1:14" x14ac:dyDescent="0.2">
      <c r="E204" s="1585"/>
      <c r="F204" s="1585"/>
      <c r="G204" s="1585"/>
      <c r="H204" s="1585"/>
      <c r="I204" s="1585"/>
      <c r="J204" s="1585"/>
      <c r="N204" s="1793"/>
    </row>
    <row r="205" spans="1:14" x14ac:dyDescent="0.2">
      <c r="E205" s="1585"/>
      <c r="F205" s="1585"/>
      <c r="G205" s="1585"/>
      <c r="H205" s="1585"/>
      <c r="I205" s="1585"/>
      <c r="J205" s="1585"/>
      <c r="N205" s="1793"/>
    </row>
    <row r="206" spans="1:14" x14ac:dyDescent="0.2">
      <c r="E206" s="1585"/>
      <c r="F206" s="1585"/>
      <c r="G206" s="1585"/>
      <c r="H206" s="1585"/>
      <c r="I206" s="1585"/>
      <c r="J206" s="1585"/>
      <c r="N206" s="1793"/>
    </row>
    <row r="207" spans="1:14" x14ac:dyDescent="0.2">
      <c r="E207" s="1585"/>
      <c r="F207" s="1585"/>
      <c r="G207" s="1585"/>
      <c r="H207" s="1585"/>
      <c r="I207" s="1585"/>
      <c r="J207" s="1585"/>
      <c r="N207" s="1793"/>
    </row>
    <row r="208" spans="1:14" x14ac:dyDescent="0.2">
      <c r="E208" s="1585"/>
      <c r="F208" s="1585"/>
      <c r="G208" s="1585"/>
      <c r="H208" s="1585"/>
      <c r="I208" s="1585"/>
      <c r="J208" s="1585"/>
      <c r="N208" s="1793"/>
    </row>
    <row r="209" spans="1:14" x14ac:dyDescent="0.2">
      <c r="E209" s="1585"/>
      <c r="F209" s="1585"/>
      <c r="G209" s="1585"/>
      <c r="H209" s="1585"/>
      <c r="I209" s="1585"/>
      <c r="J209" s="1585"/>
      <c r="N209" s="1793"/>
    </row>
    <row r="210" spans="1:14" x14ac:dyDescent="0.2">
      <c r="E210" s="1585"/>
      <c r="F210" s="1585"/>
      <c r="G210" s="1585"/>
      <c r="H210" s="1585"/>
      <c r="I210" s="1585"/>
      <c r="J210" s="1585"/>
      <c r="N210" s="1793"/>
    </row>
    <row r="211" spans="1:14" x14ac:dyDescent="0.2">
      <c r="E211" s="1585"/>
      <c r="F211" s="1585"/>
      <c r="G211" s="1585"/>
      <c r="H211" s="1585"/>
      <c r="I211" s="1585"/>
      <c r="J211" s="1585"/>
      <c r="N211" s="1793"/>
    </row>
    <row r="212" spans="1:14" x14ac:dyDescent="0.2">
      <c r="E212" s="1585"/>
      <c r="F212" s="1585"/>
      <c r="G212" s="1585"/>
      <c r="H212" s="1585"/>
      <c r="I212" s="1585"/>
      <c r="J212" s="1585"/>
      <c r="N212" s="1793"/>
    </row>
    <row r="213" spans="1:14" x14ac:dyDescent="0.2">
      <c r="E213" s="1585"/>
      <c r="F213" s="1585"/>
      <c r="G213" s="1585"/>
      <c r="H213" s="1585"/>
      <c r="I213" s="1585"/>
      <c r="J213" s="1585"/>
      <c r="N213" s="1793"/>
    </row>
    <row r="214" spans="1:14" x14ac:dyDescent="0.2">
      <c r="E214" s="1585"/>
      <c r="F214" s="1585"/>
      <c r="G214" s="1585"/>
      <c r="H214" s="1585"/>
      <c r="I214" s="1585"/>
      <c r="J214" s="1585"/>
      <c r="N214" s="1793"/>
    </row>
    <row r="215" spans="1:14" ht="12" thickBot="1" x14ac:dyDescent="0.25">
      <c r="E215" s="1585"/>
      <c r="F215" s="1585"/>
      <c r="G215" s="1585"/>
      <c r="H215" s="1585"/>
      <c r="I215" s="1585"/>
      <c r="J215" s="1585"/>
      <c r="N215" s="1793"/>
    </row>
    <row r="216" spans="1:14" x14ac:dyDescent="0.2">
      <c r="A216" s="1777"/>
      <c r="B216" s="1778"/>
      <c r="C216" s="1778"/>
      <c r="D216" s="1778"/>
      <c r="E216" s="1778"/>
      <c r="F216" s="1778"/>
      <c r="G216" s="1778"/>
      <c r="H216" s="1778"/>
      <c r="I216" s="1778"/>
      <c r="J216" s="1778"/>
      <c r="K216" s="1778"/>
      <c r="L216" s="1778"/>
      <c r="M216" s="1778"/>
      <c r="N216" s="1780"/>
    </row>
    <row r="217" spans="1:14" x14ac:dyDescent="0.2">
      <c r="A217" s="1771"/>
      <c r="B217" s="1585"/>
      <c r="C217" s="1585"/>
      <c r="D217" s="1585"/>
      <c r="E217" s="1585"/>
      <c r="F217" s="1585"/>
      <c r="G217" s="1585"/>
      <c r="H217" s="1585"/>
      <c r="I217" s="1585"/>
      <c r="J217" s="1585"/>
      <c r="N217" s="1772"/>
    </row>
    <row r="218" spans="1:14" x14ac:dyDescent="0.2">
      <c r="A218" s="1771"/>
      <c r="B218" s="1585"/>
      <c r="C218" s="1585"/>
      <c r="D218" s="1585"/>
      <c r="E218" s="1585"/>
      <c r="F218" s="1585"/>
      <c r="G218" s="1585"/>
      <c r="H218" s="1585"/>
      <c r="I218" s="1585"/>
      <c r="J218" s="1585"/>
      <c r="N218" s="1772"/>
    </row>
    <row r="219" spans="1:14" x14ac:dyDescent="0.2">
      <c r="A219" s="1771"/>
      <c r="B219" s="1585"/>
      <c r="C219" s="1585"/>
      <c r="D219" s="1585"/>
      <c r="E219" s="1585"/>
      <c r="F219" s="1585"/>
      <c r="G219" s="1585"/>
      <c r="H219" s="1585"/>
      <c r="I219" s="1585"/>
      <c r="J219" s="1585"/>
      <c r="N219" s="1772"/>
    </row>
    <row r="220" spans="1:14" x14ac:dyDescent="0.2">
      <c r="A220" s="1771"/>
      <c r="B220" s="1585"/>
      <c r="C220" s="1585"/>
      <c r="D220" s="1585"/>
      <c r="E220" s="1585"/>
      <c r="F220" s="1585"/>
      <c r="G220" s="1585"/>
      <c r="H220" s="1585"/>
      <c r="I220" s="1585"/>
      <c r="J220" s="1585"/>
      <c r="N220" s="1772"/>
    </row>
    <row r="221" spans="1:14" x14ac:dyDescent="0.2">
      <c r="A221" s="1771"/>
      <c r="B221" s="1585"/>
      <c r="C221" s="1585"/>
      <c r="D221" s="1585"/>
      <c r="E221" s="1585"/>
      <c r="F221" s="1585"/>
      <c r="G221" s="1585"/>
      <c r="H221" s="1585"/>
      <c r="I221" s="1585"/>
      <c r="J221" s="1585"/>
      <c r="N221" s="1772"/>
    </row>
    <row r="222" spans="1:14" x14ac:dyDescent="0.2">
      <c r="A222" s="1771"/>
      <c r="B222" s="1585"/>
      <c r="C222" s="1585"/>
      <c r="D222" s="1585"/>
      <c r="E222" s="1585"/>
      <c r="F222" s="1585"/>
      <c r="G222" s="1585"/>
      <c r="H222" s="1585"/>
      <c r="I222" s="1585"/>
      <c r="J222" s="1585"/>
      <c r="N222" s="1772"/>
    </row>
    <row r="223" spans="1:14" x14ac:dyDescent="0.2">
      <c r="A223" s="1771"/>
      <c r="B223" s="1585"/>
      <c r="C223" s="1585"/>
      <c r="D223" s="1585"/>
      <c r="E223" s="1585"/>
      <c r="F223" s="1585"/>
      <c r="G223" s="1585"/>
      <c r="H223" s="1585"/>
      <c r="I223" s="1585"/>
      <c r="J223" s="1585"/>
      <c r="N223" s="1772"/>
    </row>
    <row r="224" spans="1:14" ht="12" thickBot="1" x14ac:dyDescent="0.25">
      <c r="A224" s="1773"/>
      <c r="B224" s="1774"/>
      <c r="C224" s="1774"/>
      <c r="D224" s="1774"/>
      <c r="E224" s="1774"/>
      <c r="F224" s="1774"/>
      <c r="G224" s="1774"/>
      <c r="H224" s="1774"/>
      <c r="I224" s="1774"/>
      <c r="J224" s="1774"/>
      <c r="K224" s="1774"/>
      <c r="L224" s="1774"/>
      <c r="M224" s="1774"/>
      <c r="N224" s="1776"/>
    </row>
    <row r="225" spans="1:14" x14ac:dyDescent="0.2">
      <c r="A225" s="1777"/>
      <c r="B225" s="1778"/>
      <c r="C225" s="1778"/>
      <c r="D225" s="1778"/>
      <c r="E225" s="1778"/>
      <c r="F225" s="1778"/>
      <c r="G225" s="1778"/>
      <c r="H225" s="1778"/>
      <c r="I225" s="1778"/>
      <c r="J225" s="1778"/>
      <c r="K225" s="1778"/>
      <c r="L225" s="1778"/>
      <c r="M225" s="1778"/>
      <c r="N225" s="1780"/>
    </row>
    <row r="226" spans="1:14" x14ac:dyDescent="0.2">
      <c r="A226" s="1771"/>
      <c r="B226" s="1585"/>
      <c r="C226" s="1585"/>
      <c r="D226" s="1585"/>
      <c r="E226" s="1585"/>
      <c r="F226" s="1585"/>
      <c r="G226" s="1585"/>
      <c r="H226" s="1585"/>
      <c r="I226" s="1585"/>
      <c r="J226" s="1585"/>
      <c r="N226" s="1772"/>
    </row>
    <row r="227" spans="1:14" x14ac:dyDescent="0.2">
      <c r="A227" s="1771"/>
      <c r="B227" s="1585"/>
      <c r="C227" s="1585"/>
      <c r="D227" s="1585"/>
      <c r="E227" s="1585"/>
      <c r="F227" s="1585"/>
      <c r="G227" s="1585"/>
      <c r="H227" s="1585"/>
      <c r="I227" s="1585"/>
      <c r="J227" s="1585"/>
      <c r="N227" s="1772"/>
    </row>
    <row r="228" spans="1:14" x14ac:dyDescent="0.2">
      <c r="A228" s="1771"/>
      <c r="B228" s="1585"/>
      <c r="C228" s="1585"/>
      <c r="D228" s="1585"/>
      <c r="E228" s="1585"/>
      <c r="F228" s="1585"/>
      <c r="G228" s="1585"/>
      <c r="H228" s="1585"/>
      <c r="I228" s="1585"/>
      <c r="J228" s="1585"/>
      <c r="N228" s="1772"/>
    </row>
    <row r="229" spans="1:14" x14ac:dyDescent="0.2">
      <c r="A229" s="1771"/>
      <c r="B229" s="1585"/>
      <c r="C229" s="1585"/>
      <c r="D229" s="1585"/>
      <c r="E229" s="1585"/>
      <c r="F229" s="1585"/>
      <c r="G229" s="1585"/>
      <c r="H229" s="1585"/>
      <c r="I229" s="1585"/>
      <c r="J229" s="1585"/>
      <c r="N229" s="1772"/>
    </row>
    <row r="230" spans="1:14" x14ac:dyDescent="0.2">
      <c r="A230" s="1771"/>
      <c r="B230" s="1585"/>
      <c r="C230" s="1585"/>
      <c r="D230" s="1585"/>
      <c r="E230" s="1585"/>
      <c r="F230" s="1585"/>
      <c r="G230" s="1585"/>
      <c r="H230" s="1585"/>
      <c r="I230" s="1585"/>
      <c r="J230" s="1585"/>
      <c r="N230" s="1772"/>
    </row>
    <row r="231" spans="1:14" x14ac:dyDescent="0.2">
      <c r="A231" s="1771"/>
      <c r="B231" s="1585"/>
      <c r="C231" s="1585"/>
      <c r="D231" s="1585"/>
      <c r="E231" s="1585"/>
      <c r="F231" s="1585"/>
      <c r="G231" s="1585"/>
      <c r="H231" s="1585"/>
      <c r="I231" s="1585"/>
      <c r="J231" s="1585"/>
      <c r="N231" s="1772"/>
    </row>
    <row r="232" spans="1:14" x14ac:dyDescent="0.2">
      <c r="A232" s="1771"/>
      <c r="B232" s="1585"/>
      <c r="C232" s="1585"/>
      <c r="D232" s="1585"/>
      <c r="E232" s="1585"/>
      <c r="F232" s="1585"/>
      <c r="G232" s="1585"/>
      <c r="H232" s="1585"/>
      <c r="I232" s="1585"/>
      <c r="J232" s="1585"/>
      <c r="N232" s="1772"/>
    </row>
    <row r="233" spans="1:14" x14ac:dyDescent="0.2">
      <c r="A233" s="1771"/>
      <c r="B233" s="1585"/>
      <c r="C233" s="1585"/>
      <c r="D233" s="1585"/>
      <c r="E233" s="1585"/>
      <c r="F233" s="1585"/>
      <c r="G233" s="1585"/>
      <c r="H233" s="1585"/>
      <c r="I233" s="1585"/>
      <c r="J233" s="1585"/>
      <c r="N233" s="1772"/>
    </row>
    <row r="234" spans="1:14" x14ac:dyDescent="0.2">
      <c r="A234" s="1771"/>
      <c r="B234" s="1585"/>
      <c r="C234" s="1585"/>
      <c r="D234" s="1585"/>
      <c r="E234" s="1585"/>
      <c r="F234" s="1585"/>
      <c r="G234" s="1585"/>
      <c r="H234" s="1585"/>
      <c r="I234" s="1585"/>
      <c r="J234" s="1585"/>
      <c r="N234" s="1772"/>
    </row>
    <row r="235" spans="1:14" x14ac:dyDescent="0.2">
      <c r="A235" s="1771"/>
      <c r="B235" s="1585"/>
      <c r="C235" s="1585"/>
      <c r="D235" s="1585"/>
      <c r="E235" s="1585"/>
      <c r="F235" s="1585"/>
      <c r="G235" s="1585"/>
      <c r="H235" s="1585"/>
      <c r="I235" s="1585"/>
      <c r="J235" s="1585"/>
      <c r="N235" s="1772"/>
    </row>
    <row r="236" spans="1:14" ht="12" thickBot="1" x14ac:dyDescent="0.25">
      <c r="A236" s="1773"/>
      <c r="B236" s="1774"/>
      <c r="C236" s="1774"/>
      <c r="D236" s="1774"/>
      <c r="E236" s="1774"/>
      <c r="F236" s="1774"/>
      <c r="G236" s="1774"/>
      <c r="H236" s="1774"/>
      <c r="I236" s="1774"/>
      <c r="J236" s="1774"/>
      <c r="K236" s="1774"/>
      <c r="L236" s="1774"/>
      <c r="M236" s="1774"/>
      <c r="N236" s="1776"/>
    </row>
    <row r="237" spans="1:14" x14ac:dyDescent="0.2">
      <c r="E237" s="1585"/>
      <c r="F237" s="1585"/>
      <c r="G237" s="1585"/>
      <c r="H237" s="1585"/>
      <c r="I237" s="1585"/>
      <c r="J237" s="1585"/>
      <c r="N237" s="1793"/>
    </row>
    <row r="238" spans="1:14" x14ac:dyDescent="0.2">
      <c r="E238" s="1585"/>
      <c r="F238" s="1585"/>
      <c r="G238" s="1585"/>
      <c r="H238" s="1585"/>
      <c r="I238" s="1585"/>
      <c r="J238" s="1585"/>
      <c r="N238" s="1793"/>
    </row>
    <row r="239" spans="1:14" x14ac:dyDescent="0.2">
      <c r="E239" s="1585"/>
      <c r="F239" s="1585"/>
      <c r="G239" s="1585"/>
      <c r="H239" s="1585"/>
      <c r="I239" s="1585"/>
      <c r="J239" s="1585"/>
      <c r="N239" s="1793"/>
    </row>
    <row r="240" spans="1:14" x14ac:dyDescent="0.2">
      <c r="E240" s="1585"/>
      <c r="F240" s="1585"/>
      <c r="G240" s="1585"/>
      <c r="H240" s="1585"/>
      <c r="I240" s="1585"/>
      <c r="J240" s="1585"/>
      <c r="N240" s="1793"/>
    </row>
    <row r="241" spans="5:14" x14ac:dyDescent="0.2">
      <c r="E241" s="1585"/>
      <c r="F241" s="1585"/>
      <c r="G241" s="1585"/>
      <c r="H241" s="1585"/>
      <c r="I241" s="1585"/>
      <c r="J241" s="1585"/>
      <c r="N241" s="1793"/>
    </row>
    <row r="242" spans="5:14" x14ac:dyDescent="0.2">
      <c r="E242" s="1585"/>
      <c r="F242" s="1585"/>
      <c r="G242" s="1585"/>
      <c r="H242" s="1585"/>
      <c r="I242" s="1585"/>
      <c r="J242" s="1585"/>
      <c r="N242" s="1793"/>
    </row>
    <row r="243" spans="5:14" x14ac:dyDescent="0.2">
      <c r="E243" s="1585"/>
      <c r="F243" s="1585"/>
      <c r="G243" s="1585"/>
      <c r="H243" s="1585"/>
      <c r="I243" s="1585"/>
      <c r="J243" s="1585"/>
      <c r="N243" s="1793"/>
    </row>
    <row r="244" spans="5:14" x14ac:dyDescent="0.2">
      <c r="E244" s="1585"/>
      <c r="F244" s="1585"/>
      <c r="G244" s="1585"/>
      <c r="H244" s="1585"/>
      <c r="I244" s="1585"/>
      <c r="J244" s="1585"/>
      <c r="N244" s="1793"/>
    </row>
    <row r="245" spans="5:14" x14ac:dyDescent="0.2">
      <c r="E245" s="1585"/>
      <c r="F245" s="1585"/>
      <c r="G245" s="1585"/>
      <c r="H245" s="1585"/>
      <c r="I245" s="1585"/>
      <c r="J245" s="1585"/>
      <c r="N245" s="1793"/>
    </row>
    <row r="246" spans="5:14" x14ac:dyDescent="0.2">
      <c r="E246" s="1585"/>
      <c r="F246" s="1585"/>
      <c r="G246" s="1585"/>
      <c r="H246" s="1585"/>
      <c r="I246" s="1585"/>
      <c r="J246" s="1585"/>
      <c r="N246" s="1793"/>
    </row>
    <row r="247" spans="5:14" x14ac:dyDescent="0.2">
      <c r="E247" s="1585"/>
      <c r="F247" s="1585"/>
      <c r="G247" s="1585"/>
      <c r="H247" s="1585"/>
      <c r="I247" s="1585"/>
      <c r="J247" s="1585"/>
      <c r="N247" s="1793"/>
    </row>
    <row r="248" spans="5:14" x14ac:dyDescent="0.2">
      <c r="E248" s="1585"/>
      <c r="F248" s="1585"/>
      <c r="G248" s="1585"/>
      <c r="H248" s="1585"/>
      <c r="I248" s="1585"/>
      <c r="J248" s="1585"/>
      <c r="N248" s="1793"/>
    </row>
    <row r="249" spans="5:14" x14ac:dyDescent="0.2">
      <c r="E249" s="1585"/>
      <c r="F249" s="1585"/>
      <c r="G249" s="1585"/>
      <c r="H249" s="1585"/>
      <c r="I249" s="1585"/>
      <c r="J249" s="1585"/>
      <c r="N249" s="1793"/>
    </row>
    <row r="250" spans="5:14" x14ac:dyDescent="0.2">
      <c r="E250" s="1585"/>
      <c r="F250" s="1585"/>
      <c r="G250" s="1585"/>
      <c r="H250" s="1585"/>
      <c r="I250" s="1585"/>
      <c r="J250" s="1585"/>
      <c r="N250" s="1793"/>
    </row>
    <row r="251" spans="5:14" x14ac:dyDescent="0.2">
      <c r="E251" s="1585"/>
      <c r="F251" s="1585"/>
      <c r="G251" s="1585"/>
      <c r="H251" s="1585"/>
      <c r="I251" s="1585"/>
      <c r="J251" s="1585"/>
      <c r="N251" s="1793"/>
    </row>
    <row r="252" spans="5:14" x14ac:dyDescent="0.2">
      <c r="E252" s="1585"/>
      <c r="F252" s="1585"/>
      <c r="G252" s="1585"/>
      <c r="H252" s="1585"/>
      <c r="I252" s="1585"/>
      <c r="J252" s="1585"/>
      <c r="N252" s="1793"/>
    </row>
    <row r="253" spans="5:14" x14ac:dyDescent="0.2">
      <c r="E253" s="1585"/>
      <c r="F253" s="1585"/>
      <c r="G253" s="1585"/>
      <c r="H253" s="1585"/>
      <c r="I253" s="1585"/>
      <c r="J253" s="1585"/>
      <c r="N253" s="1793"/>
    </row>
    <row r="254" spans="5:14" x14ac:dyDescent="0.2">
      <c r="E254" s="1585"/>
      <c r="F254" s="1585"/>
      <c r="G254" s="1585"/>
      <c r="H254" s="1585"/>
      <c r="I254" s="1585"/>
      <c r="J254" s="1585"/>
      <c r="N254" s="1793"/>
    </row>
    <row r="255" spans="5:14" x14ac:dyDescent="0.2">
      <c r="E255" s="1585"/>
      <c r="F255" s="1585"/>
      <c r="G255" s="1585"/>
      <c r="H255" s="1585"/>
      <c r="I255" s="1585"/>
      <c r="J255" s="1585"/>
      <c r="N255" s="1793"/>
    </row>
    <row r="256" spans="5:14" x14ac:dyDescent="0.2">
      <c r="E256" s="1585"/>
      <c r="F256" s="1585"/>
      <c r="G256" s="1585"/>
      <c r="H256" s="1585"/>
      <c r="I256" s="1585"/>
      <c r="J256" s="1585"/>
      <c r="N256" s="1793"/>
    </row>
    <row r="257" spans="1:14" ht="12" thickBot="1" x14ac:dyDescent="0.25">
      <c r="E257" s="1585"/>
      <c r="F257" s="1585"/>
      <c r="G257" s="1585"/>
      <c r="H257" s="1585"/>
      <c r="I257" s="1585"/>
      <c r="J257" s="1585"/>
      <c r="N257" s="1793"/>
    </row>
    <row r="258" spans="1:14" x14ac:dyDescent="0.2">
      <c r="A258" s="1777"/>
      <c r="B258" s="1778"/>
      <c r="C258" s="1778"/>
      <c r="D258" s="1778"/>
      <c r="E258" s="1778"/>
      <c r="F258" s="1778"/>
      <c r="G258" s="1778"/>
      <c r="H258" s="1778"/>
      <c r="I258" s="1778"/>
      <c r="J258" s="1778"/>
      <c r="K258" s="1778"/>
      <c r="L258" s="1778"/>
      <c r="M258" s="1778"/>
      <c r="N258" s="1780"/>
    </row>
    <row r="259" spans="1:14" x14ac:dyDescent="0.2">
      <c r="A259" s="1771"/>
      <c r="B259" s="1585"/>
      <c r="C259" s="1585"/>
      <c r="D259" s="1585"/>
      <c r="E259" s="1585"/>
      <c r="F259" s="1585"/>
      <c r="G259" s="1585"/>
      <c r="H259" s="1585"/>
      <c r="I259" s="1585"/>
      <c r="J259" s="1585"/>
      <c r="N259" s="1772"/>
    </row>
    <row r="260" spans="1:14" x14ac:dyDescent="0.2">
      <c r="A260" s="1771"/>
      <c r="B260" s="1585"/>
      <c r="C260" s="1585"/>
      <c r="D260" s="1585"/>
      <c r="E260" s="1585"/>
      <c r="F260" s="1585"/>
      <c r="G260" s="1585"/>
      <c r="H260" s="1585"/>
      <c r="I260" s="1585"/>
      <c r="J260" s="1585"/>
      <c r="N260" s="1772"/>
    </row>
    <row r="261" spans="1:14" x14ac:dyDescent="0.2">
      <c r="A261" s="1771"/>
      <c r="B261" s="1585"/>
      <c r="C261" s="1585"/>
      <c r="D261" s="1585"/>
      <c r="E261" s="1585"/>
      <c r="F261" s="1585"/>
      <c r="G261" s="1585"/>
      <c r="H261" s="1585"/>
      <c r="I261" s="1585"/>
      <c r="J261" s="1585"/>
      <c r="N261" s="1772"/>
    </row>
    <row r="262" spans="1:14" x14ac:dyDescent="0.2">
      <c r="A262" s="1771"/>
      <c r="B262" s="1585"/>
      <c r="C262" s="1585"/>
      <c r="D262" s="1585"/>
      <c r="E262" s="1585"/>
      <c r="F262" s="1585"/>
      <c r="G262" s="1585"/>
      <c r="H262" s="1585"/>
      <c r="I262" s="1585"/>
      <c r="J262" s="1585"/>
      <c r="N262" s="1772"/>
    </row>
    <row r="263" spans="1:14" x14ac:dyDescent="0.2">
      <c r="A263" s="1771"/>
      <c r="B263" s="1585"/>
      <c r="C263" s="1585"/>
      <c r="D263" s="1585"/>
      <c r="E263" s="1585"/>
      <c r="F263" s="1585"/>
      <c r="G263" s="1585"/>
      <c r="H263" s="1585"/>
      <c r="I263" s="1585"/>
      <c r="J263" s="1585"/>
      <c r="N263" s="1772"/>
    </row>
    <row r="264" spans="1:14" x14ac:dyDescent="0.2">
      <c r="A264" s="1771"/>
      <c r="B264" s="1585"/>
      <c r="C264" s="1585"/>
      <c r="D264" s="1585"/>
      <c r="E264" s="1585"/>
      <c r="F264" s="1585"/>
      <c r="G264" s="1585"/>
      <c r="H264" s="1585"/>
      <c r="I264" s="1585"/>
      <c r="J264" s="1585"/>
      <c r="N264" s="1772"/>
    </row>
    <row r="265" spans="1:14" x14ac:dyDescent="0.2">
      <c r="A265" s="1771"/>
      <c r="B265" s="1585"/>
      <c r="C265" s="1585"/>
      <c r="D265" s="1585"/>
      <c r="E265" s="1585"/>
      <c r="F265" s="1585"/>
      <c r="G265" s="1585"/>
      <c r="H265" s="1585"/>
      <c r="I265" s="1585"/>
      <c r="J265" s="1585"/>
      <c r="N265" s="1772"/>
    </row>
    <row r="266" spans="1:14" ht="12" thickBot="1" x14ac:dyDescent="0.25">
      <c r="A266" s="1773"/>
      <c r="B266" s="1774"/>
      <c r="C266" s="1774"/>
      <c r="D266" s="1774"/>
      <c r="E266" s="1774"/>
      <c r="F266" s="1774"/>
      <c r="G266" s="1774"/>
      <c r="H266" s="1774"/>
      <c r="I266" s="1774"/>
      <c r="J266" s="1774"/>
      <c r="K266" s="1774"/>
      <c r="L266" s="1774"/>
      <c r="M266" s="1774"/>
      <c r="N266" s="1776"/>
    </row>
    <row r="267" spans="1:14" x14ac:dyDescent="0.2">
      <c r="A267" s="1777"/>
      <c r="B267" s="1778"/>
      <c r="C267" s="1778"/>
      <c r="D267" s="1778"/>
      <c r="E267" s="1778"/>
      <c r="F267" s="1778"/>
      <c r="G267" s="1778"/>
      <c r="H267" s="1778"/>
      <c r="I267" s="1778"/>
      <c r="J267" s="1778"/>
      <c r="K267" s="1778"/>
      <c r="L267" s="1778"/>
      <c r="M267" s="1778"/>
      <c r="N267" s="1780"/>
    </row>
    <row r="268" spans="1:14" x14ac:dyDescent="0.2">
      <c r="A268" s="1771"/>
      <c r="B268" s="1585"/>
      <c r="C268" s="1585"/>
      <c r="D268" s="1585"/>
      <c r="E268" s="1585"/>
      <c r="F268" s="1585"/>
      <c r="G268" s="1585"/>
      <c r="H268" s="1585"/>
      <c r="I268" s="1585"/>
      <c r="J268" s="1585"/>
      <c r="N268" s="1772"/>
    </row>
    <row r="269" spans="1:14" x14ac:dyDescent="0.2">
      <c r="A269" s="1771"/>
      <c r="B269" s="1585"/>
      <c r="C269" s="1585"/>
      <c r="D269" s="1585"/>
      <c r="E269" s="1585"/>
      <c r="F269" s="1585"/>
      <c r="G269" s="1585"/>
      <c r="H269" s="1585"/>
      <c r="I269" s="1585"/>
      <c r="J269" s="1585"/>
      <c r="N269" s="1772"/>
    </row>
    <row r="270" spans="1:14" x14ac:dyDescent="0.2">
      <c r="A270" s="1771"/>
      <c r="B270" s="1585"/>
      <c r="C270" s="1585"/>
      <c r="D270" s="1585"/>
      <c r="E270" s="1585"/>
      <c r="F270" s="1585"/>
      <c r="G270" s="1585"/>
      <c r="H270" s="1585"/>
      <c r="I270" s="1585"/>
      <c r="J270" s="1585"/>
      <c r="N270" s="1772"/>
    </row>
    <row r="271" spans="1:14" x14ac:dyDescent="0.2">
      <c r="A271" s="1771"/>
      <c r="B271" s="1585"/>
      <c r="C271" s="1585"/>
      <c r="D271" s="1585"/>
      <c r="E271" s="1585"/>
      <c r="F271" s="1585"/>
      <c r="G271" s="1585"/>
      <c r="H271" s="1585"/>
      <c r="I271" s="1585"/>
      <c r="J271" s="1585"/>
      <c r="N271" s="1772"/>
    </row>
    <row r="272" spans="1:14" x14ac:dyDescent="0.2">
      <c r="A272" s="1771"/>
      <c r="B272" s="1585"/>
      <c r="C272" s="1585"/>
      <c r="D272" s="1585"/>
      <c r="E272" s="1585"/>
      <c r="F272" s="1585"/>
      <c r="G272" s="1585"/>
      <c r="H272" s="1585"/>
      <c r="I272" s="1585"/>
      <c r="J272" s="1585"/>
      <c r="N272" s="1772"/>
    </row>
    <row r="273" spans="1:14" x14ac:dyDescent="0.2">
      <c r="A273" s="1771"/>
      <c r="B273" s="1585"/>
      <c r="C273" s="1585"/>
      <c r="D273" s="1585"/>
      <c r="E273" s="1585"/>
      <c r="F273" s="1585"/>
      <c r="G273" s="1585"/>
      <c r="H273" s="1585"/>
      <c r="I273" s="1585"/>
      <c r="J273" s="1585"/>
      <c r="N273" s="1772"/>
    </row>
    <row r="274" spans="1:14" x14ac:dyDescent="0.2">
      <c r="A274" s="1771"/>
      <c r="B274" s="1585"/>
      <c r="C274" s="1585"/>
      <c r="D274" s="1585"/>
      <c r="E274" s="1585"/>
      <c r="F274" s="1585"/>
      <c r="G274" s="1585"/>
      <c r="H274" s="1585"/>
      <c r="I274" s="1585"/>
      <c r="J274" s="1585"/>
      <c r="N274" s="1772"/>
    </row>
    <row r="275" spans="1:14" ht="12" thickBot="1" x14ac:dyDescent="0.25">
      <c r="A275" s="1773"/>
      <c r="B275" s="1774"/>
      <c r="C275" s="1774"/>
      <c r="D275" s="1774"/>
      <c r="E275" s="1774"/>
      <c r="F275" s="1774"/>
      <c r="G275" s="1774"/>
      <c r="H275" s="1774"/>
      <c r="I275" s="1774"/>
      <c r="J275" s="1774"/>
      <c r="K275" s="1774"/>
      <c r="L275" s="1774"/>
      <c r="M275" s="1774"/>
      <c r="N275" s="1776"/>
    </row>
    <row r="276" spans="1:14" x14ac:dyDescent="0.2">
      <c r="E276" s="1585"/>
      <c r="F276" s="1585"/>
      <c r="G276" s="1585"/>
      <c r="H276" s="1585"/>
      <c r="I276" s="1585"/>
      <c r="J276" s="1585"/>
      <c r="N276" s="1793"/>
    </row>
    <row r="277" spans="1:14" x14ac:dyDescent="0.2">
      <c r="E277" s="1585"/>
      <c r="F277" s="1585"/>
      <c r="G277" s="1585"/>
      <c r="H277" s="1585"/>
      <c r="I277" s="1585"/>
      <c r="J277" s="1585"/>
      <c r="N277" s="1793"/>
    </row>
    <row r="278" spans="1:14" x14ac:dyDescent="0.2">
      <c r="E278" s="1585"/>
      <c r="F278" s="1585"/>
      <c r="G278" s="1585"/>
      <c r="H278" s="1585"/>
      <c r="I278" s="1585"/>
      <c r="J278" s="1585"/>
      <c r="N278" s="1793"/>
    </row>
    <row r="279" spans="1:14" x14ac:dyDescent="0.2">
      <c r="E279" s="1585"/>
      <c r="F279" s="1585"/>
      <c r="G279" s="1585"/>
      <c r="H279" s="1585"/>
      <c r="I279" s="1585"/>
      <c r="J279" s="1585"/>
      <c r="N279" s="1793"/>
    </row>
    <row r="280" spans="1:14" x14ac:dyDescent="0.2">
      <c r="E280" s="1585"/>
      <c r="F280" s="1585"/>
      <c r="G280" s="1585"/>
      <c r="H280" s="1585"/>
      <c r="I280" s="1585"/>
      <c r="J280" s="1585"/>
      <c r="N280" s="1793"/>
    </row>
    <row r="281" spans="1:14" x14ac:dyDescent="0.2">
      <c r="E281" s="1585"/>
      <c r="F281" s="1585"/>
      <c r="G281" s="1585"/>
      <c r="H281" s="1585"/>
      <c r="I281" s="1585"/>
      <c r="J281" s="1585"/>
      <c r="N281" s="1793"/>
    </row>
    <row r="282" spans="1:14" x14ac:dyDescent="0.2">
      <c r="E282" s="1585"/>
      <c r="F282" s="1585"/>
      <c r="G282" s="1585"/>
      <c r="H282" s="1585"/>
      <c r="I282" s="1585"/>
      <c r="J282" s="1585"/>
      <c r="N282" s="1793"/>
    </row>
    <row r="283" spans="1:14" x14ac:dyDescent="0.2">
      <c r="E283" s="1585"/>
      <c r="F283" s="1585"/>
      <c r="G283" s="1585"/>
      <c r="H283" s="1585"/>
      <c r="I283" s="1585"/>
      <c r="J283" s="1585"/>
      <c r="N283" s="1793"/>
    </row>
    <row r="284" spans="1:14" x14ac:dyDescent="0.2">
      <c r="E284" s="1585"/>
      <c r="F284" s="1585"/>
      <c r="G284" s="1585"/>
      <c r="H284" s="1585"/>
      <c r="I284" s="1585"/>
      <c r="J284" s="1585"/>
      <c r="N284" s="1793"/>
    </row>
    <row r="285" spans="1:14" x14ac:dyDescent="0.2">
      <c r="E285" s="1585"/>
      <c r="F285" s="1585"/>
      <c r="G285" s="1585"/>
      <c r="H285" s="1585"/>
      <c r="I285" s="1585"/>
      <c r="J285" s="1585"/>
      <c r="N285" s="1793"/>
    </row>
    <row r="286" spans="1:14" x14ac:dyDescent="0.2">
      <c r="E286" s="1585"/>
      <c r="F286" s="1585"/>
      <c r="G286" s="1585"/>
      <c r="H286" s="1585"/>
      <c r="I286" s="1585"/>
      <c r="J286" s="1585"/>
      <c r="N286" s="1793"/>
    </row>
    <row r="287" spans="1:14" x14ac:dyDescent="0.2">
      <c r="E287" s="1585"/>
      <c r="F287" s="1585"/>
      <c r="G287" s="1585"/>
      <c r="H287" s="1585"/>
      <c r="I287" s="1585"/>
      <c r="J287" s="1585"/>
      <c r="N287" s="1793"/>
    </row>
    <row r="288" spans="1:14" x14ac:dyDescent="0.2">
      <c r="E288" s="1585"/>
      <c r="F288" s="1585"/>
      <c r="G288" s="1585"/>
      <c r="H288" s="1585"/>
      <c r="I288" s="1585"/>
      <c r="J288" s="1585"/>
      <c r="N288" s="1793"/>
    </row>
    <row r="289" spans="1:14" x14ac:dyDescent="0.2">
      <c r="E289" s="1585"/>
      <c r="F289" s="1585"/>
      <c r="G289" s="1585"/>
      <c r="H289" s="1585"/>
      <c r="I289" s="1585"/>
      <c r="J289" s="1585"/>
      <c r="N289" s="1793"/>
    </row>
    <row r="290" spans="1:14" x14ac:dyDescent="0.2">
      <c r="E290" s="1585"/>
      <c r="F290" s="1585"/>
      <c r="G290" s="1585"/>
      <c r="H290" s="1585"/>
      <c r="I290" s="1585"/>
      <c r="J290" s="1585"/>
      <c r="N290" s="1793"/>
    </row>
    <row r="291" spans="1:14" x14ac:dyDescent="0.2">
      <c r="E291" s="1585"/>
      <c r="F291" s="1585"/>
      <c r="G291" s="1585"/>
      <c r="H291" s="1585"/>
      <c r="I291" s="1585"/>
      <c r="J291" s="1585"/>
      <c r="N291" s="1793"/>
    </row>
    <row r="292" spans="1:14" x14ac:dyDescent="0.2">
      <c r="E292" s="1585"/>
      <c r="F292" s="1585"/>
      <c r="G292" s="1585"/>
      <c r="H292" s="1585"/>
      <c r="I292" s="1585"/>
      <c r="J292" s="1585"/>
      <c r="N292" s="1793"/>
    </row>
    <row r="293" spans="1:14" ht="12" thickBot="1" x14ac:dyDescent="0.25">
      <c r="E293" s="1585"/>
      <c r="F293" s="1585"/>
      <c r="G293" s="1585"/>
      <c r="H293" s="1585"/>
      <c r="I293" s="1585"/>
      <c r="J293" s="1585"/>
      <c r="N293" s="1793"/>
    </row>
    <row r="294" spans="1:14" x14ac:dyDescent="0.2">
      <c r="A294" s="1777"/>
      <c r="B294" s="1778"/>
      <c r="C294" s="1778"/>
      <c r="D294" s="1778"/>
      <c r="E294" s="1778"/>
      <c r="F294" s="1778"/>
      <c r="G294" s="1778"/>
      <c r="H294" s="1778"/>
      <c r="I294" s="1778"/>
      <c r="J294" s="1778"/>
      <c r="K294" s="1778"/>
      <c r="L294" s="1778"/>
      <c r="M294" s="1778"/>
      <c r="N294" s="1780"/>
    </row>
    <row r="295" spans="1:14" x14ac:dyDescent="0.2">
      <c r="A295" s="1771"/>
      <c r="B295" s="1585"/>
      <c r="C295" s="1585"/>
      <c r="D295" s="1585"/>
      <c r="E295" s="1585"/>
      <c r="F295" s="1585"/>
      <c r="G295" s="1585"/>
      <c r="H295" s="1585"/>
      <c r="I295" s="1585"/>
      <c r="J295" s="1585"/>
      <c r="N295" s="1772"/>
    </row>
    <row r="296" spans="1:14" x14ac:dyDescent="0.2">
      <c r="A296" s="1771"/>
      <c r="B296" s="1585"/>
      <c r="C296" s="1585"/>
      <c r="D296" s="1585"/>
      <c r="E296" s="1585"/>
      <c r="F296" s="1585"/>
      <c r="G296" s="1585"/>
      <c r="H296" s="1585"/>
      <c r="I296" s="1585"/>
      <c r="J296" s="1585"/>
      <c r="N296" s="1772"/>
    </row>
    <row r="297" spans="1:14" x14ac:dyDescent="0.2">
      <c r="A297" s="1771"/>
      <c r="B297" s="1585"/>
      <c r="C297" s="1585"/>
      <c r="D297" s="1585"/>
      <c r="E297" s="1585"/>
      <c r="F297" s="1585"/>
      <c r="G297" s="1585"/>
      <c r="H297" s="1585"/>
      <c r="I297" s="1585"/>
      <c r="J297" s="1585"/>
      <c r="N297" s="1772"/>
    </row>
    <row r="298" spans="1:14" x14ac:dyDescent="0.2">
      <c r="A298" s="1771"/>
      <c r="B298" s="1585"/>
      <c r="C298" s="1585"/>
      <c r="D298" s="1585"/>
      <c r="E298" s="1585"/>
      <c r="F298" s="1585"/>
      <c r="G298" s="1585"/>
      <c r="H298" s="1585"/>
      <c r="I298" s="1585"/>
      <c r="J298" s="1585"/>
      <c r="N298" s="1772"/>
    </row>
    <row r="299" spans="1:14" x14ac:dyDescent="0.2">
      <c r="A299" s="1771"/>
      <c r="B299" s="1585"/>
      <c r="C299" s="1585"/>
      <c r="D299" s="1585"/>
      <c r="E299" s="1585"/>
      <c r="F299" s="1585"/>
      <c r="G299" s="1585"/>
      <c r="H299" s="1585"/>
      <c r="I299" s="1585"/>
      <c r="J299" s="1585"/>
      <c r="N299" s="1772"/>
    </row>
    <row r="300" spans="1:14" x14ac:dyDescent="0.2">
      <c r="A300" s="1771"/>
      <c r="B300" s="1585"/>
      <c r="C300" s="1585"/>
      <c r="D300" s="1585"/>
      <c r="E300" s="1585"/>
      <c r="F300" s="1585"/>
      <c r="G300" s="1585"/>
      <c r="H300" s="1585"/>
      <c r="I300" s="1585"/>
      <c r="J300" s="1585"/>
      <c r="N300" s="1772"/>
    </row>
    <row r="301" spans="1:14" x14ac:dyDescent="0.2">
      <c r="A301" s="1771"/>
      <c r="B301" s="1585"/>
      <c r="C301" s="1585"/>
      <c r="D301" s="1585"/>
      <c r="E301" s="1585"/>
      <c r="F301" s="1585"/>
      <c r="G301" s="1585"/>
      <c r="H301" s="1585"/>
      <c r="I301" s="1585"/>
      <c r="J301" s="1585"/>
      <c r="N301" s="1772"/>
    </row>
    <row r="302" spans="1:14" ht="12" thickBot="1" x14ac:dyDescent="0.25">
      <c r="A302" s="1773"/>
      <c r="B302" s="1774"/>
      <c r="C302" s="1774"/>
      <c r="D302" s="1774"/>
      <c r="E302" s="1774"/>
      <c r="F302" s="1774"/>
      <c r="G302" s="1774"/>
      <c r="H302" s="1774"/>
      <c r="I302" s="1774"/>
      <c r="J302" s="1774"/>
      <c r="K302" s="1774"/>
      <c r="L302" s="1774"/>
      <c r="M302" s="1774"/>
      <c r="N302" s="1776"/>
    </row>
    <row r="303" spans="1:14" x14ac:dyDescent="0.2">
      <c r="A303" s="1777"/>
      <c r="B303" s="1778"/>
      <c r="C303" s="1778"/>
      <c r="D303" s="1778"/>
      <c r="E303" s="1778"/>
      <c r="F303" s="1778"/>
      <c r="G303" s="1778"/>
      <c r="H303" s="1778"/>
      <c r="I303" s="1778"/>
      <c r="J303" s="1778"/>
      <c r="K303" s="1778"/>
      <c r="L303" s="1778"/>
      <c r="M303" s="1778"/>
      <c r="N303" s="1780"/>
    </row>
    <row r="304" spans="1:14" x14ac:dyDescent="0.2">
      <c r="A304" s="1771"/>
      <c r="B304" s="1585"/>
      <c r="C304" s="1585"/>
      <c r="D304" s="1585"/>
      <c r="E304" s="1585"/>
      <c r="F304" s="1585"/>
      <c r="G304" s="1585"/>
      <c r="H304" s="1585"/>
      <c r="I304" s="1585"/>
      <c r="J304" s="1585"/>
      <c r="N304" s="1772"/>
    </row>
    <row r="305" spans="1:14" x14ac:dyDescent="0.2">
      <c r="A305" s="1771"/>
      <c r="B305" s="1585"/>
      <c r="C305" s="1585"/>
      <c r="D305" s="1585"/>
      <c r="E305" s="1585"/>
      <c r="F305" s="1585"/>
      <c r="G305" s="1585"/>
      <c r="H305" s="1585"/>
      <c r="I305" s="1585"/>
      <c r="J305" s="1585"/>
      <c r="N305" s="1772"/>
    </row>
    <row r="306" spans="1:14" x14ac:dyDescent="0.2">
      <c r="A306" s="1771"/>
      <c r="B306" s="1585"/>
      <c r="C306" s="1585"/>
      <c r="D306" s="1585"/>
      <c r="E306" s="1585"/>
      <c r="F306" s="1585"/>
      <c r="G306" s="1585"/>
      <c r="H306" s="1585"/>
      <c r="I306" s="1585"/>
      <c r="J306" s="1585"/>
      <c r="N306" s="1772"/>
    </row>
    <row r="307" spans="1:14" x14ac:dyDescent="0.2">
      <c r="A307" s="1771"/>
      <c r="B307" s="1585"/>
      <c r="C307" s="1585"/>
      <c r="D307" s="1585"/>
      <c r="E307" s="1585"/>
      <c r="F307" s="1585"/>
      <c r="G307" s="1585"/>
      <c r="H307" s="1585"/>
      <c r="I307" s="1585"/>
      <c r="J307" s="1585"/>
      <c r="N307" s="1772"/>
    </row>
    <row r="308" spans="1:14" x14ac:dyDescent="0.2">
      <c r="A308" s="1771"/>
      <c r="B308" s="1585"/>
      <c r="C308" s="1585"/>
      <c r="D308" s="1585"/>
      <c r="E308" s="1585"/>
      <c r="F308" s="1585"/>
      <c r="G308" s="1585"/>
      <c r="H308" s="1585"/>
      <c r="I308" s="1585"/>
      <c r="J308" s="1585"/>
      <c r="N308" s="1772"/>
    </row>
    <row r="309" spans="1:14" x14ac:dyDescent="0.2">
      <c r="A309" s="1771"/>
      <c r="B309" s="1585"/>
      <c r="C309" s="1585"/>
      <c r="D309" s="1585"/>
      <c r="E309" s="1585"/>
      <c r="F309" s="1585"/>
      <c r="G309" s="1585"/>
      <c r="H309" s="1585"/>
      <c r="I309" s="1585"/>
      <c r="J309" s="1585"/>
      <c r="N309" s="1772"/>
    </row>
    <row r="310" spans="1:14" x14ac:dyDescent="0.2">
      <c r="A310" s="1771"/>
      <c r="B310" s="1585"/>
      <c r="C310" s="1585"/>
      <c r="D310" s="1585"/>
      <c r="E310" s="1585"/>
      <c r="F310" s="1585"/>
      <c r="G310" s="1585"/>
      <c r="H310" s="1585"/>
      <c r="I310" s="1585"/>
      <c r="J310" s="1585"/>
      <c r="N310" s="1772"/>
    </row>
    <row r="311" spans="1:14" ht="12" thickBot="1" x14ac:dyDescent="0.25">
      <c r="A311" s="1773"/>
      <c r="B311" s="1774"/>
      <c r="C311" s="1774"/>
      <c r="D311" s="1774"/>
      <c r="E311" s="1774"/>
      <c r="F311" s="1774"/>
      <c r="G311" s="1774"/>
      <c r="H311" s="1774"/>
      <c r="I311" s="1774"/>
      <c r="J311" s="1774"/>
      <c r="K311" s="1774"/>
      <c r="L311" s="1774"/>
      <c r="M311" s="1774"/>
      <c r="N311" s="1776"/>
    </row>
    <row r="312" spans="1:14" x14ac:dyDescent="0.2">
      <c r="E312" s="1585"/>
      <c r="F312" s="1585"/>
      <c r="G312" s="1585"/>
      <c r="H312" s="1585"/>
      <c r="I312" s="1585"/>
      <c r="J312" s="1585"/>
      <c r="N312" s="1793"/>
    </row>
    <row r="313" spans="1:14" x14ac:dyDescent="0.2">
      <c r="E313" s="1585"/>
      <c r="F313" s="1585"/>
      <c r="G313" s="1585"/>
      <c r="H313" s="1585"/>
      <c r="I313" s="1585"/>
      <c r="J313" s="1585"/>
      <c r="N313" s="1793"/>
    </row>
    <row r="314" spans="1:14" x14ac:dyDescent="0.2">
      <c r="E314" s="1585"/>
      <c r="F314" s="1585"/>
      <c r="G314" s="1585"/>
      <c r="H314" s="1585"/>
      <c r="I314" s="1585"/>
      <c r="J314" s="1585"/>
      <c r="N314" s="1793"/>
    </row>
    <row r="315" spans="1:14" x14ac:dyDescent="0.2">
      <c r="E315" s="1585"/>
      <c r="F315" s="1585"/>
      <c r="G315" s="1585"/>
      <c r="H315" s="1585"/>
      <c r="I315" s="1585"/>
      <c r="J315" s="1585"/>
      <c r="N315" s="1793"/>
    </row>
    <row r="316" spans="1:14" x14ac:dyDescent="0.2">
      <c r="E316" s="1585"/>
      <c r="F316" s="1585"/>
      <c r="G316" s="1585"/>
      <c r="H316" s="1585"/>
      <c r="I316" s="1585"/>
      <c r="J316" s="1585"/>
      <c r="N316" s="1793"/>
    </row>
    <row r="317" spans="1:14" x14ac:dyDescent="0.2">
      <c r="E317" s="1585"/>
      <c r="F317" s="1585"/>
      <c r="G317" s="1585"/>
      <c r="H317" s="1585"/>
      <c r="I317" s="1585"/>
      <c r="J317" s="1585"/>
      <c r="N317" s="1793"/>
    </row>
    <row r="318" spans="1:14" x14ac:dyDescent="0.2">
      <c r="E318" s="1585"/>
      <c r="F318" s="1585"/>
      <c r="G318" s="1585"/>
      <c r="H318" s="1585"/>
      <c r="I318" s="1585"/>
      <c r="J318" s="1585"/>
      <c r="N318" s="1793"/>
    </row>
    <row r="319" spans="1:14" x14ac:dyDescent="0.2">
      <c r="E319" s="1585"/>
      <c r="F319" s="1585"/>
      <c r="G319" s="1585"/>
      <c r="H319" s="1585"/>
      <c r="I319" s="1585"/>
      <c r="J319" s="1585"/>
      <c r="N319" s="1793"/>
    </row>
    <row r="320" spans="1:14" x14ac:dyDescent="0.2">
      <c r="E320" s="1585"/>
      <c r="F320" s="1585"/>
      <c r="G320" s="1585"/>
      <c r="H320" s="1585"/>
      <c r="I320" s="1585"/>
      <c r="J320" s="1585"/>
      <c r="N320" s="1793"/>
    </row>
    <row r="321" spans="1:14" x14ac:dyDescent="0.2">
      <c r="E321" s="1585"/>
      <c r="F321" s="1585"/>
      <c r="G321" s="1585"/>
      <c r="H321" s="1585"/>
      <c r="I321" s="1585"/>
      <c r="J321" s="1585"/>
      <c r="N321" s="1793"/>
    </row>
    <row r="322" spans="1:14" x14ac:dyDescent="0.2">
      <c r="E322" s="1585"/>
      <c r="F322" s="1585"/>
      <c r="G322" s="1585"/>
      <c r="H322" s="1585"/>
      <c r="I322" s="1585"/>
      <c r="J322" s="1585"/>
      <c r="N322" s="1793"/>
    </row>
    <row r="323" spans="1:14" x14ac:dyDescent="0.2">
      <c r="E323" s="1585"/>
      <c r="F323" s="1585"/>
      <c r="G323" s="1585"/>
      <c r="H323" s="1585"/>
      <c r="I323" s="1585"/>
      <c r="J323" s="1585"/>
      <c r="N323" s="1793"/>
    </row>
    <row r="324" spans="1:14" x14ac:dyDescent="0.2">
      <c r="E324" s="1585"/>
      <c r="F324" s="1585"/>
      <c r="G324" s="1585"/>
      <c r="H324" s="1585"/>
      <c r="I324" s="1585"/>
      <c r="J324" s="1585"/>
      <c r="N324" s="1793"/>
    </row>
    <row r="325" spans="1:14" x14ac:dyDescent="0.2">
      <c r="E325" s="1585"/>
      <c r="F325" s="1585"/>
      <c r="G325" s="1585"/>
      <c r="H325" s="1585"/>
      <c r="I325" s="1585"/>
      <c r="J325" s="1585"/>
      <c r="N325" s="1793"/>
    </row>
    <row r="326" spans="1:14" x14ac:dyDescent="0.2">
      <c r="E326" s="1585"/>
      <c r="F326" s="1585"/>
      <c r="G326" s="1585"/>
      <c r="H326" s="1585"/>
      <c r="I326" s="1585"/>
      <c r="J326" s="1585"/>
      <c r="N326" s="1793"/>
    </row>
    <row r="327" spans="1:14" x14ac:dyDescent="0.2">
      <c r="E327" s="1585"/>
      <c r="F327" s="1585"/>
      <c r="G327" s="1585"/>
      <c r="H327" s="1585"/>
      <c r="I327" s="1585"/>
      <c r="J327" s="1585"/>
      <c r="N327" s="1793"/>
    </row>
    <row r="328" spans="1:14" x14ac:dyDescent="0.2">
      <c r="E328" s="1585"/>
      <c r="F328" s="1585"/>
      <c r="G328" s="1585"/>
      <c r="H328" s="1585"/>
      <c r="I328" s="1585"/>
      <c r="J328" s="1585"/>
      <c r="N328" s="1793"/>
    </row>
    <row r="329" spans="1:14" ht="12" thickBot="1" x14ac:dyDescent="0.25">
      <c r="E329" s="1585"/>
      <c r="F329" s="1585"/>
      <c r="G329" s="1585"/>
      <c r="H329" s="1585"/>
      <c r="I329" s="1585"/>
      <c r="J329" s="1585"/>
      <c r="N329" s="1793"/>
    </row>
    <row r="330" spans="1:14" x14ac:dyDescent="0.2">
      <c r="A330" s="1777"/>
      <c r="B330" s="1778"/>
      <c r="C330" s="1778"/>
      <c r="D330" s="1778"/>
      <c r="E330" s="1778"/>
      <c r="F330" s="1778"/>
      <c r="G330" s="1778"/>
      <c r="H330" s="1778"/>
      <c r="I330" s="1778"/>
      <c r="J330" s="1778"/>
      <c r="K330" s="1778"/>
      <c r="L330" s="1778"/>
      <c r="M330" s="1778"/>
      <c r="N330" s="1780"/>
    </row>
    <row r="331" spans="1:14" x14ac:dyDescent="0.2">
      <c r="A331" s="1771"/>
      <c r="B331" s="1585"/>
      <c r="C331" s="1585"/>
      <c r="D331" s="1585"/>
      <c r="E331" s="1585"/>
      <c r="F331" s="1585"/>
      <c r="G331" s="1585"/>
      <c r="H331" s="1585"/>
      <c r="I331" s="1585"/>
      <c r="J331" s="1585"/>
      <c r="N331" s="1772"/>
    </row>
    <row r="332" spans="1:14" x14ac:dyDescent="0.2">
      <c r="A332" s="1771"/>
      <c r="B332" s="1585"/>
      <c r="C332" s="1585"/>
      <c r="D332" s="1585"/>
      <c r="E332" s="1585"/>
      <c r="F332" s="1585"/>
      <c r="G332" s="1585"/>
      <c r="H332" s="1585"/>
      <c r="I332" s="1585"/>
      <c r="J332" s="1585"/>
      <c r="N332" s="1772"/>
    </row>
    <row r="333" spans="1:14" x14ac:dyDescent="0.2">
      <c r="A333" s="1771"/>
      <c r="B333" s="1585"/>
      <c r="C333" s="1585"/>
      <c r="D333" s="1585"/>
      <c r="E333" s="1585"/>
      <c r="F333" s="1585"/>
      <c r="G333" s="1585"/>
      <c r="H333" s="1585"/>
      <c r="I333" s="1585"/>
      <c r="J333" s="1585"/>
      <c r="N333" s="1772"/>
    </row>
    <row r="334" spans="1:14" x14ac:dyDescent="0.2">
      <c r="A334" s="1771"/>
      <c r="B334" s="1585"/>
      <c r="C334" s="1585"/>
      <c r="D334" s="1585"/>
      <c r="E334" s="1585"/>
      <c r="F334" s="1585"/>
      <c r="G334" s="1585"/>
      <c r="H334" s="1585"/>
      <c r="I334" s="1585"/>
      <c r="J334" s="1585"/>
      <c r="N334" s="1772"/>
    </row>
    <row r="335" spans="1:14" x14ac:dyDescent="0.2">
      <c r="A335" s="1771"/>
      <c r="B335" s="1585"/>
      <c r="C335" s="1585"/>
      <c r="D335" s="1585"/>
      <c r="E335" s="1585"/>
      <c r="F335" s="1585"/>
      <c r="G335" s="1585"/>
      <c r="H335" s="1585"/>
      <c r="I335" s="1585"/>
      <c r="J335" s="1585"/>
      <c r="N335" s="1772"/>
    </row>
    <row r="336" spans="1:14" x14ac:dyDescent="0.2">
      <c r="A336" s="1771"/>
      <c r="B336" s="1585"/>
      <c r="C336" s="1585"/>
      <c r="D336" s="1585"/>
      <c r="E336" s="1585"/>
      <c r="F336" s="1585"/>
      <c r="G336" s="1585"/>
      <c r="H336" s="1585"/>
      <c r="I336" s="1585"/>
      <c r="J336" s="1585"/>
      <c r="N336" s="1772"/>
    </row>
    <row r="337" spans="1:14" x14ac:dyDescent="0.2">
      <c r="A337" s="1771"/>
      <c r="B337" s="1585"/>
      <c r="C337" s="1585"/>
      <c r="D337" s="1585"/>
      <c r="E337" s="1585"/>
      <c r="F337" s="1585"/>
      <c r="G337" s="1585"/>
      <c r="H337" s="1585"/>
      <c r="I337" s="1585"/>
      <c r="J337" s="1585"/>
      <c r="N337" s="1772"/>
    </row>
    <row r="338" spans="1:14" ht="12" thickBot="1" x14ac:dyDescent="0.25">
      <c r="A338" s="1773"/>
      <c r="B338" s="1774"/>
      <c r="C338" s="1774"/>
      <c r="D338" s="1774"/>
      <c r="E338" s="1774"/>
      <c r="F338" s="1774"/>
      <c r="G338" s="1774"/>
      <c r="H338" s="1774"/>
      <c r="I338" s="1774"/>
      <c r="J338" s="1774"/>
      <c r="K338" s="1774"/>
      <c r="L338" s="1774"/>
      <c r="M338" s="1774"/>
      <c r="N338" s="1776"/>
    </row>
    <row r="339" spans="1:14" x14ac:dyDescent="0.2">
      <c r="A339" s="1777"/>
      <c r="B339" s="1778"/>
      <c r="C339" s="1778"/>
      <c r="D339" s="1778"/>
      <c r="E339" s="1778"/>
      <c r="F339" s="1778"/>
      <c r="G339" s="1778"/>
      <c r="H339" s="1778"/>
      <c r="I339" s="1778"/>
      <c r="J339" s="1778"/>
      <c r="K339" s="1778"/>
      <c r="L339" s="1778"/>
      <c r="M339" s="1778"/>
      <c r="N339" s="1780"/>
    </row>
    <row r="340" spans="1:14" x14ac:dyDescent="0.2">
      <c r="A340" s="1771"/>
      <c r="B340" s="1585"/>
      <c r="C340" s="1585"/>
      <c r="D340" s="1585"/>
      <c r="E340" s="1585"/>
      <c r="F340" s="1585"/>
      <c r="G340" s="1585"/>
      <c r="H340" s="1585"/>
      <c r="I340" s="1585"/>
      <c r="J340" s="1585"/>
      <c r="N340" s="1772"/>
    </row>
    <row r="341" spans="1:14" x14ac:dyDescent="0.2">
      <c r="A341" s="1771"/>
      <c r="B341" s="1585"/>
      <c r="C341" s="1585"/>
      <c r="D341" s="1585"/>
      <c r="E341" s="1585"/>
      <c r="F341" s="1585"/>
      <c r="G341" s="1585"/>
      <c r="H341" s="1585"/>
      <c r="I341" s="1585"/>
      <c r="J341" s="1585"/>
      <c r="N341" s="1772"/>
    </row>
    <row r="342" spans="1:14" x14ac:dyDescent="0.2">
      <c r="A342" s="1771"/>
      <c r="B342" s="1585"/>
      <c r="C342" s="1585"/>
      <c r="D342" s="1585"/>
      <c r="E342" s="1585"/>
      <c r="F342" s="1585"/>
      <c r="G342" s="1585"/>
      <c r="H342" s="1585"/>
      <c r="I342" s="1585"/>
      <c r="J342" s="1585"/>
      <c r="N342" s="1772"/>
    </row>
    <row r="343" spans="1:14" x14ac:dyDescent="0.2">
      <c r="A343" s="1771"/>
      <c r="B343" s="1585"/>
      <c r="C343" s="1585"/>
      <c r="D343" s="1585"/>
      <c r="E343" s="1585"/>
      <c r="F343" s="1585"/>
      <c r="G343" s="1585"/>
      <c r="H343" s="1585"/>
      <c r="I343" s="1585"/>
      <c r="J343" s="1585"/>
      <c r="N343" s="1772"/>
    </row>
    <row r="344" spans="1:14" x14ac:dyDescent="0.2">
      <c r="A344" s="1771"/>
      <c r="B344" s="1585"/>
      <c r="C344" s="1585"/>
      <c r="D344" s="1585"/>
      <c r="E344" s="1585"/>
      <c r="F344" s="1585"/>
      <c r="G344" s="1585"/>
      <c r="H344" s="1585"/>
      <c r="I344" s="1585"/>
      <c r="J344" s="1585"/>
      <c r="N344" s="1772"/>
    </row>
    <row r="345" spans="1:14" x14ac:dyDescent="0.2">
      <c r="A345" s="1771"/>
      <c r="B345" s="1585"/>
      <c r="C345" s="1585"/>
      <c r="D345" s="1585"/>
      <c r="E345" s="1585"/>
      <c r="F345" s="1585"/>
      <c r="G345" s="1585"/>
      <c r="H345" s="1585"/>
      <c r="I345" s="1585"/>
      <c r="J345" s="1585"/>
      <c r="N345" s="1772"/>
    </row>
    <row r="346" spans="1:14" x14ac:dyDescent="0.2">
      <c r="A346" s="1771"/>
      <c r="B346" s="1585"/>
      <c r="C346" s="1585"/>
      <c r="D346" s="1585"/>
      <c r="E346" s="1585"/>
      <c r="F346" s="1585"/>
      <c r="G346" s="1585"/>
      <c r="H346" s="1585"/>
      <c r="I346" s="1585"/>
      <c r="J346" s="1585"/>
      <c r="N346" s="1772"/>
    </row>
    <row r="347" spans="1:14" ht="12" thickBot="1" x14ac:dyDescent="0.25">
      <c r="A347" s="1773"/>
      <c r="B347" s="1774"/>
      <c r="C347" s="1774"/>
      <c r="D347" s="1774"/>
      <c r="E347" s="1774"/>
      <c r="F347" s="1774"/>
      <c r="G347" s="1774"/>
      <c r="H347" s="1774"/>
      <c r="I347" s="1774"/>
      <c r="J347" s="1774"/>
      <c r="K347" s="1774"/>
      <c r="L347" s="1774"/>
      <c r="M347" s="1774"/>
      <c r="N347" s="1776"/>
    </row>
    <row r="348" spans="1:14" x14ac:dyDescent="0.2">
      <c r="E348" s="1585"/>
      <c r="F348" s="1585"/>
      <c r="G348" s="1585"/>
      <c r="H348" s="1585"/>
      <c r="I348" s="1585"/>
      <c r="J348" s="1585"/>
      <c r="N348" s="1793"/>
    </row>
    <row r="349" spans="1:14" x14ac:dyDescent="0.2">
      <c r="E349" s="1585"/>
      <c r="F349" s="1585"/>
      <c r="G349" s="1585"/>
      <c r="H349" s="1585"/>
      <c r="I349" s="1585"/>
      <c r="J349" s="1585"/>
      <c r="N349" s="1793"/>
    </row>
    <row r="350" spans="1:14" x14ac:dyDescent="0.2">
      <c r="E350" s="1585"/>
      <c r="F350" s="1585"/>
      <c r="G350" s="1585"/>
      <c r="H350" s="1585"/>
      <c r="I350" s="1585"/>
      <c r="J350" s="1585"/>
      <c r="N350" s="1793"/>
    </row>
    <row r="351" spans="1:14" x14ac:dyDescent="0.2">
      <c r="E351" s="1585"/>
      <c r="F351" s="1585"/>
      <c r="G351" s="1585"/>
      <c r="H351" s="1585"/>
      <c r="I351" s="1585"/>
      <c r="J351" s="1585"/>
      <c r="N351" s="1793"/>
    </row>
    <row r="352" spans="1:14" x14ac:dyDescent="0.2">
      <c r="E352" s="1585"/>
      <c r="F352" s="1585"/>
      <c r="G352" s="1585"/>
      <c r="H352" s="1585"/>
      <c r="I352" s="1585"/>
      <c r="J352" s="1585"/>
      <c r="N352" s="1793"/>
    </row>
    <row r="353" spans="1:14" x14ac:dyDescent="0.2">
      <c r="E353" s="1585"/>
      <c r="F353" s="1585"/>
      <c r="G353" s="1585"/>
      <c r="H353" s="1585"/>
      <c r="I353" s="1585"/>
      <c r="J353" s="1585"/>
      <c r="N353" s="1793"/>
    </row>
    <row r="354" spans="1:14" x14ac:dyDescent="0.2">
      <c r="E354" s="1585"/>
      <c r="F354" s="1585"/>
      <c r="G354" s="1585"/>
      <c r="H354" s="1585"/>
      <c r="I354" s="1585"/>
      <c r="J354" s="1585"/>
      <c r="N354" s="1793"/>
    </row>
    <row r="355" spans="1:14" x14ac:dyDescent="0.2">
      <c r="E355" s="1585"/>
      <c r="F355" s="1585"/>
      <c r="G355" s="1585"/>
      <c r="H355" s="1585"/>
      <c r="I355" s="1585"/>
      <c r="J355" s="1585"/>
      <c r="N355" s="1793"/>
    </row>
    <row r="356" spans="1:14" x14ac:dyDescent="0.2">
      <c r="E356" s="1585"/>
      <c r="F356" s="1585"/>
      <c r="G356" s="1585"/>
      <c r="H356" s="1585"/>
      <c r="I356" s="1585"/>
      <c r="J356" s="1585"/>
      <c r="N356" s="1793"/>
    </row>
    <row r="357" spans="1:14" x14ac:dyDescent="0.2">
      <c r="E357" s="1585"/>
      <c r="F357" s="1585"/>
      <c r="G357" s="1585"/>
      <c r="H357" s="1585"/>
      <c r="I357" s="1585"/>
      <c r="J357" s="1585"/>
      <c r="N357" s="1793"/>
    </row>
    <row r="358" spans="1:14" x14ac:dyDescent="0.2">
      <c r="E358" s="1585"/>
      <c r="F358" s="1585"/>
      <c r="G358" s="1585"/>
      <c r="H358" s="1585"/>
      <c r="I358" s="1585"/>
      <c r="J358" s="1585"/>
      <c r="N358" s="1793"/>
    </row>
    <row r="359" spans="1:14" x14ac:dyDescent="0.2">
      <c r="E359" s="1585"/>
      <c r="F359" s="1585"/>
      <c r="G359" s="1585"/>
      <c r="H359" s="1585"/>
      <c r="I359" s="1585"/>
      <c r="J359" s="1585"/>
      <c r="N359" s="1793"/>
    </row>
    <row r="360" spans="1:14" x14ac:dyDescent="0.2">
      <c r="E360" s="1585"/>
      <c r="F360" s="1585"/>
      <c r="G360" s="1585"/>
      <c r="H360" s="1585"/>
      <c r="I360" s="1585"/>
      <c r="J360" s="1585"/>
      <c r="N360" s="1793"/>
    </row>
    <row r="361" spans="1:14" x14ac:dyDescent="0.2">
      <c r="E361" s="1585"/>
      <c r="F361" s="1585"/>
      <c r="G361" s="1585"/>
      <c r="H361" s="1585"/>
      <c r="I361" s="1585"/>
      <c r="J361" s="1585"/>
      <c r="N361" s="1793"/>
    </row>
    <row r="362" spans="1:14" x14ac:dyDescent="0.2">
      <c r="E362" s="1585"/>
      <c r="F362" s="1585"/>
      <c r="G362" s="1585"/>
      <c r="H362" s="1585"/>
      <c r="I362" s="1585"/>
      <c r="J362" s="1585"/>
      <c r="N362" s="1793"/>
    </row>
    <row r="363" spans="1:14" x14ac:dyDescent="0.2">
      <c r="E363" s="1585"/>
      <c r="F363" s="1585"/>
      <c r="G363" s="1585"/>
      <c r="H363" s="1585"/>
      <c r="I363" s="1585"/>
      <c r="J363" s="1585"/>
      <c r="N363" s="1793"/>
    </row>
    <row r="364" spans="1:14" x14ac:dyDescent="0.2">
      <c r="E364" s="1585"/>
      <c r="F364" s="1585"/>
      <c r="G364" s="1585"/>
      <c r="H364" s="1585"/>
      <c r="I364" s="1585"/>
      <c r="J364" s="1585"/>
      <c r="N364" s="1793"/>
    </row>
    <row r="365" spans="1:14" x14ac:dyDescent="0.2">
      <c r="E365" s="1585"/>
      <c r="F365" s="1585"/>
      <c r="G365" s="1585"/>
      <c r="H365" s="1585"/>
      <c r="I365" s="1585"/>
      <c r="J365" s="1585"/>
      <c r="N365" s="1793"/>
    </row>
    <row r="366" spans="1:14" ht="12" thickBot="1" x14ac:dyDescent="0.25">
      <c r="E366" s="1585"/>
      <c r="F366" s="1585"/>
      <c r="G366" s="1585"/>
      <c r="H366" s="1585"/>
      <c r="I366" s="1585"/>
      <c r="J366" s="1585"/>
      <c r="N366" s="1793"/>
    </row>
    <row r="367" spans="1:14" x14ac:dyDescent="0.2">
      <c r="A367" s="1777"/>
      <c r="B367" s="1778"/>
      <c r="C367" s="1778"/>
      <c r="D367" s="1778"/>
      <c r="E367" s="1778"/>
      <c r="F367" s="1778"/>
      <c r="G367" s="1778"/>
      <c r="H367" s="1778"/>
      <c r="I367" s="1778"/>
      <c r="J367" s="1778"/>
      <c r="K367" s="1778"/>
      <c r="L367" s="1778"/>
      <c r="M367" s="1778"/>
      <c r="N367" s="1780"/>
    </row>
    <row r="368" spans="1:14" x14ac:dyDescent="0.2">
      <c r="A368" s="1771"/>
      <c r="B368" s="1585"/>
      <c r="C368" s="1585"/>
      <c r="D368" s="1585"/>
      <c r="E368" s="1585"/>
      <c r="F368" s="1585"/>
      <c r="G368" s="1585"/>
      <c r="H368" s="1585"/>
      <c r="I368" s="1585"/>
      <c r="J368" s="1585"/>
      <c r="N368" s="1772"/>
    </row>
    <row r="369" spans="1:14" x14ac:dyDescent="0.2">
      <c r="A369" s="1771"/>
      <c r="B369" s="1585"/>
      <c r="C369" s="1585"/>
      <c r="D369" s="1585"/>
      <c r="E369" s="1585"/>
      <c r="F369" s="1585"/>
      <c r="G369" s="1585"/>
      <c r="H369" s="1585"/>
      <c r="I369" s="1585"/>
      <c r="J369" s="1585"/>
      <c r="N369" s="1772"/>
    </row>
    <row r="370" spans="1:14" x14ac:dyDescent="0.2">
      <c r="A370" s="1771"/>
      <c r="B370" s="1585"/>
      <c r="C370" s="1585"/>
      <c r="D370" s="1585"/>
      <c r="E370" s="1585"/>
      <c r="F370" s="1585"/>
      <c r="G370" s="1585"/>
      <c r="H370" s="1585"/>
      <c r="I370" s="1585"/>
      <c r="J370" s="1585"/>
      <c r="N370" s="1772"/>
    </row>
    <row r="371" spans="1:14" x14ac:dyDescent="0.2">
      <c r="A371" s="1771"/>
      <c r="B371" s="1585"/>
      <c r="C371" s="1585"/>
      <c r="D371" s="1585"/>
      <c r="E371" s="1585"/>
      <c r="F371" s="1585"/>
      <c r="G371" s="1585"/>
      <c r="H371" s="1585"/>
      <c r="I371" s="1585"/>
      <c r="J371" s="1585"/>
      <c r="N371" s="1772"/>
    </row>
    <row r="372" spans="1:14" x14ac:dyDescent="0.2">
      <c r="A372" s="1771"/>
      <c r="B372" s="1585"/>
      <c r="C372" s="1585"/>
      <c r="D372" s="1585"/>
      <c r="E372" s="1585"/>
      <c r="F372" s="1585"/>
      <c r="G372" s="1585"/>
      <c r="H372" s="1585"/>
      <c r="I372" s="1585"/>
      <c r="J372" s="1585"/>
      <c r="N372" s="1772"/>
    </row>
    <row r="373" spans="1:14" x14ac:dyDescent="0.2">
      <c r="A373" s="1771"/>
      <c r="B373" s="1585"/>
      <c r="C373" s="1585"/>
      <c r="D373" s="1585"/>
      <c r="E373" s="1585"/>
      <c r="F373" s="1585"/>
      <c r="G373" s="1585"/>
      <c r="H373" s="1585"/>
      <c r="I373" s="1585"/>
      <c r="J373" s="1585"/>
      <c r="N373" s="1772"/>
    </row>
    <row r="374" spans="1:14" x14ac:dyDescent="0.2">
      <c r="A374" s="1771"/>
      <c r="B374" s="1585"/>
      <c r="C374" s="1585"/>
      <c r="D374" s="1585"/>
      <c r="E374" s="1585"/>
      <c r="F374" s="1585"/>
      <c r="G374" s="1585"/>
      <c r="H374" s="1585"/>
      <c r="I374" s="1585"/>
      <c r="J374" s="1585"/>
      <c r="N374" s="1772"/>
    </row>
    <row r="375" spans="1:14" ht="12" thickBot="1" x14ac:dyDescent="0.25">
      <c r="A375" s="1773"/>
      <c r="B375" s="1774"/>
      <c r="C375" s="1774"/>
      <c r="D375" s="1774"/>
      <c r="E375" s="1774"/>
      <c r="F375" s="1774"/>
      <c r="G375" s="1774"/>
      <c r="H375" s="1774"/>
      <c r="I375" s="1774"/>
      <c r="J375" s="1774"/>
      <c r="K375" s="1774"/>
      <c r="L375" s="1774"/>
      <c r="M375" s="1774"/>
      <c r="N375" s="1776"/>
    </row>
    <row r="376" spans="1:14" x14ac:dyDescent="0.2">
      <c r="E376" s="1585"/>
      <c r="F376" s="1585"/>
      <c r="G376" s="1585"/>
      <c r="H376" s="1585"/>
      <c r="I376" s="1585"/>
      <c r="J376" s="1585"/>
      <c r="N376" s="1793"/>
    </row>
    <row r="377" spans="1:14" x14ac:dyDescent="0.2">
      <c r="E377" s="1585"/>
      <c r="F377" s="1585"/>
      <c r="G377" s="1585"/>
      <c r="H377" s="1585"/>
      <c r="I377" s="1585"/>
      <c r="J377" s="1585"/>
      <c r="N377" s="1793"/>
    </row>
    <row r="378" spans="1:14" x14ac:dyDescent="0.2">
      <c r="E378" s="1585"/>
      <c r="F378" s="1585"/>
      <c r="G378" s="1585"/>
      <c r="H378" s="1585"/>
      <c r="I378" s="1585"/>
      <c r="J378" s="1585"/>
      <c r="N378" s="1793"/>
    </row>
    <row r="379" spans="1:14" x14ac:dyDescent="0.2">
      <c r="E379" s="1585"/>
      <c r="F379" s="1585"/>
      <c r="G379" s="1585"/>
      <c r="H379" s="1585"/>
      <c r="I379" s="1585"/>
      <c r="J379" s="1585"/>
      <c r="N379" s="1793"/>
    </row>
    <row r="380" spans="1:14" x14ac:dyDescent="0.2">
      <c r="E380" s="1585"/>
      <c r="F380" s="1585"/>
      <c r="G380" s="1585"/>
      <c r="H380" s="1585"/>
      <c r="I380" s="1585"/>
      <c r="J380" s="1585"/>
      <c r="N380" s="1793"/>
    </row>
    <row r="381" spans="1:14" x14ac:dyDescent="0.2">
      <c r="E381" s="1585"/>
      <c r="F381" s="1585"/>
      <c r="G381" s="1585"/>
      <c r="H381" s="1585"/>
      <c r="I381" s="1585"/>
      <c r="J381" s="1585"/>
      <c r="N381" s="1793"/>
    </row>
    <row r="382" spans="1:14" x14ac:dyDescent="0.2">
      <c r="E382" s="1585"/>
      <c r="F382" s="1585"/>
      <c r="G382" s="1585"/>
      <c r="H382" s="1585"/>
      <c r="I382" s="1585"/>
      <c r="J382" s="1585"/>
      <c r="N382" s="1793"/>
    </row>
    <row r="383" spans="1:14" x14ac:dyDescent="0.2">
      <c r="E383" s="1585"/>
      <c r="F383" s="1585"/>
      <c r="G383" s="1585"/>
      <c r="H383" s="1585"/>
      <c r="I383" s="1585"/>
      <c r="J383" s="1585"/>
      <c r="N383" s="1793"/>
    </row>
    <row r="384" spans="1:14" ht="12" thickBot="1" x14ac:dyDescent="0.25">
      <c r="E384" s="1585"/>
      <c r="F384" s="1585"/>
      <c r="G384" s="1585"/>
      <c r="H384" s="1585"/>
      <c r="I384" s="1585"/>
      <c r="J384" s="1585"/>
      <c r="N384" s="1793"/>
    </row>
    <row r="385" spans="1:14" x14ac:dyDescent="0.2">
      <c r="A385" s="1777"/>
      <c r="B385" s="1778"/>
      <c r="C385" s="1778"/>
      <c r="D385" s="1778"/>
      <c r="E385" s="1778"/>
      <c r="F385" s="1778"/>
      <c r="G385" s="1778"/>
      <c r="H385" s="1778"/>
      <c r="I385" s="1778"/>
      <c r="J385" s="1778"/>
      <c r="K385" s="1778"/>
      <c r="L385" s="1778"/>
      <c r="M385" s="1778"/>
      <c r="N385" s="1780"/>
    </row>
    <row r="386" spans="1:14" x14ac:dyDescent="0.2">
      <c r="A386" s="1771"/>
      <c r="B386" s="1585"/>
      <c r="C386" s="1585"/>
      <c r="D386" s="1585"/>
      <c r="E386" s="1585"/>
      <c r="F386" s="1585"/>
      <c r="G386" s="1585"/>
      <c r="H386" s="1585"/>
      <c r="I386" s="1585"/>
      <c r="J386" s="1585"/>
      <c r="N386" s="1772"/>
    </row>
    <row r="387" spans="1:14" x14ac:dyDescent="0.2">
      <c r="A387" s="1771"/>
      <c r="B387" s="1585"/>
      <c r="C387" s="1585"/>
      <c r="D387" s="1585"/>
      <c r="E387" s="1585"/>
      <c r="F387" s="1585"/>
      <c r="G387" s="1585"/>
      <c r="H387" s="1585"/>
      <c r="I387" s="1585"/>
      <c r="J387" s="1585"/>
      <c r="N387" s="1772"/>
    </row>
    <row r="388" spans="1:14" x14ac:dyDescent="0.2">
      <c r="A388" s="1771"/>
      <c r="B388" s="1585"/>
      <c r="C388" s="1585"/>
      <c r="D388" s="1585"/>
      <c r="E388" s="1585"/>
      <c r="F388" s="1585"/>
      <c r="G388" s="1585"/>
      <c r="H388" s="1585"/>
      <c r="I388" s="1585"/>
      <c r="J388" s="1585"/>
      <c r="N388" s="1772"/>
    </row>
    <row r="389" spans="1:14" x14ac:dyDescent="0.2">
      <c r="A389" s="1771"/>
      <c r="B389" s="1585"/>
      <c r="C389" s="1585"/>
      <c r="D389" s="1585"/>
      <c r="E389" s="1585"/>
      <c r="F389" s="1585"/>
      <c r="G389" s="1585"/>
      <c r="H389" s="1585"/>
      <c r="I389" s="1585"/>
      <c r="J389" s="1585"/>
      <c r="N389" s="1772"/>
    </row>
    <row r="390" spans="1:14" x14ac:dyDescent="0.2">
      <c r="A390" s="1771"/>
      <c r="B390" s="1585"/>
      <c r="C390" s="1585"/>
      <c r="D390" s="1585"/>
      <c r="E390" s="1585"/>
      <c r="F390" s="1585"/>
      <c r="G390" s="1585"/>
      <c r="H390" s="1585"/>
      <c r="I390" s="1585"/>
      <c r="J390" s="1585"/>
      <c r="N390" s="1772"/>
    </row>
    <row r="391" spans="1:14" x14ac:dyDescent="0.2">
      <c r="A391" s="1771"/>
      <c r="B391" s="1585"/>
      <c r="C391" s="1585"/>
      <c r="D391" s="1585"/>
      <c r="E391" s="1585"/>
      <c r="F391" s="1585"/>
      <c r="G391" s="1585"/>
      <c r="H391" s="1585"/>
      <c r="I391" s="1585"/>
      <c r="J391" s="1585"/>
      <c r="N391" s="1772"/>
    </row>
    <row r="392" spans="1:14" x14ac:dyDescent="0.2">
      <c r="A392" s="1771"/>
      <c r="B392" s="1585"/>
      <c r="C392" s="1585"/>
      <c r="D392" s="1585"/>
      <c r="E392" s="1585"/>
      <c r="F392" s="1585"/>
      <c r="G392" s="1585"/>
      <c r="H392" s="1585"/>
      <c r="I392" s="1585"/>
      <c r="J392" s="1585"/>
      <c r="N392" s="1772"/>
    </row>
    <row r="393" spans="1:14" ht="12" thickBot="1" x14ac:dyDescent="0.25">
      <c r="A393" s="1773"/>
      <c r="B393" s="1774"/>
      <c r="C393" s="1774"/>
      <c r="D393" s="1774"/>
      <c r="E393" s="1774"/>
      <c r="F393" s="1774"/>
      <c r="G393" s="1774"/>
      <c r="H393" s="1774"/>
      <c r="I393" s="1774"/>
      <c r="J393" s="1774"/>
      <c r="K393" s="1774"/>
      <c r="L393" s="1774"/>
      <c r="M393" s="1774"/>
      <c r="N393" s="1776"/>
    </row>
    <row r="394" spans="1:14" x14ac:dyDescent="0.2">
      <c r="E394" s="1585"/>
      <c r="F394" s="1585"/>
      <c r="G394" s="1585"/>
      <c r="H394" s="1585"/>
      <c r="I394" s="1585"/>
      <c r="J394" s="1585"/>
      <c r="N394" s="1793"/>
    </row>
    <row r="395" spans="1:14" x14ac:dyDescent="0.2">
      <c r="E395" s="1585"/>
      <c r="F395" s="1585"/>
      <c r="G395" s="1585"/>
      <c r="H395" s="1585"/>
      <c r="I395" s="1585"/>
      <c r="J395" s="1585"/>
      <c r="N395" s="1793"/>
    </row>
    <row r="396" spans="1:14" x14ac:dyDescent="0.2">
      <c r="E396" s="1585"/>
      <c r="F396" s="1585"/>
      <c r="G396" s="1585"/>
      <c r="H396" s="1585"/>
      <c r="I396" s="1585"/>
      <c r="J396" s="1585"/>
      <c r="N396" s="1793"/>
    </row>
    <row r="397" spans="1:14" x14ac:dyDescent="0.2">
      <c r="E397" s="1585"/>
      <c r="F397" s="1585"/>
      <c r="G397" s="1585"/>
      <c r="H397" s="1585"/>
      <c r="I397" s="1585"/>
      <c r="J397" s="1585"/>
      <c r="N397" s="1793"/>
    </row>
    <row r="398" spans="1:14" x14ac:dyDescent="0.2">
      <c r="E398" s="1585"/>
      <c r="F398" s="1585"/>
      <c r="G398" s="1585"/>
      <c r="H398" s="1585"/>
      <c r="I398" s="1585"/>
      <c r="J398" s="1585"/>
      <c r="N398" s="1793"/>
    </row>
    <row r="399" spans="1:14" x14ac:dyDescent="0.2">
      <c r="E399" s="1585"/>
      <c r="F399" s="1585"/>
      <c r="G399" s="1585"/>
      <c r="H399" s="1585"/>
      <c r="I399" s="1585"/>
      <c r="J399" s="1585"/>
      <c r="N399" s="1793"/>
    </row>
    <row r="400" spans="1:14" x14ac:dyDescent="0.2">
      <c r="E400" s="1585"/>
      <c r="F400" s="1585"/>
      <c r="G400" s="1585"/>
      <c r="H400" s="1585"/>
      <c r="I400" s="1585"/>
      <c r="J400" s="1585"/>
      <c r="N400" s="1793"/>
    </row>
    <row r="401" spans="5:14" x14ac:dyDescent="0.2">
      <c r="E401" s="1585"/>
      <c r="F401" s="1585"/>
      <c r="G401" s="1585"/>
      <c r="H401" s="1585"/>
      <c r="I401" s="1585"/>
      <c r="J401" s="1585"/>
      <c r="N401" s="1793"/>
    </row>
    <row r="402" spans="5:14" x14ac:dyDescent="0.2">
      <c r="E402" s="1585"/>
      <c r="F402" s="1585"/>
      <c r="G402" s="1585"/>
      <c r="H402" s="1585"/>
      <c r="I402" s="1585"/>
      <c r="J402" s="1585"/>
      <c r="N402" s="1793"/>
    </row>
    <row r="403" spans="5:14" x14ac:dyDescent="0.2">
      <c r="E403" s="1585"/>
      <c r="F403" s="1585"/>
      <c r="G403" s="1585"/>
      <c r="H403" s="1585"/>
      <c r="I403" s="1585"/>
      <c r="J403" s="1585"/>
      <c r="N403" s="1793"/>
    </row>
    <row r="404" spans="5:14" x14ac:dyDescent="0.2">
      <c r="E404" s="1585"/>
      <c r="F404" s="1585"/>
      <c r="G404" s="1585"/>
      <c r="H404" s="1585"/>
      <c r="I404" s="1585"/>
      <c r="J404" s="1585"/>
      <c r="N404" s="1793"/>
    </row>
    <row r="405" spans="5:14" x14ac:dyDescent="0.2">
      <c r="E405" s="1585"/>
      <c r="F405" s="1585"/>
      <c r="G405" s="1585"/>
      <c r="H405" s="1585"/>
      <c r="I405" s="1585"/>
      <c r="J405" s="1585"/>
      <c r="N405" s="1793"/>
    </row>
    <row r="406" spans="5:14" x14ac:dyDescent="0.2">
      <c r="E406" s="1585"/>
      <c r="F406" s="1585"/>
      <c r="G406" s="1585"/>
      <c r="H406" s="1585"/>
      <c r="I406" s="1585"/>
      <c r="J406" s="1585"/>
      <c r="N406" s="1793"/>
    </row>
    <row r="407" spans="5:14" x14ac:dyDescent="0.2">
      <c r="E407" s="1585"/>
      <c r="F407" s="1585"/>
      <c r="G407" s="1585"/>
      <c r="H407" s="1585"/>
      <c r="I407" s="1585"/>
      <c r="J407" s="1585"/>
      <c r="N407" s="1793"/>
    </row>
    <row r="408" spans="5:14" x14ac:dyDescent="0.2">
      <c r="E408" s="1585"/>
      <c r="F408" s="1585"/>
      <c r="G408" s="1585"/>
      <c r="H408" s="1585"/>
      <c r="I408" s="1585"/>
      <c r="J408" s="1585"/>
      <c r="N408" s="1793"/>
    </row>
    <row r="409" spans="5:14" x14ac:dyDescent="0.2">
      <c r="E409" s="1585"/>
      <c r="F409" s="1585"/>
      <c r="G409" s="1585"/>
      <c r="H409" s="1585"/>
      <c r="I409" s="1585"/>
      <c r="J409" s="1585"/>
      <c r="N409" s="1793"/>
    </row>
    <row r="410" spans="5:14" x14ac:dyDescent="0.2">
      <c r="E410" s="1585"/>
      <c r="F410" s="1585"/>
      <c r="G410" s="1585"/>
      <c r="H410" s="1585"/>
      <c r="I410" s="1585"/>
      <c r="J410" s="1585"/>
      <c r="N410" s="1793"/>
    </row>
    <row r="411" spans="5:14" x14ac:dyDescent="0.2">
      <c r="E411" s="1585"/>
      <c r="F411" s="1585"/>
      <c r="G411" s="1585"/>
      <c r="H411" s="1585"/>
      <c r="I411" s="1585"/>
      <c r="J411" s="1585"/>
      <c r="N411" s="1793"/>
    </row>
    <row r="412" spans="5:14" x14ac:dyDescent="0.2">
      <c r="E412" s="1585"/>
      <c r="F412" s="1585"/>
      <c r="G412" s="1585"/>
      <c r="H412" s="1585"/>
      <c r="I412" s="1585"/>
      <c r="J412" s="1585"/>
      <c r="N412" s="1793"/>
    </row>
    <row r="413" spans="5:14" x14ac:dyDescent="0.2">
      <c r="E413" s="1585"/>
      <c r="F413" s="1585"/>
      <c r="G413" s="1585"/>
      <c r="H413" s="1585"/>
      <c r="I413" s="1585"/>
      <c r="J413" s="1585"/>
      <c r="N413" s="1793"/>
    </row>
    <row r="414" spans="5:14" x14ac:dyDescent="0.2">
      <c r="E414" s="1585"/>
      <c r="F414" s="1585"/>
      <c r="G414" s="1585"/>
      <c r="H414" s="1585"/>
      <c r="I414" s="1585"/>
      <c r="J414" s="1585"/>
      <c r="N414" s="1793"/>
    </row>
    <row r="415" spans="5:14" x14ac:dyDescent="0.2">
      <c r="E415" s="1585"/>
      <c r="F415" s="1585"/>
      <c r="G415" s="1585"/>
      <c r="H415" s="1585"/>
      <c r="I415" s="1585"/>
      <c r="J415" s="1585"/>
      <c r="N415" s="1793"/>
    </row>
    <row r="416" spans="5:14" x14ac:dyDescent="0.2">
      <c r="E416" s="1585"/>
      <c r="F416" s="1585"/>
      <c r="G416" s="1585"/>
      <c r="H416" s="1585"/>
      <c r="I416" s="1585"/>
      <c r="J416" s="1585"/>
      <c r="N416" s="1793"/>
    </row>
    <row r="417" spans="1:14" x14ac:dyDescent="0.2">
      <c r="E417" s="1585"/>
      <c r="F417" s="1585"/>
      <c r="G417" s="1585"/>
      <c r="H417" s="1585"/>
      <c r="I417" s="1585"/>
      <c r="J417" s="1585"/>
      <c r="N417" s="1793"/>
    </row>
    <row r="418" spans="1:14" x14ac:dyDescent="0.2">
      <c r="E418" s="1585"/>
      <c r="F418" s="1585"/>
      <c r="G418" s="1585"/>
      <c r="H418" s="1585"/>
      <c r="I418" s="1585"/>
      <c r="J418" s="1585"/>
      <c r="N418" s="1793"/>
    </row>
    <row r="419" spans="1:14" x14ac:dyDescent="0.2">
      <c r="E419" s="1585"/>
      <c r="F419" s="1585"/>
      <c r="G419" s="1585"/>
      <c r="H419" s="1585"/>
      <c r="I419" s="1585"/>
      <c r="J419" s="1585"/>
      <c r="N419" s="1793"/>
    </row>
    <row r="420" spans="1:14" ht="12" thickBot="1" x14ac:dyDescent="0.25">
      <c r="E420" s="1585"/>
      <c r="F420" s="1585"/>
      <c r="G420" s="1585"/>
      <c r="H420" s="1585"/>
      <c r="I420" s="1585"/>
      <c r="J420" s="1585"/>
      <c r="N420" s="1793"/>
    </row>
    <row r="421" spans="1:14" x14ac:dyDescent="0.2">
      <c r="A421" s="1777"/>
      <c r="B421" s="1778"/>
      <c r="C421" s="1778"/>
      <c r="D421" s="1778"/>
      <c r="E421" s="1778"/>
      <c r="F421" s="1778"/>
      <c r="G421" s="1778"/>
      <c r="H421" s="1778"/>
      <c r="I421" s="1778"/>
      <c r="J421" s="1778"/>
      <c r="K421" s="1778"/>
      <c r="L421" s="1778"/>
      <c r="M421" s="1778"/>
      <c r="N421" s="1780"/>
    </row>
    <row r="422" spans="1:14" x14ac:dyDescent="0.2">
      <c r="A422" s="1771"/>
      <c r="B422" s="1585"/>
      <c r="C422" s="1585"/>
      <c r="D422" s="1585"/>
      <c r="E422" s="1585"/>
      <c r="F422" s="1585"/>
      <c r="G422" s="1585"/>
      <c r="H422" s="1585"/>
      <c r="I422" s="1585"/>
      <c r="J422" s="1585"/>
      <c r="N422" s="1772"/>
    </row>
    <row r="423" spans="1:14" x14ac:dyDescent="0.2">
      <c r="A423" s="1771"/>
      <c r="B423" s="1585"/>
      <c r="C423" s="1585"/>
      <c r="D423" s="1585"/>
      <c r="E423" s="1585"/>
      <c r="F423" s="1585"/>
      <c r="G423" s="1585"/>
      <c r="H423" s="1585"/>
      <c r="I423" s="1585"/>
      <c r="J423" s="1585"/>
      <c r="N423" s="1772"/>
    </row>
    <row r="424" spans="1:14" x14ac:dyDescent="0.2">
      <c r="A424" s="1771"/>
      <c r="B424" s="1585"/>
      <c r="C424" s="1585"/>
      <c r="D424" s="1585"/>
      <c r="E424" s="1585"/>
      <c r="F424" s="1585"/>
      <c r="G424" s="1585"/>
      <c r="H424" s="1585"/>
      <c r="I424" s="1585"/>
      <c r="J424" s="1585"/>
      <c r="N424" s="1772"/>
    </row>
    <row r="425" spans="1:14" x14ac:dyDescent="0.2">
      <c r="A425" s="1771"/>
      <c r="B425" s="1585"/>
      <c r="C425" s="1585"/>
      <c r="D425" s="1585"/>
      <c r="E425" s="1585"/>
      <c r="F425" s="1585"/>
      <c r="G425" s="1585"/>
      <c r="H425" s="1585"/>
      <c r="I425" s="1585"/>
      <c r="J425" s="1585"/>
      <c r="N425" s="1772"/>
    </row>
    <row r="426" spans="1:14" x14ac:dyDescent="0.2">
      <c r="A426" s="1771"/>
      <c r="B426" s="1585"/>
      <c r="C426" s="1585"/>
      <c r="D426" s="1585"/>
      <c r="E426" s="1585"/>
      <c r="F426" s="1585"/>
      <c r="G426" s="1585"/>
      <c r="H426" s="1585"/>
      <c r="I426" s="1585"/>
      <c r="J426" s="1585"/>
      <c r="N426" s="1772"/>
    </row>
    <row r="427" spans="1:14" x14ac:dyDescent="0.2">
      <c r="A427" s="1771"/>
      <c r="B427" s="1585"/>
      <c r="C427" s="1585"/>
      <c r="D427" s="1585"/>
      <c r="E427" s="1585"/>
      <c r="F427" s="1585"/>
      <c r="G427" s="1585"/>
      <c r="H427" s="1585"/>
      <c r="I427" s="1585"/>
      <c r="J427" s="1585"/>
      <c r="N427" s="1772"/>
    </row>
    <row r="428" spans="1:14" x14ac:dyDescent="0.2">
      <c r="A428" s="1771"/>
      <c r="B428" s="1585"/>
      <c r="C428" s="1585"/>
      <c r="D428" s="1585"/>
      <c r="E428" s="1585"/>
      <c r="F428" s="1585"/>
      <c r="G428" s="1585"/>
      <c r="H428" s="1585"/>
      <c r="I428" s="1585"/>
      <c r="J428" s="1585"/>
      <c r="N428" s="1772"/>
    </row>
    <row r="429" spans="1:14" x14ac:dyDescent="0.2">
      <c r="A429" s="1771"/>
      <c r="B429" s="1585"/>
      <c r="C429" s="1585"/>
      <c r="D429" s="1585"/>
      <c r="E429" s="1585"/>
      <c r="F429" s="1585"/>
      <c r="G429" s="1585"/>
      <c r="H429" s="1585"/>
      <c r="I429" s="1585"/>
      <c r="J429" s="1585"/>
      <c r="N429" s="1772"/>
    </row>
    <row r="430" spans="1:14" x14ac:dyDescent="0.2">
      <c r="A430" s="1771"/>
      <c r="B430" s="1585"/>
      <c r="C430" s="1585"/>
      <c r="D430" s="1585"/>
      <c r="E430" s="1585"/>
      <c r="F430" s="1585"/>
      <c r="G430" s="1585"/>
      <c r="H430" s="1585"/>
      <c r="I430" s="1585"/>
      <c r="J430" s="1585"/>
      <c r="N430" s="1772"/>
    </row>
    <row r="431" spans="1:14" x14ac:dyDescent="0.2">
      <c r="A431" s="1771"/>
      <c r="B431" s="1585"/>
      <c r="C431" s="1585"/>
      <c r="D431" s="1585"/>
      <c r="E431" s="1585"/>
      <c r="F431" s="1585"/>
      <c r="G431" s="1585"/>
      <c r="H431" s="1585"/>
      <c r="I431" s="1585"/>
      <c r="J431" s="1585"/>
      <c r="N431" s="1772"/>
    </row>
    <row r="432" spans="1:14" x14ac:dyDescent="0.2">
      <c r="A432" s="1771"/>
      <c r="B432" s="1585"/>
      <c r="C432" s="1585"/>
      <c r="D432" s="1585"/>
      <c r="E432" s="1585"/>
      <c r="F432" s="1585"/>
      <c r="G432" s="1585"/>
      <c r="H432" s="1585"/>
      <c r="I432" s="1585"/>
      <c r="J432" s="1585"/>
      <c r="N432" s="1772"/>
    </row>
    <row r="433" spans="1:14" x14ac:dyDescent="0.2">
      <c r="A433" s="1771"/>
      <c r="B433" s="1585"/>
      <c r="C433" s="1585"/>
      <c r="D433" s="1585"/>
      <c r="E433" s="1585"/>
      <c r="F433" s="1585"/>
      <c r="G433" s="1585"/>
      <c r="H433" s="1585"/>
      <c r="I433" s="1585"/>
      <c r="J433" s="1585"/>
      <c r="N433" s="1772"/>
    </row>
    <row r="434" spans="1:14" ht="12" thickBot="1" x14ac:dyDescent="0.25">
      <c r="A434" s="1773"/>
      <c r="B434" s="1774"/>
      <c r="C434" s="1774"/>
      <c r="D434" s="1774"/>
      <c r="E434" s="1774"/>
      <c r="F434" s="1774"/>
      <c r="G434" s="1774"/>
      <c r="H434" s="1774"/>
      <c r="I434" s="1774"/>
      <c r="J434" s="1774"/>
      <c r="K434" s="1774"/>
      <c r="L434" s="1774"/>
      <c r="M434" s="1774"/>
      <c r="N434" s="1776"/>
    </row>
    <row r="435" spans="1:14" x14ac:dyDescent="0.2">
      <c r="A435" s="1777"/>
      <c r="B435" s="1778"/>
      <c r="C435" s="1778"/>
      <c r="D435" s="1778"/>
      <c r="E435" s="1778"/>
      <c r="F435" s="1778"/>
      <c r="G435" s="1778"/>
      <c r="H435" s="1778"/>
      <c r="I435" s="1778"/>
      <c r="J435" s="1778"/>
      <c r="K435" s="1778"/>
      <c r="L435" s="1778"/>
      <c r="M435" s="1778"/>
      <c r="N435" s="1780"/>
    </row>
    <row r="436" spans="1:14" x14ac:dyDescent="0.2">
      <c r="A436" s="1771"/>
      <c r="B436" s="1585"/>
      <c r="C436" s="1585"/>
      <c r="D436" s="1585"/>
      <c r="E436" s="1585"/>
      <c r="F436" s="1585"/>
      <c r="G436" s="1585"/>
      <c r="H436" s="1585"/>
      <c r="I436" s="1585"/>
      <c r="J436" s="1585"/>
      <c r="N436" s="1772"/>
    </row>
    <row r="437" spans="1:14" x14ac:dyDescent="0.2">
      <c r="A437" s="1771"/>
      <c r="B437" s="1585"/>
      <c r="C437" s="1585"/>
      <c r="D437" s="1585"/>
      <c r="E437" s="1585"/>
      <c r="F437" s="1585"/>
      <c r="G437" s="1585"/>
      <c r="H437" s="1585"/>
      <c r="I437" s="1585"/>
      <c r="J437" s="1585"/>
      <c r="N437" s="1772"/>
    </row>
    <row r="438" spans="1:14" x14ac:dyDescent="0.2">
      <c r="A438" s="1771"/>
      <c r="B438" s="1585"/>
      <c r="C438" s="1585"/>
      <c r="D438" s="1585"/>
      <c r="E438" s="1585"/>
      <c r="F438" s="1585"/>
      <c r="G438" s="1585"/>
      <c r="H438" s="1585"/>
      <c r="I438" s="1585"/>
      <c r="J438" s="1585"/>
      <c r="N438" s="1772"/>
    </row>
    <row r="439" spans="1:14" x14ac:dyDescent="0.2">
      <c r="A439" s="1771"/>
      <c r="B439" s="1585"/>
      <c r="C439" s="1585"/>
      <c r="D439" s="1585"/>
      <c r="E439" s="1585"/>
      <c r="F439" s="1585"/>
      <c r="G439" s="1585"/>
      <c r="H439" s="1585"/>
      <c r="I439" s="1585"/>
      <c r="J439" s="1585"/>
      <c r="N439" s="1772"/>
    </row>
    <row r="440" spans="1:14" x14ac:dyDescent="0.2">
      <c r="A440" s="1771"/>
      <c r="B440" s="1585"/>
      <c r="C440" s="1585"/>
      <c r="D440" s="1585"/>
      <c r="E440" s="1585"/>
      <c r="F440" s="1585"/>
      <c r="G440" s="1585"/>
      <c r="H440" s="1585"/>
      <c r="I440" s="1585"/>
      <c r="J440" s="1585"/>
      <c r="N440" s="1772"/>
    </row>
    <row r="441" spans="1:14" x14ac:dyDescent="0.2">
      <c r="A441" s="1771"/>
      <c r="B441" s="1585"/>
      <c r="C441" s="1585"/>
      <c r="D441" s="1585"/>
      <c r="E441" s="1585"/>
      <c r="F441" s="1585"/>
      <c r="G441" s="1585"/>
      <c r="H441" s="1585"/>
      <c r="I441" s="1585"/>
      <c r="J441" s="1585"/>
      <c r="N441" s="1772"/>
    </row>
    <row r="442" spans="1:14" x14ac:dyDescent="0.2">
      <c r="A442" s="1771"/>
      <c r="B442" s="1585"/>
      <c r="C442" s="1585"/>
      <c r="D442" s="1585"/>
      <c r="E442" s="1585"/>
      <c r="F442" s="1585"/>
      <c r="G442" s="1585"/>
      <c r="H442" s="1585"/>
      <c r="I442" s="1585"/>
      <c r="J442" s="1585"/>
      <c r="N442" s="1772"/>
    </row>
    <row r="443" spans="1:14" x14ac:dyDescent="0.2">
      <c r="A443" s="1771"/>
      <c r="B443" s="1585"/>
      <c r="C443" s="1585"/>
      <c r="D443" s="1585"/>
      <c r="E443" s="1585"/>
      <c r="F443" s="1585"/>
      <c r="G443" s="1585"/>
      <c r="H443" s="1585"/>
      <c r="I443" s="1585"/>
      <c r="J443" s="1585"/>
      <c r="N443" s="1772"/>
    </row>
    <row r="444" spans="1:14" x14ac:dyDescent="0.2">
      <c r="A444" s="1771"/>
      <c r="B444" s="1585"/>
      <c r="C444" s="1585"/>
      <c r="D444" s="1585"/>
      <c r="E444" s="1585"/>
      <c r="F444" s="1585"/>
      <c r="G444" s="1585"/>
      <c r="H444" s="1585"/>
      <c r="I444" s="1585"/>
      <c r="J444" s="1585"/>
      <c r="N444" s="1772"/>
    </row>
    <row r="445" spans="1:14" x14ac:dyDescent="0.2">
      <c r="A445" s="1771"/>
      <c r="B445" s="1585"/>
      <c r="C445" s="1585"/>
      <c r="D445" s="1585"/>
      <c r="E445" s="1585"/>
      <c r="F445" s="1585"/>
      <c r="G445" s="1585"/>
      <c r="H445" s="1585"/>
      <c r="I445" s="1585"/>
      <c r="J445" s="1585"/>
      <c r="N445" s="1772"/>
    </row>
    <row r="446" spans="1:14" x14ac:dyDescent="0.2">
      <c r="A446" s="1771"/>
      <c r="B446" s="1585"/>
      <c r="C446" s="1585"/>
      <c r="D446" s="1585"/>
      <c r="E446" s="1585"/>
      <c r="F446" s="1585"/>
      <c r="G446" s="1585"/>
      <c r="H446" s="1585"/>
      <c r="I446" s="1585"/>
      <c r="J446" s="1585"/>
      <c r="N446" s="1772"/>
    </row>
    <row r="447" spans="1:14" x14ac:dyDescent="0.2">
      <c r="A447" s="1771"/>
      <c r="B447" s="1585"/>
      <c r="C447" s="1585"/>
      <c r="D447" s="1585"/>
      <c r="E447" s="1585"/>
      <c r="F447" s="1585"/>
      <c r="G447" s="1585"/>
      <c r="H447" s="1585"/>
      <c r="I447" s="1585"/>
      <c r="J447" s="1585"/>
      <c r="N447" s="1772"/>
    </row>
    <row r="448" spans="1:14" ht="12" thickBot="1" x14ac:dyDescent="0.25">
      <c r="A448" s="1773"/>
      <c r="B448" s="1774"/>
      <c r="C448" s="1774"/>
      <c r="D448" s="1774"/>
      <c r="E448" s="1774"/>
      <c r="F448" s="1774"/>
      <c r="G448" s="1774"/>
      <c r="H448" s="1774"/>
      <c r="I448" s="1774"/>
      <c r="J448" s="1774"/>
      <c r="K448" s="1774"/>
      <c r="L448" s="1774"/>
      <c r="M448" s="1774"/>
      <c r="N448" s="1776"/>
    </row>
    <row r="449" spans="1:14" x14ac:dyDescent="0.2">
      <c r="E449" s="1585"/>
      <c r="F449" s="1585"/>
      <c r="G449" s="1585"/>
      <c r="H449" s="1585"/>
      <c r="I449" s="1585"/>
      <c r="J449" s="1585"/>
      <c r="N449" s="1793"/>
    </row>
    <row r="450" spans="1:14" x14ac:dyDescent="0.2">
      <c r="E450" s="1585"/>
      <c r="F450" s="1585"/>
      <c r="G450" s="1585"/>
      <c r="H450" s="1585"/>
      <c r="I450" s="1585"/>
      <c r="J450" s="1585"/>
      <c r="N450" s="1793"/>
    </row>
    <row r="451" spans="1:14" x14ac:dyDescent="0.2">
      <c r="E451" s="1585"/>
      <c r="F451" s="1585"/>
      <c r="G451" s="1585"/>
      <c r="H451" s="1585"/>
      <c r="I451" s="1585"/>
      <c r="J451" s="1585"/>
      <c r="N451" s="1793"/>
    </row>
    <row r="452" spans="1:14" x14ac:dyDescent="0.2">
      <c r="E452" s="1585"/>
      <c r="F452" s="1585"/>
      <c r="G452" s="1585"/>
      <c r="H452" s="1585"/>
      <c r="I452" s="1585"/>
      <c r="J452" s="1585"/>
      <c r="N452" s="1793"/>
    </row>
    <row r="453" spans="1:14" x14ac:dyDescent="0.2">
      <c r="E453" s="1585"/>
      <c r="F453" s="1585"/>
      <c r="G453" s="1585"/>
      <c r="H453" s="1585"/>
      <c r="I453" s="1585"/>
      <c r="J453" s="1585"/>
      <c r="N453" s="1793"/>
    </row>
    <row r="454" spans="1:14" x14ac:dyDescent="0.2">
      <c r="E454" s="1585"/>
      <c r="F454" s="1585"/>
      <c r="G454" s="1585"/>
      <c r="H454" s="1585"/>
      <c r="I454" s="1585"/>
      <c r="J454" s="1585"/>
      <c r="N454" s="1793"/>
    </row>
    <row r="455" spans="1:14" x14ac:dyDescent="0.2">
      <c r="E455" s="1585"/>
      <c r="F455" s="1585"/>
      <c r="G455" s="1585"/>
      <c r="H455" s="1585"/>
      <c r="I455" s="1585"/>
      <c r="J455" s="1585"/>
      <c r="N455" s="1793"/>
    </row>
    <row r="456" spans="1:14" x14ac:dyDescent="0.2">
      <c r="E456" s="1585"/>
      <c r="F456" s="1585"/>
      <c r="G456" s="1585"/>
      <c r="H456" s="1585"/>
      <c r="I456" s="1585"/>
      <c r="J456" s="1585"/>
      <c r="N456" s="1793"/>
    </row>
    <row r="457" spans="1:14" ht="12" thickBot="1" x14ac:dyDescent="0.25">
      <c r="E457" s="1585"/>
      <c r="F457" s="1585"/>
      <c r="G457" s="1585"/>
      <c r="H457" s="1585"/>
      <c r="I457" s="1585"/>
      <c r="J457" s="1585"/>
      <c r="N457" s="1793"/>
    </row>
    <row r="458" spans="1:14" x14ac:dyDescent="0.2">
      <c r="A458" s="1777"/>
      <c r="B458" s="1778"/>
      <c r="C458" s="1778"/>
      <c r="D458" s="1778"/>
      <c r="E458" s="1778"/>
      <c r="F458" s="1778"/>
      <c r="G458" s="1778"/>
      <c r="H458" s="1778"/>
      <c r="I458" s="1778"/>
      <c r="J458" s="1778"/>
      <c r="K458" s="1778"/>
      <c r="L458" s="1778"/>
      <c r="M458" s="1778"/>
      <c r="N458" s="1780"/>
    </row>
    <row r="459" spans="1:14" x14ac:dyDescent="0.2">
      <c r="A459" s="1771"/>
      <c r="B459" s="1585"/>
      <c r="C459" s="1585"/>
      <c r="D459" s="1585"/>
      <c r="E459" s="1585"/>
      <c r="F459" s="1585"/>
      <c r="G459" s="1585"/>
      <c r="H459" s="1585"/>
      <c r="I459" s="1585"/>
      <c r="J459" s="1585"/>
      <c r="N459" s="1772"/>
    </row>
    <row r="460" spans="1:14" x14ac:dyDescent="0.2">
      <c r="A460" s="1771"/>
      <c r="B460" s="1585"/>
      <c r="C460" s="1585"/>
      <c r="D460" s="1585"/>
      <c r="E460" s="1585"/>
      <c r="F460" s="1585"/>
      <c r="G460" s="1585"/>
      <c r="H460" s="1585"/>
      <c r="I460" s="1585"/>
      <c r="J460" s="1585"/>
      <c r="N460" s="1772"/>
    </row>
    <row r="461" spans="1:14" x14ac:dyDescent="0.2">
      <c r="A461" s="1771"/>
      <c r="B461" s="1585"/>
      <c r="C461" s="1585"/>
      <c r="D461" s="1585"/>
      <c r="E461" s="1585"/>
      <c r="F461" s="1585"/>
      <c r="G461" s="1585"/>
      <c r="H461" s="1585"/>
      <c r="I461" s="1585"/>
      <c r="J461" s="1585"/>
      <c r="N461" s="1772"/>
    </row>
    <row r="462" spans="1:14" x14ac:dyDescent="0.2">
      <c r="A462" s="1771"/>
      <c r="B462" s="1585"/>
      <c r="C462" s="1585"/>
      <c r="D462" s="1585"/>
      <c r="E462" s="1585"/>
      <c r="F462" s="1585"/>
      <c r="G462" s="1585"/>
      <c r="H462" s="1585"/>
      <c r="I462" s="1585"/>
      <c r="J462" s="1585"/>
      <c r="N462" s="1772"/>
    </row>
    <row r="463" spans="1:14" x14ac:dyDescent="0.2">
      <c r="A463" s="1771"/>
      <c r="B463" s="1585"/>
      <c r="C463" s="1585"/>
      <c r="D463" s="1585"/>
      <c r="E463" s="1585"/>
      <c r="F463" s="1585"/>
      <c r="G463" s="1585"/>
      <c r="H463" s="1585"/>
      <c r="I463" s="1585"/>
      <c r="J463" s="1585"/>
      <c r="N463" s="1772"/>
    </row>
    <row r="464" spans="1:14" x14ac:dyDescent="0.2">
      <c r="A464" s="1771"/>
      <c r="B464" s="1585"/>
      <c r="C464" s="1585"/>
      <c r="D464" s="1585"/>
      <c r="E464" s="1585"/>
      <c r="F464" s="1585"/>
      <c r="G464" s="1585"/>
      <c r="H464" s="1585"/>
      <c r="I464" s="1585"/>
      <c r="J464" s="1585"/>
      <c r="N464" s="1772"/>
    </row>
    <row r="465" spans="1:14" x14ac:dyDescent="0.2">
      <c r="A465" s="1771"/>
      <c r="B465" s="1585"/>
      <c r="C465" s="1585"/>
      <c r="D465" s="1585"/>
      <c r="E465" s="1585"/>
      <c r="F465" s="1585"/>
      <c r="G465" s="1585"/>
      <c r="H465" s="1585"/>
      <c r="I465" s="1585"/>
      <c r="J465" s="1585"/>
      <c r="N465" s="1772"/>
    </row>
    <row r="466" spans="1:14" ht="12" thickBot="1" x14ac:dyDescent="0.25">
      <c r="A466" s="1773"/>
      <c r="B466" s="1774"/>
      <c r="C466" s="1774"/>
      <c r="D466" s="1774"/>
      <c r="E466" s="1774"/>
      <c r="F466" s="1774"/>
      <c r="G466" s="1774"/>
      <c r="H466" s="1774"/>
      <c r="I466" s="1774"/>
      <c r="J466" s="1774"/>
      <c r="K466" s="1774"/>
      <c r="L466" s="1774"/>
      <c r="M466" s="1774"/>
      <c r="N466" s="1776"/>
    </row>
    <row r="467" spans="1:14" x14ac:dyDescent="0.2">
      <c r="E467" s="1585"/>
      <c r="F467" s="1585"/>
      <c r="G467" s="1585"/>
      <c r="H467" s="1585"/>
      <c r="I467" s="1585"/>
      <c r="J467" s="1585"/>
      <c r="N467" s="1793"/>
    </row>
    <row r="468" spans="1:14" x14ac:dyDescent="0.2">
      <c r="E468" s="1585"/>
      <c r="F468" s="1585"/>
      <c r="G468" s="1585"/>
      <c r="H468" s="1585"/>
      <c r="I468" s="1585"/>
      <c r="J468" s="1585"/>
      <c r="N468" s="1793"/>
    </row>
    <row r="469" spans="1:14" x14ac:dyDescent="0.2">
      <c r="E469" s="1585"/>
      <c r="F469" s="1585"/>
      <c r="G469" s="1585"/>
      <c r="H469" s="1585"/>
      <c r="I469" s="1585"/>
      <c r="J469" s="1585"/>
      <c r="N469" s="1793"/>
    </row>
    <row r="470" spans="1:14" x14ac:dyDescent="0.2">
      <c r="E470" s="1585"/>
      <c r="F470" s="1585"/>
      <c r="G470" s="1585"/>
      <c r="H470" s="1585"/>
      <c r="I470" s="1585"/>
      <c r="J470" s="1585"/>
      <c r="N470" s="1793"/>
    </row>
    <row r="471" spans="1:14" x14ac:dyDescent="0.2">
      <c r="E471" s="1585"/>
      <c r="F471" s="1585"/>
      <c r="G471" s="1585"/>
      <c r="H471" s="1585"/>
      <c r="I471" s="1585"/>
      <c r="J471" s="1585"/>
      <c r="N471" s="1793"/>
    </row>
    <row r="472" spans="1:14" x14ac:dyDescent="0.2">
      <c r="E472" s="1585"/>
      <c r="F472" s="1585"/>
      <c r="G472" s="1585"/>
      <c r="H472" s="1585"/>
      <c r="I472" s="1585"/>
      <c r="J472" s="1585"/>
      <c r="N472" s="1793"/>
    </row>
    <row r="473" spans="1:14" x14ac:dyDescent="0.2">
      <c r="E473" s="1585"/>
      <c r="F473" s="1585"/>
      <c r="G473" s="1585"/>
      <c r="H473" s="1585"/>
      <c r="I473" s="1585"/>
      <c r="J473" s="1585"/>
      <c r="N473" s="1793"/>
    </row>
    <row r="474" spans="1:14" x14ac:dyDescent="0.2">
      <c r="E474" s="1585"/>
      <c r="F474" s="1585"/>
      <c r="G474" s="1585"/>
      <c r="H474" s="1585"/>
      <c r="I474" s="1585"/>
      <c r="J474" s="1585"/>
      <c r="N474" s="1793"/>
    </row>
    <row r="475" spans="1:14" x14ac:dyDescent="0.2">
      <c r="E475" s="1585"/>
      <c r="F475" s="1585"/>
      <c r="G475" s="1585"/>
      <c r="H475" s="1585"/>
      <c r="I475" s="1585"/>
      <c r="J475" s="1585"/>
      <c r="N475" s="1793"/>
    </row>
    <row r="476" spans="1:14" x14ac:dyDescent="0.2">
      <c r="E476" s="1585"/>
      <c r="F476" s="1585"/>
      <c r="G476" s="1585"/>
      <c r="H476" s="1585"/>
      <c r="I476" s="1585"/>
      <c r="J476" s="1585"/>
      <c r="N476" s="1793"/>
    </row>
    <row r="477" spans="1:14" x14ac:dyDescent="0.2">
      <c r="E477" s="1585"/>
      <c r="F477" s="1585"/>
      <c r="G477" s="1585"/>
      <c r="H477" s="1585"/>
      <c r="I477" s="1585"/>
      <c r="J477" s="1585"/>
      <c r="N477" s="1793"/>
    </row>
    <row r="478" spans="1:14" x14ac:dyDescent="0.2">
      <c r="E478" s="1585"/>
      <c r="F478" s="1585"/>
      <c r="G478" s="1585"/>
      <c r="H478" s="1585"/>
      <c r="I478" s="1585"/>
      <c r="J478" s="1585"/>
      <c r="N478" s="1793"/>
    </row>
    <row r="479" spans="1:14" x14ac:dyDescent="0.2">
      <c r="E479" s="1585"/>
      <c r="F479" s="1585"/>
      <c r="G479" s="1585"/>
      <c r="H479" s="1585"/>
      <c r="I479" s="1585"/>
      <c r="J479" s="1585"/>
      <c r="N479" s="1793"/>
    </row>
    <row r="480" spans="1:14" x14ac:dyDescent="0.2">
      <c r="E480" s="1585"/>
      <c r="F480" s="1585"/>
      <c r="G480" s="1585"/>
      <c r="H480" s="1585"/>
      <c r="I480" s="1585"/>
      <c r="J480" s="1585"/>
      <c r="N480" s="1793"/>
    </row>
    <row r="481" spans="5:14" x14ac:dyDescent="0.2">
      <c r="E481" s="1585"/>
      <c r="F481" s="1585"/>
      <c r="G481" s="1585"/>
      <c r="H481" s="1585"/>
      <c r="I481" s="1585"/>
      <c r="J481" s="1585"/>
      <c r="N481" s="1793"/>
    </row>
    <row r="482" spans="5:14" x14ac:dyDescent="0.2">
      <c r="E482" s="1585"/>
      <c r="F482" s="1585"/>
      <c r="G482" s="1585"/>
      <c r="H482" s="1585"/>
      <c r="I482" s="1585"/>
      <c r="J482" s="1585"/>
      <c r="N482" s="1793"/>
    </row>
    <row r="483" spans="5:14" x14ac:dyDescent="0.2">
      <c r="E483" s="1585"/>
      <c r="F483" s="1585"/>
      <c r="G483" s="1585"/>
      <c r="H483" s="1585"/>
      <c r="I483" s="1585"/>
      <c r="J483" s="1585"/>
      <c r="N483" s="1793"/>
    </row>
    <row r="484" spans="5:14" x14ac:dyDescent="0.2">
      <c r="E484" s="1585"/>
      <c r="F484" s="1585"/>
      <c r="G484" s="1585"/>
      <c r="H484" s="1585"/>
      <c r="I484" s="1585"/>
      <c r="J484" s="1585"/>
      <c r="N484" s="1793"/>
    </row>
    <row r="485" spans="5:14" x14ac:dyDescent="0.2">
      <c r="E485" s="1585"/>
      <c r="F485" s="1585"/>
      <c r="G485" s="1585"/>
      <c r="H485" s="1585"/>
      <c r="I485" s="1585"/>
      <c r="J485" s="1585"/>
      <c r="N485" s="1793"/>
    </row>
    <row r="486" spans="5:14" x14ac:dyDescent="0.2">
      <c r="E486" s="1585"/>
      <c r="F486" s="1585"/>
      <c r="G486" s="1585"/>
      <c r="H486" s="1585"/>
      <c r="I486" s="1585"/>
      <c r="J486" s="1585"/>
      <c r="N486" s="1793"/>
    </row>
    <row r="487" spans="5:14" x14ac:dyDescent="0.2">
      <c r="E487" s="1585"/>
      <c r="F487" s="1585"/>
      <c r="G487" s="1585"/>
      <c r="H487" s="1585"/>
      <c r="I487" s="1585"/>
      <c r="J487" s="1585"/>
      <c r="N487" s="1793"/>
    </row>
    <row r="488" spans="5:14" x14ac:dyDescent="0.2">
      <c r="E488" s="1585"/>
      <c r="F488" s="1585"/>
      <c r="G488" s="1585"/>
      <c r="H488" s="1585"/>
      <c r="I488" s="1585"/>
      <c r="J488" s="1585"/>
      <c r="N488" s="1793"/>
    </row>
    <row r="489" spans="5:14" x14ac:dyDescent="0.2">
      <c r="E489" s="1585"/>
      <c r="F489" s="1585"/>
      <c r="G489" s="1585"/>
      <c r="H489" s="1585"/>
      <c r="I489" s="1585"/>
      <c r="J489" s="1585"/>
      <c r="N489" s="1793"/>
    </row>
    <row r="490" spans="5:14" x14ac:dyDescent="0.2">
      <c r="E490" s="1585"/>
      <c r="F490" s="1585"/>
      <c r="G490" s="1585"/>
      <c r="H490" s="1585"/>
      <c r="I490" s="1585"/>
      <c r="J490" s="1585"/>
      <c r="N490" s="1793"/>
    </row>
    <row r="491" spans="5:14" x14ac:dyDescent="0.2">
      <c r="E491" s="1585"/>
      <c r="F491" s="1585"/>
      <c r="G491" s="1585"/>
      <c r="H491" s="1585"/>
      <c r="I491" s="1585"/>
      <c r="J491" s="1585"/>
      <c r="N491" s="1793"/>
    </row>
    <row r="492" spans="5:14" x14ac:dyDescent="0.2">
      <c r="E492" s="1585"/>
      <c r="F492" s="1585"/>
      <c r="G492" s="1585"/>
      <c r="H492" s="1585"/>
      <c r="I492" s="1585"/>
      <c r="J492" s="1585"/>
      <c r="N492" s="1793"/>
    </row>
    <row r="493" spans="5:14" x14ac:dyDescent="0.2">
      <c r="E493" s="1585"/>
      <c r="F493" s="1585"/>
      <c r="G493" s="1585"/>
      <c r="H493" s="1585"/>
      <c r="I493" s="1585"/>
      <c r="J493" s="1585"/>
      <c r="N493" s="1793"/>
    </row>
    <row r="494" spans="5:14" x14ac:dyDescent="0.2">
      <c r="E494" s="1585"/>
      <c r="F494" s="1585"/>
      <c r="G494" s="1585"/>
      <c r="H494" s="1585"/>
      <c r="I494" s="1585"/>
      <c r="J494" s="1585"/>
      <c r="N494" s="1793"/>
    </row>
    <row r="495" spans="5:14" x14ac:dyDescent="0.2">
      <c r="E495" s="1585"/>
      <c r="F495" s="1585"/>
      <c r="G495" s="1585"/>
      <c r="H495" s="1585"/>
      <c r="I495" s="1585"/>
      <c r="J495" s="1585"/>
      <c r="N495" s="1793"/>
    </row>
    <row r="496" spans="5:14" x14ac:dyDescent="0.2">
      <c r="E496" s="1585"/>
      <c r="F496" s="1585"/>
      <c r="G496" s="1585"/>
      <c r="H496" s="1585"/>
      <c r="I496" s="1585"/>
      <c r="J496" s="1585"/>
      <c r="N496" s="1793"/>
    </row>
    <row r="497" spans="5:14" x14ac:dyDescent="0.2">
      <c r="E497" s="1585"/>
      <c r="F497" s="1585"/>
      <c r="G497" s="1585"/>
      <c r="H497" s="1585"/>
      <c r="I497" s="1585"/>
      <c r="J497" s="1585"/>
      <c r="N497" s="1793"/>
    </row>
    <row r="498" spans="5:14" x14ac:dyDescent="0.2">
      <c r="E498" s="1585"/>
      <c r="F498" s="1585"/>
      <c r="G498" s="1585"/>
      <c r="H498" s="1585"/>
      <c r="I498" s="1585"/>
      <c r="J498" s="1585"/>
      <c r="N498" s="1793"/>
    </row>
    <row r="499" spans="5:14" x14ac:dyDescent="0.2">
      <c r="E499" s="1585"/>
      <c r="F499" s="1585"/>
      <c r="G499" s="1585"/>
      <c r="H499" s="1585"/>
      <c r="I499" s="1585"/>
      <c r="J499" s="1585"/>
      <c r="N499" s="1793"/>
    </row>
    <row r="507" spans="5:14" x14ac:dyDescent="0.2">
      <c r="F507" s="1581">
        <v>415162</v>
      </c>
    </row>
    <row r="539" spans="1:14" ht="12" thickBot="1" x14ac:dyDescent="0.25"/>
    <row r="540" spans="1:14" x14ac:dyDescent="0.2">
      <c r="A540" s="1777"/>
      <c r="B540" s="1778"/>
      <c r="C540" s="1778"/>
      <c r="D540" s="1778"/>
      <c r="E540" s="1778"/>
      <c r="F540" s="1778"/>
      <c r="G540" s="1778"/>
      <c r="H540" s="1778"/>
      <c r="I540" s="1778"/>
      <c r="J540" s="1795"/>
      <c r="K540" s="1778"/>
      <c r="L540" s="1778"/>
      <c r="M540" s="1778"/>
      <c r="N540" s="1780"/>
    </row>
    <row r="541" spans="1:14" x14ac:dyDescent="0.2">
      <c r="A541" s="1771"/>
      <c r="B541" s="1585"/>
      <c r="C541" s="1585"/>
      <c r="D541" s="1585"/>
      <c r="E541" s="1585"/>
      <c r="F541" s="1585"/>
      <c r="G541" s="1585"/>
      <c r="H541" s="1585"/>
      <c r="I541" s="1585"/>
      <c r="N541" s="1772"/>
    </row>
    <row r="542" spans="1:14" x14ac:dyDescent="0.2">
      <c r="A542" s="1771"/>
      <c r="B542" s="1585"/>
      <c r="C542" s="1585"/>
      <c r="D542" s="1585"/>
      <c r="E542" s="1585"/>
      <c r="F542" s="1585"/>
      <c r="G542" s="1585"/>
      <c r="H542" s="1585"/>
      <c r="I542" s="1585"/>
      <c r="N542" s="1772"/>
    </row>
    <row r="543" spans="1:14" x14ac:dyDescent="0.2">
      <c r="A543" s="1771"/>
      <c r="B543" s="1585"/>
      <c r="C543" s="1585"/>
      <c r="D543" s="1585"/>
      <c r="E543" s="1585"/>
      <c r="F543" s="1585"/>
      <c r="G543" s="1585"/>
      <c r="H543" s="1585"/>
      <c r="I543" s="1585"/>
      <c r="N543" s="1772"/>
    </row>
    <row r="544" spans="1:14" x14ac:dyDescent="0.2">
      <c r="A544" s="1771"/>
      <c r="B544" s="1585"/>
      <c r="C544" s="1585"/>
      <c r="D544" s="1585"/>
      <c r="E544" s="1585"/>
      <c r="F544" s="1585"/>
      <c r="G544" s="1585"/>
      <c r="H544" s="1585"/>
      <c r="I544" s="1585"/>
      <c r="N544" s="1772"/>
    </row>
    <row r="545" spans="1:14" x14ac:dyDescent="0.2">
      <c r="A545" s="1771"/>
      <c r="B545" s="1585"/>
      <c r="C545" s="1585"/>
      <c r="D545" s="1585"/>
      <c r="E545" s="1585"/>
      <c r="F545" s="1585"/>
      <c r="G545" s="1585"/>
      <c r="H545" s="1585"/>
      <c r="I545" s="1585"/>
      <c r="N545" s="1772"/>
    </row>
    <row r="546" spans="1:14" x14ac:dyDescent="0.2">
      <c r="A546" s="1771"/>
      <c r="B546" s="1585"/>
      <c r="C546" s="1585"/>
      <c r="D546" s="1585"/>
      <c r="E546" s="1585"/>
      <c r="F546" s="1585"/>
      <c r="G546" s="1585"/>
      <c r="H546" s="1585"/>
      <c r="I546" s="1585"/>
      <c r="N546" s="1772"/>
    </row>
    <row r="547" spans="1:14" ht="12" thickBot="1" x14ac:dyDescent="0.25">
      <c r="A547" s="1773"/>
      <c r="B547" s="1774"/>
      <c r="C547" s="1774"/>
      <c r="D547" s="1774"/>
      <c r="E547" s="1774"/>
      <c r="F547" s="1774"/>
      <c r="G547" s="1774"/>
      <c r="H547" s="1774"/>
      <c r="I547" s="1774"/>
      <c r="J547" s="1796"/>
      <c r="K547" s="1774"/>
      <c r="L547" s="1774"/>
      <c r="M547" s="1774"/>
      <c r="N547" s="1776"/>
    </row>
    <row r="548" spans="1:14" x14ac:dyDescent="0.2">
      <c r="A548" s="1777"/>
      <c r="B548" s="1778"/>
      <c r="C548" s="1778"/>
      <c r="D548" s="1778"/>
      <c r="E548" s="1778"/>
      <c r="F548" s="1778"/>
      <c r="G548" s="1778"/>
      <c r="H548" s="1778"/>
      <c r="I548" s="1778"/>
      <c r="J548" s="1795"/>
      <c r="K548" s="1778"/>
      <c r="L548" s="1778"/>
      <c r="M548" s="1778"/>
      <c r="N548" s="1780"/>
    </row>
    <row r="549" spans="1:14" x14ac:dyDescent="0.2">
      <c r="A549" s="1771"/>
      <c r="B549" s="1585"/>
      <c r="C549" s="1585"/>
      <c r="D549" s="1585"/>
      <c r="E549" s="1585"/>
      <c r="F549" s="1585"/>
      <c r="G549" s="1585"/>
      <c r="H549" s="1585"/>
      <c r="I549" s="1585"/>
      <c r="N549" s="1772"/>
    </row>
    <row r="550" spans="1:14" x14ac:dyDescent="0.2">
      <c r="A550" s="1771"/>
      <c r="B550" s="1585"/>
      <c r="C550" s="1585"/>
      <c r="D550" s="1585"/>
      <c r="E550" s="1585"/>
      <c r="F550" s="1585"/>
      <c r="G550" s="1585"/>
      <c r="H550" s="1585"/>
      <c r="I550" s="1585"/>
      <c r="N550" s="1772"/>
    </row>
    <row r="551" spans="1:14" ht="12" thickBot="1" x14ac:dyDescent="0.25">
      <c r="A551" s="1773"/>
      <c r="B551" s="1774"/>
      <c r="C551" s="1774"/>
      <c r="D551" s="1774"/>
      <c r="E551" s="1774"/>
      <c r="F551" s="1774"/>
      <c r="G551" s="1774"/>
      <c r="H551" s="1774"/>
      <c r="I551" s="1774"/>
      <c r="J551" s="1796"/>
      <c r="K551" s="1774"/>
      <c r="L551" s="1774"/>
      <c r="M551" s="1774"/>
      <c r="N551" s="1776"/>
    </row>
  </sheetData>
  <mergeCells count="78">
    <mergeCell ref="A5:N5"/>
    <mergeCell ref="A6:A9"/>
    <mergeCell ref="B6:B9"/>
    <mergeCell ref="C6:C9"/>
    <mergeCell ref="D6:H6"/>
    <mergeCell ref="D7:D9"/>
    <mergeCell ref="E7:E9"/>
    <mergeCell ref="F7:F9"/>
    <mergeCell ref="K8:K9"/>
    <mergeCell ref="L8:L9"/>
    <mergeCell ref="M8:M9"/>
    <mergeCell ref="I6:M6"/>
    <mergeCell ref="N6:N9"/>
    <mergeCell ref="A14:A21"/>
    <mergeCell ref="N14:N21"/>
    <mergeCell ref="C15:C18"/>
    <mergeCell ref="C20:C21"/>
    <mergeCell ref="I7:I9"/>
    <mergeCell ref="G7:H7"/>
    <mergeCell ref="G8:G9"/>
    <mergeCell ref="H8:H9"/>
    <mergeCell ref="J7:J9"/>
    <mergeCell ref="K7:M7"/>
    <mergeCell ref="A10:B10"/>
    <mergeCell ref="C29:C30"/>
    <mergeCell ref="A40:A48"/>
    <mergeCell ref="N40:N48"/>
    <mergeCell ref="C42:C45"/>
    <mergeCell ref="C47:C48"/>
    <mergeCell ref="A31:A39"/>
    <mergeCell ref="C33:C36"/>
    <mergeCell ref="C38:C39"/>
    <mergeCell ref="N31:N39"/>
    <mergeCell ref="K1:L1"/>
    <mergeCell ref="A63:A69"/>
    <mergeCell ref="N63:N69"/>
    <mergeCell ref="C65:C66"/>
    <mergeCell ref="C68:C69"/>
    <mergeCell ref="A49:A55"/>
    <mergeCell ref="N49:N55"/>
    <mergeCell ref="C51:C52"/>
    <mergeCell ref="C54:C55"/>
    <mergeCell ref="A56:A62"/>
    <mergeCell ref="N56:N62"/>
    <mergeCell ref="C58:C59"/>
    <mergeCell ref="C61:C62"/>
    <mergeCell ref="A22:A30"/>
    <mergeCell ref="N22:N30"/>
    <mergeCell ref="C24:C27"/>
    <mergeCell ref="I80:I82"/>
    <mergeCell ref="A79:A82"/>
    <mergeCell ref="B79:B82"/>
    <mergeCell ref="C79:C82"/>
    <mergeCell ref="D79:H79"/>
    <mergeCell ref="I79:M79"/>
    <mergeCell ref="J80:J82"/>
    <mergeCell ref="K80:M80"/>
    <mergeCell ref="G81:G82"/>
    <mergeCell ref="H81:H82"/>
    <mergeCell ref="K81:K82"/>
    <mergeCell ref="L81:L82"/>
    <mergeCell ref="M81:M82"/>
    <mergeCell ref="N90:N93"/>
    <mergeCell ref="A70:A76"/>
    <mergeCell ref="N70:N76"/>
    <mergeCell ref="C72:C73"/>
    <mergeCell ref="C75:C76"/>
    <mergeCell ref="A90:A93"/>
    <mergeCell ref="C92:C93"/>
    <mergeCell ref="A83:B83"/>
    <mergeCell ref="A87:A89"/>
    <mergeCell ref="N87:N89"/>
    <mergeCell ref="C88:C89"/>
    <mergeCell ref="N79:N82"/>
    <mergeCell ref="D80:D82"/>
    <mergeCell ref="E80:E82"/>
    <mergeCell ref="F80:F82"/>
    <mergeCell ref="G80:H80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55" firstPageNumber="312" orientation="portrait" useFirstPageNumber="1" r:id="rId1"/>
  <headerFooter alignWithMargins="0">
    <oddHeader>&amp;C&amp;"Arial,Kursywa"Sprawozdanie z wykonania budżetu Województwa Zachodniopomorskiego za 2013 rok - załączniki
______________________________________________________________________________________________________</oddHeader>
    <oddFooter>&amp;C&amp;8&amp;P</oddFooter>
  </headerFooter>
  <rowBreaks count="1" manualBreakCount="1">
    <brk id="6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zał. nr 8</vt:lpstr>
      <vt:lpstr>Nr 8A-Drogi</vt:lpstr>
      <vt:lpstr>Nr 8B-Pol społ i rozwój prz</vt:lpstr>
      <vt:lpstr>Nr 8C-Ochrona zdrowia</vt:lpstr>
      <vt:lpstr>Nr 8D-Oświata</vt:lpstr>
      <vt:lpstr>Nr 8E-Administracja</vt:lpstr>
      <vt:lpstr>Nr 8F-Kultura</vt:lpstr>
      <vt:lpstr>Nr 8G-Rol i och środ</vt:lpstr>
      <vt:lpstr>Nr 8H-Kultura fiz i tur</vt:lpstr>
      <vt:lpstr>Nr 8I-Planow przestrzenne</vt:lpstr>
      <vt:lpstr>Arkusz1</vt:lpstr>
      <vt:lpstr>'Nr 8A-Drogi'!Obszar_wydruku</vt:lpstr>
      <vt:lpstr>'Nr 8B-Pol społ i rozwój prz'!Obszar_wydruku</vt:lpstr>
      <vt:lpstr>'Nr 8C-Ochrona zdrowia'!Obszar_wydruku</vt:lpstr>
      <vt:lpstr>'Nr 8D-Oświata'!Obszar_wydruku</vt:lpstr>
      <vt:lpstr>'Nr 8E-Administracja'!Obszar_wydruku</vt:lpstr>
      <vt:lpstr>'Nr 8F-Kultura'!Obszar_wydruku</vt:lpstr>
      <vt:lpstr>'Nr 8G-Rol i och środ'!Obszar_wydruku</vt:lpstr>
      <vt:lpstr>'Nr 8H-Kultura fiz i tur'!Obszar_wydruku</vt:lpstr>
      <vt:lpstr>'Nr 8I-Planow przestrzenne'!Obszar_wydruku</vt:lpstr>
      <vt:lpstr>'zał. nr 8'!Obszar_wydruku</vt:lpstr>
      <vt:lpstr>'Nr 8A-Drogi'!Tytuły_wydruku</vt:lpstr>
      <vt:lpstr>'Nr 8B-Pol społ i rozwój prz'!Tytuły_wydruku</vt:lpstr>
      <vt:lpstr>'Nr 8C-Ochrona zdrowia'!Tytuły_wydruku</vt:lpstr>
      <vt:lpstr>'Nr 8D-Oświata'!Tytuły_wydruku</vt:lpstr>
      <vt:lpstr>'Nr 8E-Administracja'!Tytuły_wydruku</vt:lpstr>
      <vt:lpstr>'Nr 8F-Kultura'!Tytuły_wydruku</vt:lpstr>
      <vt:lpstr>'Nr 8G-Rol i och środ'!Tytuły_wydruku</vt:lpstr>
      <vt:lpstr>'Nr 8H-Kultura fiz i tur'!Tytuły_wydruku</vt:lpstr>
      <vt:lpstr>'Nr 8I-Planow przestrzenne'!Tytuły_wydruku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2014-03-28T10:46:46Z</cp:lastPrinted>
  <dcterms:created xsi:type="dcterms:W3CDTF">2013-04-19T09:23:32Z</dcterms:created>
  <dcterms:modified xsi:type="dcterms:W3CDTF">2014-04-02T06:20:12Z</dcterms:modified>
</cp:coreProperties>
</file>