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5330" windowHeight="8580" tabRatio="251"/>
  </bookViews>
  <sheets>
    <sheet name="zał. 1 prognoza" sheetId="2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0">'zał. 1 prognoza'!$A$1:$AK$52</definedName>
  </definedNames>
  <calcPr calcId="145621"/>
</workbook>
</file>

<file path=xl/calcChain.xml><?xml version="1.0" encoding="utf-8"?>
<calcChain xmlns="http://schemas.openxmlformats.org/spreadsheetml/2006/main">
  <c r="J37" i="22" l="1"/>
  <c r="J36" i="22" l="1"/>
  <c r="J35" i="22"/>
  <c r="J10" i="22" l="1"/>
  <c r="H37" i="22" l="1"/>
  <c r="H24" i="22"/>
  <c r="H10" i="22"/>
  <c r="J16" i="22" l="1"/>
  <c r="I10" i="22"/>
  <c r="I22" i="22"/>
  <c r="H16" i="22"/>
  <c r="G10" i="22"/>
  <c r="G38" i="22"/>
  <c r="K14" i="22"/>
  <c r="K22" i="22"/>
  <c r="J29" i="22"/>
  <c r="K27" i="22"/>
  <c r="K26" i="22"/>
  <c r="K25" i="22"/>
  <c r="K21" i="22"/>
  <c r="K9" i="22"/>
  <c r="K8" i="22"/>
  <c r="K7" i="22"/>
  <c r="J42" i="22"/>
  <c r="J38" i="22"/>
  <c r="J43" i="22"/>
  <c r="I38" i="22"/>
  <c r="J20" i="22"/>
  <c r="J6" i="22"/>
  <c r="L26" i="22"/>
  <c r="M26" i="22"/>
  <c r="N26" i="22"/>
  <c r="O26" i="22"/>
  <c r="P26" i="22"/>
  <c r="C53" i="22"/>
  <c r="D53" i="22"/>
  <c r="E53" i="22"/>
  <c r="L16" i="22"/>
  <c r="M16" i="22"/>
  <c r="M42" i="22"/>
  <c r="N16" i="22"/>
  <c r="O16" i="22"/>
  <c r="O42" i="22"/>
  <c r="O44" i="22"/>
  <c r="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V25" i="22"/>
  <c r="U25" i="22"/>
  <c r="T25" i="22"/>
  <c r="S25" i="22"/>
  <c r="R25" i="22"/>
  <c r="Q25" i="22"/>
  <c r="Q40" i="22"/>
  <c r="M27" i="22"/>
  <c r="L27" i="22"/>
  <c r="L42" i="22"/>
  <c r="M12" i="22"/>
  <c r="O12" i="22"/>
  <c r="P12" i="22"/>
  <c r="Q12" i="22"/>
  <c r="R12" i="22"/>
  <c r="S12" i="22"/>
  <c r="T12" i="22"/>
  <c r="U12" i="22"/>
  <c r="V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AL12" i="22"/>
  <c r="AM12" i="22"/>
  <c r="L12" i="22"/>
  <c r="O11" i="22"/>
  <c r="N11" i="22"/>
  <c r="M11" i="22"/>
  <c r="L11" i="22"/>
  <c r="L31" i="22"/>
  <c r="F47" i="22"/>
  <c r="M31" i="22"/>
  <c r="P11" i="22"/>
  <c r="Q11" i="22"/>
  <c r="R11" i="22"/>
  <c r="S11" i="22"/>
  <c r="T11" i="22"/>
  <c r="U11" i="22"/>
  <c r="V11" i="22"/>
  <c r="Y11" i="22"/>
  <c r="Z11" i="22"/>
  <c r="AA11" i="22"/>
  <c r="AB11" i="22"/>
  <c r="AC11" i="22"/>
  <c r="AD11" i="22"/>
  <c r="AE11" i="22"/>
  <c r="AF11" i="22"/>
  <c r="AG11" i="22"/>
  <c r="AH11" i="22"/>
  <c r="AI11" i="22"/>
  <c r="AJ11" i="22"/>
  <c r="AK11" i="22"/>
  <c r="AL11" i="22"/>
  <c r="AM11" i="22"/>
  <c r="AE13" i="22"/>
  <c r="AF13" i="22"/>
  <c r="AC13" i="22"/>
  <c r="AD13" i="22"/>
  <c r="Z13" i="22"/>
  <c r="AA13" i="22"/>
  <c r="AB13" i="22"/>
  <c r="Y13" i="22"/>
  <c r="V13" i="22"/>
  <c r="M13" i="22"/>
  <c r="M14" i="22"/>
  <c r="N13" i="22"/>
  <c r="N14" i="22"/>
  <c r="O13" i="22"/>
  <c r="O14" i="22"/>
  <c r="P13" i="22"/>
  <c r="P14" i="22"/>
  <c r="Q13" i="22"/>
  <c r="R13" i="22"/>
  <c r="S13" i="22"/>
  <c r="T13" i="22"/>
  <c r="U13" i="22"/>
  <c r="P25" i="22"/>
  <c r="L13" i="22"/>
  <c r="L14" i="22"/>
  <c r="K13" i="22"/>
  <c r="L8" i="22"/>
  <c r="M8" i="22"/>
  <c r="N8" i="22"/>
  <c r="P8" i="22"/>
  <c r="Q8" i="22"/>
  <c r="R8" i="22"/>
  <c r="S8" i="22"/>
  <c r="T8" i="22"/>
  <c r="U8" i="22"/>
  <c r="V8" i="22"/>
  <c r="Y8" i="22"/>
  <c r="Z8" i="22"/>
  <c r="AA8" i="22"/>
  <c r="AB8" i="22"/>
  <c r="AC8" i="22"/>
  <c r="AD8" i="22"/>
  <c r="AE8" i="22"/>
  <c r="AF8" i="22"/>
  <c r="AG8" i="22"/>
  <c r="AH8" i="22"/>
  <c r="AI8" i="22"/>
  <c r="AJ8" i="22"/>
  <c r="AK8" i="22"/>
  <c r="AL8" i="22"/>
  <c r="AM8" i="22"/>
  <c r="L25" i="22"/>
  <c r="O8" i="22"/>
  <c r="H38" i="22"/>
  <c r="I20" i="22"/>
  <c r="G6" i="22"/>
  <c r="H43" i="22"/>
  <c r="H42" i="22"/>
  <c r="F21" i="22"/>
  <c r="F43" i="22"/>
  <c r="H20" i="22"/>
  <c r="H6" i="22"/>
  <c r="M9" i="22"/>
  <c r="N9" i="22"/>
  <c r="O9" i="22"/>
  <c r="P9" i="22"/>
  <c r="L9" i="22"/>
  <c r="G45" i="22"/>
  <c r="N42" i="22"/>
  <c r="F14" i="22"/>
  <c r="G43" i="22"/>
  <c r="C29" i="22"/>
  <c r="F9" i="22"/>
  <c r="F10" i="22"/>
  <c r="F38" i="22"/>
  <c r="F40" i="22"/>
  <c r="F7" i="22"/>
  <c r="F8" i="22"/>
  <c r="G20" i="22"/>
  <c r="F25" i="22"/>
  <c r="G15" i="22"/>
  <c r="F31" i="22"/>
  <c r="F26" i="22"/>
  <c r="G16" i="22"/>
  <c r="F11" i="22"/>
  <c r="F12" i="22"/>
  <c r="F13" i="22"/>
  <c r="D44" i="22"/>
  <c r="E44" i="22"/>
  <c r="I43" i="22"/>
  <c r="F17" i="22"/>
  <c r="F16" i="22"/>
  <c r="F27" i="22"/>
  <c r="F33" i="22"/>
  <c r="C21" i="22"/>
  <c r="C20" i="22"/>
  <c r="E32" i="22"/>
  <c r="AL16" i="22"/>
  <c r="AL42" i="22"/>
  <c r="Y16" i="22"/>
  <c r="Y42" i="22"/>
  <c r="Z16" i="22"/>
  <c r="Z42" i="22"/>
  <c r="AA16" i="22"/>
  <c r="AA42" i="22"/>
  <c r="AB16" i="22"/>
  <c r="AB42" i="22"/>
  <c r="AC16" i="22"/>
  <c r="AC42" i="22"/>
  <c r="AD16" i="22"/>
  <c r="AD42" i="22"/>
  <c r="AE16" i="22"/>
  <c r="AE42" i="22"/>
  <c r="AF16" i="22"/>
  <c r="AF42" i="22"/>
  <c r="AG16" i="22"/>
  <c r="AG42" i="22"/>
  <c r="AH16" i="22"/>
  <c r="AH42" i="22"/>
  <c r="AI16" i="22"/>
  <c r="AI42" i="22"/>
  <c r="AJ16" i="22"/>
  <c r="AJ42" i="22"/>
  <c r="AK16" i="22"/>
  <c r="AK42" i="22"/>
  <c r="AM16" i="22"/>
  <c r="AM42" i="22"/>
  <c r="V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M9" i="22"/>
  <c r="C10" i="22"/>
  <c r="C38" i="22"/>
  <c r="F20" i="22"/>
  <c r="F30" i="22"/>
  <c r="C33" i="22"/>
  <c r="C25" i="22"/>
  <c r="C40" i="22"/>
  <c r="C41" i="22"/>
  <c r="C43" i="22"/>
  <c r="C36" i="22"/>
  <c r="C35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V9" i="22"/>
  <c r="U9" i="22"/>
  <c r="C15" i="22"/>
  <c r="C17" i="22"/>
  <c r="C16" i="22"/>
  <c r="C27" i="22"/>
  <c r="C7" i="22"/>
  <c r="C9" i="22"/>
  <c r="Q9" i="22"/>
  <c r="R9" i="22"/>
  <c r="S9" i="22"/>
  <c r="T9" i="22"/>
  <c r="C26" i="22"/>
  <c r="M25" i="22"/>
  <c r="O25" i="22"/>
  <c r="I6" i="22"/>
  <c r="N12" i="22"/>
  <c r="N10" i="22"/>
  <c r="L10" i="22"/>
  <c r="M10" i="22"/>
  <c r="M38" i="22"/>
  <c r="O10" i="22"/>
  <c r="P10" i="22"/>
  <c r="Q10" i="22"/>
  <c r="P7" i="22"/>
  <c r="P6" i="22"/>
  <c r="N7" i="22"/>
  <c r="O7" i="22"/>
  <c r="M7" i="22"/>
  <c r="L7" i="22"/>
  <c r="P45" i="22"/>
  <c r="M45" i="22"/>
  <c r="L45" i="22"/>
  <c r="O45" i="22"/>
  <c r="N45" i="22"/>
  <c r="I45" i="22"/>
  <c r="M6" i="22"/>
  <c r="C32" i="22"/>
  <c r="C37" i="22"/>
  <c r="AM21" i="22"/>
  <c r="AM43" i="22"/>
  <c r="Q21" i="22"/>
  <c r="R21" i="22"/>
  <c r="Y21" i="22"/>
  <c r="Y43" i="22"/>
  <c r="AB21" i="22"/>
  <c r="AD21" i="22"/>
  <c r="AA21" i="22"/>
  <c r="AF21" i="22"/>
  <c r="T21" i="22"/>
  <c r="T43" i="22"/>
  <c r="V21" i="22"/>
  <c r="AC21" i="22"/>
  <c r="U21" i="22"/>
  <c r="AK21" i="22"/>
  <c r="AH21" i="22"/>
  <c r="AL21" i="22"/>
  <c r="AJ21" i="22"/>
  <c r="L21" i="22"/>
  <c r="S21" i="22"/>
  <c r="N21" i="22"/>
  <c r="AE21" i="22"/>
  <c r="Z21" i="22"/>
  <c r="Z43" i="22"/>
  <c r="M21" i="22"/>
  <c r="P21" i="22"/>
  <c r="P43" i="22"/>
  <c r="AG21" i="22"/>
  <c r="AJ43" i="22"/>
  <c r="V43" i="22"/>
  <c r="AB43" i="22"/>
  <c r="AI21" i="22"/>
  <c r="N43" i="22"/>
  <c r="N44" i="22"/>
  <c r="AH43" i="22"/>
  <c r="AK43" i="22"/>
  <c r="U43" i="22"/>
  <c r="O21" i="22"/>
  <c r="AD43" i="22"/>
  <c r="Q43" i="22"/>
  <c r="AG43" i="22"/>
  <c r="M43" i="22"/>
  <c r="M44" i="22"/>
  <c r="AI43" i="22"/>
  <c r="L22" i="22"/>
  <c r="M22" i="22"/>
  <c r="N22" i="22"/>
  <c r="O22" i="22"/>
  <c r="P22" i="22"/>
  <c r="Q22" i="22"/>
  <c r="R22" i="22"/>
  <c r="S22" i="22"/>
  <c r="T22" i="22"/>
  <c r="T20" i="22"/>
  <c r="U22" i="22"/>
  <c r="U20" i="22"/>
  <c r="V22" i="22"/>
  <c r="V20" i="22"/>
  <c r="Y22" i="22"/>
  <c r="Y20" i="22"/>
  <c r="Z22" i="22"/>
  <c r="Z20" i="22"/>
  <c r="AA22" i="22"/>
  <c r="AB22" i="22"/>
  <c r="AC22" i="22"/>
  <c r="AD22" i="22"/>
  <c r="AE22" i="22"/>
  <c r="AF22" i="22"/>
  <c r="AG22" i="22"/>
  <c r="AH22" i="22"/>
  <c r="AI22" i="22"/>
  <c r="AI20" i="22"/>
  <c r="AJ22" i="22"/>
  <c r="AK22" i="22"/>
  <c r="AL22" i="22"/>
  <c r="AM22" i="22"/>
  <c r="M20" i="22"/>
  <c r="F48" i="22"/>
  <c r="F42" i="22"/>
  <c r="G42" i="22"/>
  <c r="G44" i="22" s="1"/>
  <c r="I39" i="22"/>
  <c r="I53" i="22" s="1"/>
  <c r="I29" i="22"/>
  <c r="AB20" i="22"/>
  <c r="P38" i="22"/>
  <c r="F29" i="22"/>
  <c r="F6" i="22"/>
  <c r="AH20" i="22"/>
  <c r="AD20" i="22"/>
  <c r="O20" i="22"/>
  <c r="N20" i="22"/>
  <c r="M39" i="22"/>
  <c r="M53" i="22"/>
  <c r="M40" i="22"/>
  <c r="M46" i="22"/>
  <c r="O38" i="22"/>
  <c r="O43" i="22"/>
  <c r="C19" i="22"/>
  <c r="C24" i="22"/>
  <c r="C28" i="22"/>
  <c r="I40" i="22"/>
  <c r="I46" i="22" s="1"/>
  <c r="P20" i="22"/>
  <c r="P37" i="22"/>
  <c r="Q7" i="22"/>
  <c r="O39" i="22"/>
  <c r="O53" i="22"/>
  <c r="O40" i="22"/>
  <c r="O46" i="22"/>
  <c r="R10" i="22"/>
  <c r="Q38" i="22"/>
  <c r="F39" i="22"/>
  <c r="F53" i="22"/>
  <c r="J40" i="22"/>
  <c r="K40" i="22" s="1"/>
  <c r="R38" i="22"/>
  <c r="S10" i="22"/>
  <c r="R40" i="22"/>
  <c r="T10" i="22"/>
  <c r="S38" i="22"/>
  <c r="U10" i="22"/>
  <c r="V10" i="22"/>
  <c r="T38" i="22"/>
  <c r="U38" i="22"/>
  <c r="T40" i="22"/>
  <c r="V38" i="22"/>
  <c r="V40" i="22"/>
  <c r="U40" i="22"/>
  <c r="K20" i="22"/>
  <c r="K43" i="22"/>
  <c r="Q6" i="22"/>
  <c r="R7" i="22"/>
  <c r="F15" i="22"/>
  <c r="F19" i="22"/>
  <c r="F24" i="22"/>
  <c r="F28" i="22"/>
  <c r="F35" i="22"/>
  <c r="F32" i="22"/>
  <c r="F36" i="22"/>
  <c r="F41" i="22"/>
  <c r="P40" i="22"/>
  <c r="P46" i="22"/>
  <c r="K17" i="22"/>
  <c r="I16" i="22"/>
  <c r="L38" i="22"/>
  <c r="S43" i="22"/>
  <c r="S20" i="22"/>
  <c r="AJ20" i="22"/>
  <c r="AC43" i="22"/>
  <c r="AC20" i="22"/>
  <c r="AF43" i="22"/>
  <c r="AF20" i="22"/>
  <c r="R43" i="22"/>
  <c r="R20" i="22"/>
  <c r="M15" i="22"/>
  <c r="M19" i="22"/>
  <c r="M24" i="22"/>
  <c r="M28" i="22"/>
  <c r="M41" i="22"/>
  <c r="M49" i="22"/>
  <c r="N6" i="22"/>
  <c r="S40" i="22"/>
  <c r="J15" i="22"/>
  <c r="K6" i="22"/>
  <c r="J41" i="22"/>
  <c r="Y10" i="22"/>
  <c r="Q39" i="22"/>
  <c r="P39" i="22"/>
  <c r="P53" i="22"/>
  <c r="L20" i="22"/>
  <c r="F37" i="22"/>
  <c r="M37" i="22"/>
  <c r="L29" i="22"/>
  <c r="AG20" i="22"/>
  <c r="Q20" i="22"/>
  <c r="Q37" i="22"/>
  <c r="I37" i="22"/>
  <c r="I15" i="22"/>
  <c r="I41" i="22"/>
  <c r="I35" i="22"/>
  <c r="AM20" i="22"/>
  <c r="AK20" i="22"/>
  <c r="P32" i="22"/>
  <c r="AE43" i="22"/>
  <c r="AE20" i="22"/>
  <c r="L43" i="22"/>
  <c r="L44" i="22"/>
  <c r="AL43" i="22"/>
  <c r="AL20" i="22"/>
  <c r="AA43" i="22"/>
  <c r="AA20" i="22"/>
  <c r="L6" i="22"/>
  <c r="L39" i="22"/>
  <c r="L53" i="22"/>
  <c r="O6" i="22"/>
  <c r="P15" i="22"/>
  <c r="P41" i="22"/>
  <c r="N38" i="22"/>
  <c r="H15" i="22"/>
  <c r="H19" i="22" s="1"/>
  <c r="H28" i="22" s="1"/>
  <c r="G37" i="22"/>
  <c r="L40" i="22"/>
  <c r="L46" i="22"/>
  <c r="K38" i="22"/>
  <c r="J39" i="22"/>
  <c r="K39" i="22" s="1"/>
  <c r="F44" i="22"/>
  <c r="G35" i="22"/>
  <c r="H29" i="22"/>
  <c r="H35" i="22" s="1"/>
  <c r="G39" i="22"/>
  <c r="G53" i="22" s="1"/>
  <c r="H39" i="22"/>
  <c r="H53" i="22" s="1"/>
  <c r="H40" i="22"/>
  <c r="H41" i="22" s="1"/>
  <c r="I51" i="22"/>
  <c r="K10" i="22"/>
  <c r="H36" i="22"/>
  <c r="K29" i="22"/>
  <c r="J53" i="22"/>
  <c r="N40" i="22"/>
  <c r="N46" i="22"/>
  <c r="O41" i="22"/>
  <c r="O49" i="22"/>
  <c r="O15" i="22"/>
  <c r="O19" i="22"/>
  <c r="O24" i="22"/>
  <c r="O28" i="22"/>
  <c r="P16" i="22"/>
  <c r="P42" i="22"/>
  <c r="P44" i="22"/>
  <c r="O37" i="22"/>
  <c r="L32" i="22"/>
  <c r="L15" i="22"/>
  <c r="L19" i="22"/>
  <c r="L24" i="22"/>
  <c r="L28" i="22"/>
  <c r="L41" i="22"/>
  <c r="L49" i="22"/>
  <c r="L35" i="22"/>
  <c r="M29" i="22"/>
  <c r="L37" i="22"/>
  <c r="N39" i="22"/>
  <c r="N53" i="22"/>
  <c r="K15" i="22"/>
  <c r="J19" i="22"/>
  <c r="J24" i="22" s="1"/>
  <c r="J28" i="22" s="1"/>
  <c r="N15" i="22"/>
  <c r="N19" i="22"/>
  <c r="N24" i="22"/>
  <c r="N28" i="22"/>
  <c r="N41" i="22"/>
  <c r="N49" i="22"/>
  <c r="M32" i="22"/>
  <c r="K16" i="22"/>
  <c r="I42" i="22"/>
  <c r="N37" i="22"/>
  <c r="S7" i="22"/>
  <c r="R39" i="22"/>
  <c r="R6" i="22"/>
  <c r="G36" i="22"/>
  <c r="G40" i="22"/>
  <c r="G41" i="22" s="1"/>
  <c r="P49" i="22"/>
  <c r="I19" i="22"/>
  <c r="I24" i="22" s="1"/>
  <c r="Z10" i="22"/>
  <c r="Y38" i="22"/>
  <c r="Y40" i="22"/>
  <c r="K41" i="22"/>
  <c r="R37" i="22"/>
  <c r="Q15" i="22"/>
  <c r="Q41" i="22"/>
  <c r="Z38" i="22"/>
  <c r="Z40" i="22"/>
  <c r="AA10" i="22"/>
  <c r="L30" i="22"/>
  <c r="I36" i="22"/>
  <c r="I44" i="22"/>
  <c r="O32" i="22"/>
  <c r="O33" i="22"/>
  <c r="R33" i="22"/>
  <c r="R41" i="22"/>
  <c r="R15" i="22"/>
  <c r="S6" i="22"/>
  <c r="S39" i="22"/>
  <c r="T7" i="22"/>
  <c r="N32" i="22"/>
  <c r="N29" i="22"/>
  <c r="M35" i="22"/>
  <c r="M33" i="22"/>
  <c r="L33" i="22"/>
  <c r="P19" i="22"/>
  <c r="P24" i="22"/>
  <c r="P28" i="22"/>
  <c r="Q16" i="22"/>
  <c r="Q42" i="22"/>
  <c r="Q49" i="22"/>
  <c r="Q32" i="22"/>
  <c r="AA38" i="22"/>
  <c r="AA40" i="22"/>
  <c r="AB10" i="22"/>
  <c r="N35" i="22"/>
  <c r="O29" i="22"/>
  <c r="O35" i="22" s="1"/>
  <c r="U7" i="22"/>
  <c r="T6" i="22"/>
  <c r="T39" i="22"/>
  <c r="S15" i="22"/>
  <c r="S41" i="22"/>
  <c r="S37" i="22"/>
  <c r="R32" i="22"/>
  <c r="P33" i="22"/>
  <c r="N33" i="22"/>
  <c r="M30" i="22"/>
  <c r="L36" i="22"/>
  <c r="Q19" i="22"/>
  <c r="Q24" i="22"/>
  <c r="Q28" i="22"/>
  <c r="R16" i="22"/>
  <c r="R42" i="22"/>
  <c r="R49" i="22"/>
  <c r="Q33" i="22"/>
  <c r="N30" i="22"/>
  <c r="M36" i="22"/>
  <c r="T33" i="22"/>
  <c r="S33" i="22"/>
  <c r="S32" i="22"/>
  <c r="U6" i="22"/>
  <c r="U39" i="22"/>
  <c r="V7" i="22"/>
  <c r="AC10" i="22"/>
  <c r="AB38" i="22"/>
  <c r="AB40" i="22"/>
  <c r="T41" i="22"/>
  <c r="T15" i="22"/>
  <c r="T37" i="22"/>
  <c r="P29" i="22"/>
  <c r="Q29" i="22" s="1"/>
  <c r="R19" i="22"/>
  <c r="R24" i="22"/>
  <c r="R28" i="22"/>
  <c r="S16" i="22"/>
  <c r="S42" i="22"/>
  <c r="S49" i="22"/>
  <c r="T32" i="22"/>
  <c r="V6" i="22"/>
  <c r="Y7" i="22"/>
  <c r="V39" i="22"/>
  <c r="S19" i="22"/>
  <c r="S24" i="22"/>
  <c r="S28" i="22"/>
  <c r="T16" i="22"/>
  <c r="T42" i="22"/>
  <c r="P35" i="22"/>
  <c r="T19" i="22"/>
  <c r="T24" i="22"/>
  <c r="T28" i="22"/>
  <c r="U16" i="22"/>
  <c r="U42" i="22"/>
  <c r="T49" i="22"/>
  <c r="AC38" i="22"/>
  <c r="AC40" i="22"/>
  <c r="AD10" i="22"/>
  <c r="U41" i="22"/>
  <c r="U15" i="22"/>
  <c r="U19" i="22"/>
  <c r="U24" i="22"/>
  <c r="U28" i="22"/>
  <c r="V16" i="22"/>
  <c r="V42" i="22"/>
  <c r="U37" i="22"/>
  <c r="U33" i="22"/>
  <c r="O30" i="22"/>
  <c r="N36" i="22"/>
  <c r="U32" i="22"/>
  <c r="AD38" i="22"/>
  <c r="AD40" i="22"/>
  <c r="AE10" i="22"/>
  <c r="V41" i="22"/>
  <c r="V15" i="22"/>
  <c r="V19" i="22"/>
  <c r="V24" i="22"/>
  <c r="V28" i="22"/>
  <c r="V37" i="22"/>
  <c r="P30" i="22"/>
  <c r="O36" i="22"/>
  <c r="Z7" i="22"/>
  <c r="Y6" i="22"/>
  <c r="Y39" i="22"/>
  <c r="Z39" i="22"/>
  <c r="Z6" i="22"/>
  <c r="AA7" i="22"/>
  <c r="Q30" i="22"/>
  <c r="P36" i="22"/>
  <c r="AF10" i="22"/>
  <c r="AE38" i="22"/>
  <c r="AE40" i="22"/>
  <c r="Y33" i="22"/>
  <c r="Y15" i="22"/>
  <c r="Y19" i="22"/>
  <c r="Y24" i="22"/>
  <c r="Y28" i="22"/>
  <c r="Y32" i="22"/>
  <c r="Y41" i="22"/>
  <c r="Y37" i="22"/>
  <c r="V32" i="22"/>
  <c r="V33" i="22"/>
  <c r="AB7" i="22"/>
  <c r="AA6" i="22"/>
  <c r="AA39" i="22"/>
  <c r="Z33" i="22"/>
  <c r="AG10" i="22"/>
  <c r="AF38" i="22"/>
  <c r="AF40" i="22"/>
  <c r="Z15" i="22"/>
  <c r="Z19" i="22"/>
  <c r="Z24" i="22"/>
  <c r="Z28" i="22"/>
  <c r="Z41" i="22"/>
  <c r="Z32" i="22"/>
  <c r="Z37" i="22"/>
  <c r="AA33" i="22"/>
  <c r="AB6" i="22"/>
  <c r="AC7" i="22"/>
  <c r="AB39" i="22"/>
  <c r="AG38" i="22"/>
  <c r="AG40" i="22"/>
  <c r="AH10" i="22"/>
  <c r="AA15" i="22"/>
  <c r="AA19" i="22"/>
  <c r="AA24" i="22"/>
  <c r="AA28" i="22"/>
  <c r="AA41" i="22"/>
  <c r="AA37" i="22"/>
  <c r="AA32" i="22"/>
  <c r="AD7" i="22"/>
  <c r="AC39" i="22"/>
  <c r="AC6" i="22"/>
  <c r="AB32" i="22"/>
  <c r="AB15" i="22"/>
  <c r="AB19" i="22"/>
  <c r="AB24" i="22"/>
  <c r="AB28" i="22"/>
  <c r="AB41" i="22"/>
  <c r="AB37" i="22"/>
  <c r="AB33" i="22"/>
  <c r="AH38" i="22"/>
  <c r="AH40" i="22"/>
  <c r="AI10" i="22"/>
  <c r="AI38" i="22"/>
  <c r="AI40" i="22"/>
  <c r="AJ10" i="22"/>
  <c r="AC15" i="22"/>
  <c r="AC19" i="22"/>
  <c r="AC24" i="22"/>
  <c r="AC28" i="22"/>
  <c r="AC41" i="22"/>
  <c r="AC37" i="22"/>
  <c r="AC32" i="22"/>
  <c r="AC33" i="22"/>
  <c r="AD6" i="22"/>
  <c r="AD39" i="22"/>
  <c r="AE7" i="22"/>
  <c r="AD33" i="22"/>
  <c r="AD37" i="22"/>
  <c r="AD15" i="22"/>
  <c r="AD19" i="22"/>
  <c r="AD24" i="22"/>
  <c r="AD28" i="22"/>
  <c r="AD32" i="22"/>
  <c r="AD41" i="22"/>
  <c r="AF7" i="22"/>
  <c r="AE6" i="22"/>
  <c r="AE39" i="22"/>
  <c r="AK10" i="22"/>
  <c r="AJ38" i="22"/>
  <c r="AJ40" i="22"/>
  <c r="AK38" i="22"/>
  <c r="AK40" i="22"/>
  <c r="AL10" i="22"/>
  <c r="AE15" i="22"/>
  <c r="AE19" i="22"/>
  <c r="AE24" i="22"/>
  <c r="AE28" i="22"/>
  <c r="AE41" i="22"/>
  <c r="AE37" i="22"/>
  <c r="AE32" i="22"/>
  <c r="AF6" i="22"/>
  <c r="AF39" i="22"/>
  <c r="AG7" i="22"/>
  <c r="AH7" i="22"/>
  <c r="AG39" i="22"/>
  <c r="AG6" i="22"/>
  <c r="AF33" i="22"/>
  <c r="AE33" i="22"/>
  <c r="AF15" i="22"/>
  <c r="AF19" i="22"/>
  <c r="AF24" i="22"/>
  <c r="AF28" i="22"/>
  <c r="AF45" i="22"/>
  <c r="AF41" i="22"/>
  <c r="AF32" i="22"/>
  <c r="AF37" i="22"/>
  <c r="AL38" i="22"/>
  <c r="AL40" i="22"/>
  <c r="AM10" i="22"/>
  <c r="AG15" i="22"/>
  <c r="AG19" i="22"/>
  <c r="AG24" i="22"/>
  <c r="AG28" i="22"/>
  <c r="AG45" i="22"/>
  <c r="AG41" i="22"/>
  <c r="AG37" i="22"/>
  <c r="AG32" i="22"/>
  <c r="AI7" i="22"/>
  <c r="AH39" i="22"/>
  <c r="AH6" i="22"/>
  <c r="AM38" i="22"/>
  <c r="AM40" i="22"/>
  <c r="AH15" i="22"/>
  <c r="AH19" i="22"/>
  <c r="AH24" i="22"/>
  <c r="AH28" i="22"/>
  <c r="AH45" i="22"/>
  <c r="AH41" i="22"/>
  <c r="AH32" i="22"/>
  <c r="AH37" i="22"/>
  <c r="AI6" i="22"/>
  <c r="AI39" i="22"/>
  <c r="AJ7" i="22"/>
  <c r="AG33" i="22"/>
  <c r="AH33" i="22"/>
  <c r="AK7" i="22"/>
  <c r="AJ6" i="22"/>
  <c r="AJ39" i="22"/>
  <c r="AI32" i="22"/>
  <c r="AI15" i="22"/>
  <c r="AI19" i="22"/>
  <c r="AI24" i="22"/>
  <c r="AI28" i="22"/>
  <c r="AI45" i="22"/>
  <c r="AI37" i="22"/>
  <c r="AI41" i="22"/>
  <c r="AJ15" i="22"/>
  <c r="AJ19" i="22"/>
  <c r="AJ24" i="22"/>
  <c r="AJ28" i="22"/>
  <c r="AJ45" i="22"/>
  <c r="AJ41" i="22"/>
  <c r="AJ32" i="22"/>
  <c r="AJ37" i="22"/>
  <c r="AI33" i="22"/>
  <c r="AK6" i="22"/>
  <c r="AL7" i="22"/>
  <c r="AK39" i="22"/>
  <c r="AM7" i="22"/>
  <c r="AL6" i="22"/>
  <c r="AL39" i="22"/>
  <c r="AK15" i="22"/>
  <c r="AK19" i="22"/>
  <c r="AK24" i="22"/>
  <c r="AK28" i="22"/>
  <c r="AK45" i="22"/>
  <c r="AK41" i="22"/>
  <c r="AK37" i="22"/>
  <c r="AK32" i="22"/>
  <c r="AJ33" i="22"/>
  <c r="AK33" i="22"/>
  <c r="AL41" i="22"/>
  <c r="AL15" i="22"/>
  <c r="AL19" i="22"/>
  <c r="AL24" i="22"/>
  <c r="AL28" i="22"/>
  <c r="AL45" i="22"/>
  <c r="AL48" i="22"/>
  <c r="AL37" i="22"/>
  <c r="AL32" i="22"/>
  <c r="AM33" i="22"/>
  <c r="AM6" i="22"/>
  <c r="AM39" i="22"/>
  <c r="AL33" i="22"/>
  <c r="AM15" i="22"/>
  <c r="AM19" i="22"/>
  <c r="AM24" i="22"/>
  <c r="AM28" i="22"/>
  <c r="AM45" i="22"/>
  <c r="AM41" i="22"/>
  <c r="AM37" i="22"/>
  <c r="AM32" i="22"/>
  <c r="K42" i="22" l="1"/>
  <c r="K19" i="22"/>
  <c r="Q35" i="22"/>
  <c r="R29" i="22"/>
  <c r="Q36" i="22"/>
  <c r="I28" i="22"/>
  <c r="K24" i="22"/>
  <c r="G46" i="22"/>
  <c r="G19" i="22"/>
  <c r="G24" i="22" s="1"/>
  <c r="G28" i="22" s="1"/>
  <c r="S29" i="22" l="1"/>
  <c r="R36" i="22"/>
  <c r="R35" i="22"/>
  <c r="S36" i="22" l="1"/>
  <c r="S35" i="22"/>
  <c r="T29" i="22"/>
  <c r="U29" i="22" l="1"/>
  <c r="T36" i="22"/>
  <c r="T35" i="22"/>
  <c r="U36" i="22" l="1"/>
  <c r="V29" i="22"/>
  <c r="U35" i="22"/>
  <c r="Y29" i="22" l="1"/>
  <c r="V35" i="22"/>
  <c r="V36" i="22"/>
  <c r="Y35" i="22" l="1"/>
  <c r="Y36" i="22"/>
  <c r="Z29" i="22"/>
  <c r="AA29" i="22" l="1"/>
  <c r="Z36" i="22"/>
  <c r="Z35" i="22"/>
  <c r="AA36" i="22" l="1"/>
  <c r="AA35" i="22"/>
  <c r="AB29" i="22"/>
  <c r="AC29" i="22" l="1"/>
  <c r="AB35" i="22"/>
  <c r="AB36" i="22"/>
  <c r="AC36" i="22" l="1"/>
  <c r="AD29" i="22"/>
  <c r="AC35" i="22"/>
  <c r="AD35" i="22" l="1"/>
  <c r="AE29" i="22"/>
  <c r="AD36" i="22"/>
  <c r="AF29" i="22" l="1"/>
  <c r="AE36" i="22"/>
  <c r="AE35" i="22"/>
  <c r="AF36" i="22" l="1"/>
  <c r="AG29" i="22"/>
  <c r="AF35" i="22"/>
  <c r="AG36" i="22" l="1"/>
  <c r="AH29" i="22"/>
  <c r="AG35" i="22"/>
  <c r="AI29" i="22" l="1"/>
  <c r="AH35" i="22"/>
  <c r="AH36" i="22"/>
  <c r="AI36" i="22" l="1"/>
  <c r="AI35" i="22"/>
  <c r="AJ29" i="22"/>
  <c r="AK29" i="22" l="1"/>
  <c r="AJ36" i="22"/>
  <c r="AJ35" i="22"/>
  <c r="AK35" i="22" l="1"/>
  <c r="AK36" i="22"/>
  <c r="AL29" i="22"/>
  <c r="AL36" i="22" l="1"/>
  <c r="AL35" i="22"/>
  <c r="AM29" i="22"/>
  <c r="AL49" i="22"/>
  <c r="AM35" i="22" l="1"/>
  <c r="AM36" i="22"/>
</calcChain>
</file>

<file path=xl/comments1.xml><?xml version="1.0" encoding="utf-8"?>
<comments xmlns="http://schemas.openxmlformats.org/spreadsheetml/2006/main">
  <authors>
    <author>WStachera</author>
    <author xml:space="preserve"> Województwa Zachodniopomorskiego</author>
  </authors>
  <commentList>
    <comment ref="F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kwota została skorygowana w uchwale Sejmiku z lipca br.</t>
        </r>
      </text>
    </comment>
    <comment ref="L2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 dodano 41.667 zl - konieczność korekty rozchodów w 2011 r.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kwota planu na 30.06
</t>
        </r>
      </text>
    </comment>
    <comment ref="F3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tylko wkład własny do projektów bieżących i inwestycyjnych</t>
        </r>
      </text>
    </comment>
  </commentList>
</comments>
</file>

<file path=xl/sharedStrings.xml><?xml version="1.0" encoding="utf-8"?>
<sst xmlns="http://schemas.openxmlformats.org/spreadsheetml/2006/main" count="282" uniqueCount="153">
  <si>
    <t>Wyszczególnienie</t>
  </si>
  <si>
    <t>6</t>
  </si>
  <si>
    <t>7</t>
  </si>
  <si>
    <t>8</t>
  </si>
  <si>
    <t>9</t>
  </si>
  <si>
    <t>Lp.</t>
  </si>
  <si>
    <t>10</t>
  </si>
  <si>
    <t>11</t>
  </si>
  <si>
    <t>1.</t>
  </si>
  <si>
    <t>2.</t>
  </si>
  <si>
    <t>3.</t>
  </si>
  <si>
    <t>4.</t>
  </si>
  <si>
    <t>5.</t>
  </si>
  <si>
    <t>6.</t>
  </si>
  <si>
    <t>8.</t>
  </si>
  <si>
    <t>12</t>
  </si>
  <si>
    <t>Prognoza na 2013 rok</t>
  </si>
  <si>
    <t>Prognoza na 2012 rok</t>
  </si>
  <si>
    <t>9.</t>
  </si>
  <si>
    <t>10.</t>
  </si>
  <si>
    <t>11.</t>
  </si>
  <si>
    <t>13.</t>
  </si>
  <si>
    <t>19.</t>
  </si>
  <si>
    <t>20.</t>
  </si>
  <si>
    <t>21.</t>
  </si>
  <si>
    <t>22.</t>
  </si>
  <si>
    <t>Prognoza na 2014 rok</t>
  </si>
  <si>
    <t>Prognoza na 2015 rok</t>
  </si>
  <si>
    <t>3</t>
  </si>
  <si>
    <t>14.</t>
  </si>
  <si>
    <t>15.</t>
  </si>
  <si>
    <t>16.</t>
  </si>
  <si>
    <t>17.</t>
  </si>
  <si>
    <t>18.</t>
  </si>
  <si>
    <t>Prognoza na 2016 rok</t>
  </si>
  <si>
    <t>Prognoza na 2017 rok</t>
  </si>
  <si>
    <t>Prognoza na 2018 rok</t>
  </si>
  <si>
    <t>13</t>
  </si>
  <si>
    <t>14</t>
  </si>
  <si>
    <t xml:space="preserve">Wykonanie 2007 roku  </t>
  </si>
  <si>
    <t>Wykonanie 2008 roku</t>
  </si>
  <si>
    <t>Prognoza na 2019 rok</t>
  </si>
  <si>
    <t>Prognoza na 2020 rok</t>
  </si>
  <si>
    <t>Prognoza na 2021 rok</t>
  </si>
  <si>
    <t>15</t>
  </si>
  <si>
    <t>16</t>
  </si>
  <si>
    <t>Nadwyżka operacyjna</t>
  </si>
  <si>
    <t>4</t>
  </si>
  <si>
    <t>5</t>
  </si>
  <si>
    <t>Wykonanie 2009 rok</t>
  </si>
  <si>
    <t>x</t>
  </si>
  <si>
    <t>w tym sprzedaż majątku</t>
  </si>
  <si>
    <t>Dochody bieżące</t>
  </si>
  <si>
    <t>Dochody majątkowe</t>
  </si>
  <si>
    <t>a</t>
  </si>
  <si>
    <t>b</t>
  </si>
  <si>
    <t>c</t>
  </si>
  <si>
    <t>d</t>
  </si>
  <si>
    <t>na wynagrodzenia i składki od nich naliczane</t>
  </si>
  <si>
    <t>związane z funkcjonowaniem organów j.s.t. (rozdz. 75011, 75017, 75018)</t>
  </si>
  <si>
    <t>z tytułu gwarancji i poręczeń</t>
  </si>
  <si>
    <t>Nadwyżka budżetowa z lat ubiegłych oraz wolne środki, zgodnie z art. 217 ufp, w tym:</t>
  </si>
  <si>
    <t>Inne przychody niezwiązane z zaciągnięciem długu</t>
  </si>
  <si>
    <t>Środki do dyspozycji (3+4+5)</t>
  </si>
  <si>
    <t xml:space="preserve">7. </t>
  </si>
  <si>
    <t>Spłata i obsługa długu, z tego:</t>
  </si>
  <si>
    <t>rozchody z tytułu rat kapitałowych oraz wykupu papierów wartościowych</t>
  </si>
  <si>
    <t>wydatki bieżące na obsługę długu</t>
  </si>
  <si>
    <t>Inne rozchody (bez spłaty długu)</t>
  </si>
  <si>
    <t>Wydatki majątkowe, w tym:</t>
  </si>
  <si>
    <t xml:space="preserve">a </t>
  </si>
  <si>
    <t>Przychody (kredyty, pożyczki)</t>
  </si>
  <si>
    <t xml:space="preserve">12. </t>
  </si>
  <si>
    <t>Wynik finansowy budżetu (9-10+11)</t>
  </si>
  <si>
    <t>nadwyżka budżetowa z lat ubiegłych plus wolne środki, zgodnie z art. 217 ufp, angażowane na pokrycie deficytu budżetowego</t>
  </si>
  <si>
    <t>Planowana łączna kwota spłaty zobowiązań</t>
  </si>
  <si>
    <t>wydatki majątkowe objęte limitem art. 226 ust 4 ufp*</t>
  </si>
  <si>
    <t>Środki do dyspozycji na wydatki majątkowe
 (6-7-8)</t>
  </si>
  <si>
    <t>wydatki bieżące objęte limitem art. 226 ust. 4 ufp</t>
  </si>
  <si>
    <t>w zł</t>
  </si>
  <si>
    <t>Kwota długu na dzień 31.12., w tym:</t>
  </si>
  <si>
    <t>Wydatki bieżące razem (2+7b)</t>
  </si>
  <si>
    <t>Przychody budżetu</t>
  </si>
  <si>
    <t>Rozchody budżetu (7a+8)</t>
  </si>
  <si>
    <t>Prognoza na 2022 rok</t>
  </si>
  <si>
    <t>Prognoza na 2023 rok</t>
  </si>
  <si>
    <t>Prognoza na 2024 rok</t>
  </si>
  <si>
    <t>Prognoza na 2025 rok</t>
  </si>
  <si>
    <t>Prognoza na 2026 rok</t>
  </si>
  <si>
    <t>Prognoza na 2027 rok</t>
  </si>
  <si>
    <t>Prognoza na 2028 rok</t>
  </si>
  <si>
    <t>Prognoza na 2029 rok</t>
  </si>
  <si>
    <t>Prognoza na 2030 rok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</si>
  <si>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</si>
  <si>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</si>
  <si>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</si>
  <si>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</si>
  <si>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</si>
  <si>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</si>
  <si>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</si>
  <si>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</si>
  <si>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</si>
  <si>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Prognoza na 2031 rok</t>
  </si>
  <si>
    <t>Prognoza na 2032 rok</t>
  </si>
  <si>
    <t>Prognoza na 2033 rok</t>
  </si>
  <si>
    <t>Prognoza na 2035 rok</t>
  </si>
  <si>
    <t>Prognoza na 2034 rok</t>
  </si>
  <si>
    <t>26</t>
  </si>
  <si>
    <t>27</t>
  </si>
  <si>
    <t>28</t>
  </si>
  <si>
    <t>29</t>
  </si>
  <si>
    <t>30</t>
  </si>
  <si>
    <t>Prognoza na 2036 rok</t>
  </si>
  <si>
    <t>31</t>
  </si>
  <si>
    <t>Maksymalny dopuszczalny wskaźnik spłaty
 z art. 243 ufp</t>
  </si>
  <si>
    <t>Spełnienie wskaźnika  spłaty z art. 243 ufp po uwzględnieniu art. 244 ufp</t>
  </si>
  <si>
    <t>16a.</t>
  </si>
  <si>
    <t xml:space="preserve">zgodny 
z art. 243 </t>
  </si>
  <si>
    <t>Budżet na 2010 rok wg stanu na dzień
31 października</t>
  </si>
  <si>
    <t>kwoty z projektu</t>
  </si>
  <si>
    <t>Prognoza na 2037 rok</t>
  </si>
  <si>
    <t>32</t>
  </si>
  <si>
    <t>Wydatki ogółem (10+18)</t>
  </si>
  <si>
    <t>Wynik budżetu (1-19)</t>
  </si>
  <si>
    <t>NO</t>
  </si>
  <si>
    <t>Nadwyżka operacyjna (Db-Wb)</t>
  </si>
  <si>
    <t>PROGNOZA ŁĄCZNEJ KWOTY DŁUGU BUDŻETU WOJEWÓDZTWA  ZACHODNIOPOMORSKIEGO NA LATA  2011-2037 - c.d.</t>
  </si>
  <si>
    <t xml:space="preserve">niezgodny 
z art. 243 </t>
  </si>
  <si>
    <t>Wskaźnik NO/7b</t>
  </si>
  <si>
    <t>-</t>
  </si>
  <si>
    <t>w złotych</t>
  </si>
  <si>
    <t>Wskaźnik realizacji
(kol. 6: kol. 5)
w %</t>
  </si>
  <si>
    <t>Załącznik nr 1</t>
  </si>
  <si>
    <t>Kwota długu na dzień 31.12./30.06., w tym:</t>
  </si>
  <si>
    <t>wydatki bieżące na obsługę długu wraz z poręczeniami</t>
  </si>
  <si>
    <t>WYKONANIE  W  I  PÓŁROCZU  2013  ROKU  PODSTAWOWYCH  WIELKOŚCI  BUDŻETOWYCH, W  TYM  KWOTY  DŁUGU  BUDŻETU  WOJEWÓDZTWA  ZACHODNIOPOMORSKIEGO</t>
  </si>
  <si>
    <t>Wykonanie               za 2012 rok</t>
  </si>
  <si>
    <t>Plan 2013 wg uchwały budżetowej</t>
  </si>
  <si>
    <t>Plan 2013 po zmianach  na 30.06.2013 r.</t>
  </si>
  <si>
    <t>Wykonanie na dzień 30.06.2013 r.</t>
  </si>
  <si>
    <t>związane z funkcjonowaniem organów j.s.t. (rozdz. 75011, 75018)</t>
  </si>
  <si>
    <r>
      <t>Dochody</t>
    </r>
    <r>
      <rPr>
        <sz val="9"/>
        <color theme="1"/>
        <rFont val="Arial CE"/>
        <charset val="238"/>
      </rPr>
      <t xml:space="preserve"> (a+b)</t>
    </r>
  </si>
  <si>
    <r>
      <t xml:space="preserve">Wydatki bieżące 
</t>
    </r>
    <r>
      <rPr>
        <sz val="10"/>
        <color theme="1"/>
        <rFont val="Arial CE"/>
        <charset val="238"/>
      </rPr>
      <t>(z wyłączeniem odsetek od kredytów i poręczeń)</t>
    </r>
  </si>
  <si>
    <r>
      <t xml:space="preserve">Wydatki bieżące 
</t>
    </r>
    <r>
      <rPr>
        <sz val="10"/>
        <color theme="1"/>
        <rFont val="Arial CE"/>
        <charset val="238"/>
      </rPr>
      <t>(z wyłączeniem odsetek i prowizji od kredytów i pożyczek), w tym:</t>
    </r>
  </si>
  <si>
    <r>
      <t xml:space="preserve">Wynik budżetu po wykonaniu wydatków bieżących bez obsługi długu </t>
    </r>
    <r>
      <rPr>
        <sz val="10"/>
        <color theme="1"/>
        <rFont val="Arial CE"/>
        <charset val="238"/>
      </rPr>
      <t>(1-2)</t>
    </r>
  </si>
  <si>
    <r>
      <t xml:space="preserve">łączna </t>
    </r>
    <r>
      <rPr>
        <i/>
        <sz val="10"/>
        <color theme="1"/>
        <rFont val="Arial CE"/>
        <charset val="238"/>
      </rPr>
      <t>kwota wyłączeń z art. 243 ust. 3 pkt 1 ufp oraz z art. 170 ust. 3 sufp</t>
    </r>
  </si>
  <si>
    <r>
      <t xml:space="preserve">kwota wyłączeń z art. 243 ust. 3 pkt. 1 ufp oraz z art. 170 ust. 3 suofp </t>
    </r>
    <r>
      <rPr>
        <b/>
        <i/>
        <sz val="10"/>
        <color theme="1"/>
        <rFont val="Arial CE"/>
        <charset val="238"/>
      </rPr>
      <t>przypadająca na dany rok budżetowy</t>
    </r>
  </si>
  <si>
    <r>
      <t xml:space="preserve">Planowana łączna kwota spłaty zobowiązań  </t>
    </r>
    <r>
      <rPr>
        <sz val="10"/>
        <color theme="1"/>
        <rFont val="Arial CE"/>
        <charset val="238"/>
      </rPr>
      <t>(art. 243 ufp z uwzględnieniem ust. 3)</t>
    </r>
  </si>
  <si>
    <r>
      <t xml:space="preserve">Maksymalny dopuszczalny wskaźnik spłaty
</t>
    </r>
    <r>
      <rPr>
        <sz val="10"/>
        <color theme="1"/>
        <rFont val="Arial CE"/>
        <charset val="238"/>
      </rPr>
      <t xml:space="preserve"> z art. 243 ufp</t>
    </r>
  </si>
  <si>
    <r>
      <t xml:space="preserve">Spełnienie wskaźnika  spłaty </t>
    </r>
    <r>
      <rPr>
        <sz val="10"/>
        <color theme="1"/>
        <rFont val="Arial CE"/>
        <charset val="238"/>
      </rPr>
      <t>z art. 243 ufp po uwzględnieniu art. 244 ufp</t>
    </r>
  </si>
  <si>
    <r>
      <t xml:space="preserve">Wskaźnik łącznego długu do dochodu w % 
</t>
    </r>
    <r>
      <rPr>
        <b/>
        <i/>
        <sz val="8"/>
        <color theme="1"/>
        <rFont val="Arial CE"/>
        <charset val="238"/>
      </rPr>
      <t>(poz.13/poz.1)</t>
    </r>
  </si>
  <si>
    <r>
      <t xml:space="preserve">Wskaźnik długu do dochodu w % </t>
    </r>
    <r>
      <rPr>
        <b/>
        <i/>
        <sz val="8"/>
        <color theme="1"/>
        <rFont val="Arial CE"/>
        <charset val="238"/>
      </rPr>
      <t xml:space="preserve"> ((poz.13- poz.13a)/poz.1)</t>
    </r>
  </si>
  <si>
    <r>
      <t xml:space="preserve">Wskaźnik rocznej spłaty łącznego zadłużenia do dochodu w % </t>
    </r>
    <r>
      <rPr>
        <b/>
        <i/>
        <sz val="8"/>
        <color theme="1"/>
        <rFont val="Arial CE"/>
        <charset val="238"/>
      </rPr>
      <t xml:space="preserve"> (poz. 7/poz.1)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</si>
</sst>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0000"/>
    <numFmt numFmtId="165" formatCode="#,##0.00000"/>
    <numFmt numFmtId="166" formatCode="0.0%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Arial CE"/>
      <charset val="238"/>
    </font>
    <font>
      <b/>
      <i/>
      <sz val="14"/>
      <color theme="1"/>
      <name val="Arial CE"/>
      <charset val="238"/>
    </font>
    <font>
      <b/>
      <sz val="16"/>
      <color theme="1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0"/>
      <color theme="1"/>
      <name val="Arial CE"/>
      <charset val="238"/>
    </font>
    <font>
      <i/>
      <sz val="9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b/>
      <i/>
      <sz val="8"/>
      <color theme="1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46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fgColor indexed="15"/>
        <bgColor indexed="9"/>
      </patternFill>
    </fill>
    <fill>
      <patternFill patternType="lightGray">
        <fgColor indexed="15"/>
        <bgColor indexed="44"/>
      </patternFill>
    </fill>
    <fill>
      <patternFill patternType="lightGray">
        <fgColor indexed="15"/>
      </patternFill>
    </fill>
    <fill>
      <patternFill patternType="lightGray">
        <fgColor indexed="15"/>
        <bgColor indexed="42"/>
      </patternFill>
    </fill>
    <fill>
      <patternFill patternType="lightGray">
        <fgColor indexed="15"/>
        <bgColor indexed="11"/>
      </patternFill>
    </fill>
    <fill>
      <patternFill patternType="lightGray">
        <fgColor indexed="15"/>
        <bgColor indexed="45"/>
      </patternFill>
    </fill>
    <fill>
      <patternFill patternType="lightGray">
        <fgColor indexed="15"/>
        <bgColor indexed="43"/>
      </patternFill>
    </fill>
    <fill>
      <patternFill patternType="lightGray">
        <fgColor indexed="15"/>
        <bgColor indexed="50"/>
      </patternFill>
    </fill>
    <fill>
      <patternFill patternType="lightGray">
        <fgColor indexed="15"/>
        <bgColor indexed="47"/>
      </patternFill>
    </fill>
    <fill>
      <patternFill patternType="mediumGray">
        <fgColor indexed="46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Font="1"/>
    <xf numFmtId="0" fontId="9" fillId="0" borderId="0" xfId="0" applyFont="1" applyAlignment="1">
      <alignment horizontal="left" wrapText="1" shrinkToFit="1"/>
    </xf>
    <xf numFmtId="3" fontId="7" fillId="0" borderId="0" xfId="0" applyNumberFormat="1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11" fillId="4" borderId="21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12" borderId="5" xfId="0" applyNumberFormat="1" applyFont="1" applyFill="1" applyBorder="1" applyAlignment="1">
      <alignment horizontal="center" vertical="center" wrapText="1"/>
    </xf>
    <xf numFmtId="3" fontId="12" fillId="4" borderId="20" xfId="0" applyNumberFormat="1" applyFont="1" applyFill="1" applyBorder="1" applyAlignment="1">
      <alignment horizontal="center" vertical="center" wrapText="1"/>
    </xf>
    <xf numFmtId="3" fontId="12" fillId="4" borderId="22" xfId="0" applyNumberFormat="1" applyFont="1" applyFill="1" applyBorder="1" applyAlignment="1">
      <alignment horizontal="center" vertical="center" wrapText="1"/>
    </xf>
    <xf numFmtId="3" fontId="13" fillId="4" borderId="23" xfId="0" applyNumberFormat="1" applyFont="1" applyFill="1" applyBorder="1" applyAlignment="1">
      <alignment horizontal="center"/>
    </xf>
    <xf numFmtId="3" fontId="13" fillId="4" borderId="1" xfId="0" applyNumberFormat="1" applyFont="1" applyFill="1" applyBorder="1" applyAlignment="1">
      <alignment horizontal="center"/>
    </xf>
    <xf numFmtId="3" fontId="13" fillId="4" borderId="1" xfId="0" quotePrefix="1" applyNumberFormat="1" applyFont="1" applyFill="1" applyBorder="1" applyAlignment="1">
      <alignment horizontal="center"/>
    </xf>
    <xf numFmtId="3" fontId="13" fillId="12" borderId="1" xfId="0" quotePrefix="1" applyNumberFormat="1" applyFont="1" applyFill="1" applyBorder="1" applyAlignment="1">
      <alignment horizontal="center"/>
    </xf>
    <xf numFmtId="3" fontId="13" fillId="4" borderId="15" xfId="0" quotePrefix="1" applyNumberFormat="1" applyFont="1" applyFill="1" applyBorder="1" applyAlignment="1">
      <alignment horizontal="center"/>
    </xf>
    <xf numFmtId="3" fontId="13" fillId="4" borderId="14" xfId="0" quotePrefix="1" applyNumberFormat="1" applyFont="1" applyFill="1" applyBorder="1" applyAlignment="1">
      <alignment horizontal="center"/>
    </xf>
    <xf numFmtId="0" fontId="14" fillId="5" borderId="23" xfId="0" quotePrefix="1" applyFont="1" applyFill="1" applyBorder="1" applyAlignment="1">
      <alignment horizontal="center"/>
    </xf>
    <xf numFmtId="0" fontId="14" fillId="5" borderId="1" xfId="0" applyFont="1" applyFill="1" applyBorder="1"/>
    <xf numFmtId="3" fontId="14" fillId="5" borderId="1" xfId="0" applyNumberFormat="1" applyFont="1" applyFill="1" applyBorder="1"/>
    <xf numFmtId="3" fontId="14" fillId="13" borderId="1" xfId="0" applyNumberFormat="1" applyFont="1" applyFill="1" applyBorder="1"/>
    <xf numFmtId="166" fontId="14" fillId="5" borderId="15" xfId="2" applyNumberFormat="1" applyFont="1" applyFill="1" applyBorder="1"/>
    <xf numFmtId="3" fontId="14" fillId="5" borderId="15" xfId="0" applyNumberFormat="1" applyFont="1" applyFill="1" applyBorder="1"/>
    <xf numFmtId="3" fontId="14" fillId="5" borderId="14" xfId="0" applyNumberFormat="1" applyFont="1" applyFill="1" applyBorder="1"/>
    <xf numFmtId="0" fontId="11" fillId="4" borderId="24" xfId="0" applyFont="1" applyFill="1" applyBorder="1" applyAlignment="1">
      <alignment horizontal="center"/>
    </xf>
    <xf numFmtId="0" fontId="15" fillId="4" borderId="2" xfId="0" applyFont="1" applyFill="1" applyBorder="1"/>
    <xf numFmtId="3" fontId="15" fillId="4" borderId="2" xfId="0" applyNumberFormat="1" applyFont="1" applyFill="1" applyBorder="1"/>
    <xf numFmtId="3" fontId="15" fillId="12" borderId="2" xfId="0" applyNumberFormat="1" applyFont="1" applyFill="1" applyBorder="1"/>
    <xf numFmtId="166" fontId="15" fillId="4" borderId="2" xfId="2" applyNumberFormat="1" applyFont="1" applyFill="1" applyBorder="1"/>
    <xf numFmtId="3" fontId="15" fillId="4" borderId="16" xfId="0" applyNumberFormat="1" applyFont="1" applyFill="1" applyBorder="1"/>
    <xf numFmtId="3" fontId="15" fillId="4" borderId="7" xfId="0" applyNumberFormat="1" applyFont="1" applyFill="1" applyBorder="1"/>
    <xf numFmtId="0" fontId="11" fillId="4" borderId="25" xfId="0" applyFont="1" applyFill="1" applyBorder="1" applyAlignment="1">
      <alignment horizontal="center"/>
    </xf>
    <xf numFmtId="0" fontId="16" fillId="0" borderId="3" xfId="0" applyFont="1" applyBorder="1"/>
    <xf numFmtId="3" fontId="15" fillId="0" borderId="3" xfId="0" applyNumberFormat="1" applyFont="1" applyBorder="1"/>
    <xf numFmtId="3" fontId="15" fillId="14" borderId="3" xfId="0" applyNumberFormat="1" applyFont="1" applyFill="1" applyBorder="1"/>
    <xf numFmtId="166" fontId="15" fillId="4" borderId="3" xfId="2" applyNumberFormat="1" applyFont="1" applyFill="1" applyBorder="1"/>
    <xf numFmtId="3" fontId="15" fillId="0" borderId="12" xfId="0" applyNumberFormat="1" applyFont="1" applyBorder="1"/>
    <xf numFmtId="3" fontId="15" fillId="0" borderId="6" xfId="0" applyNumberFormat="1" applyFont="1" applyBorder="1"/>
    <xf numFmtId="0" fontId="14" fillId="4" borderId="2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wrapText="1"/>
    </xf>
    <xf numFmtId="3" fontId="14" fillId="4" borderId="3" xfId="0" applyNumberFormat="1" applyFont="1" applyFill="1" applyBorder="1"/>
    <xf numFmtId="3" fontId="14" fillId="4" borderId="6" xfId="0" applyNumberFormat="1" applyFont="1" applyFill="1" applyBorder="1"/>
    <xf numFmtId="3" fontId="14" fillId="12" borderId="6" xfId="0" applyNumberFormat="1" applyFont="1" applyFill="1" applyBorder="1"/>
    <xf numFmtId="166" fontId="14" fillId="4" borderId="6" xfId="2" applyNumberFormat="1" applyFont="1" applyFill="1" applyBorder="1"/>
    <xf numFmtId="3" fontId="14" fillId="4" borderId="12" xfId="0" applyNumberFormat="1" applyFont="1" applyFill="1" applyBorder="1"/>
    <xf numFmtId="3" fontId="14" fillId="4" borderId="14" xfId="0" applyNumberFormat="1" applyFont="1" applyFill="1" applyBorder="1"/>
    <xf numFmtId="0" fontId="11" fillId="0" borderId="24" xfId="0" applyFont="1" applyBorder="1" applyAlignment="1">
      <alignment horizontal="center"/>
    </xf>
    <xf numFmtId="0" fontId="15" fillId="0" borderId="2" xfId="0" applyFont="1" applyBorder="1"/>
    <xf numFmtId="3" fontId="15" fillId="0" borderId="7" xfId="0" applyNumberFormat="1" applyFont="1" applyBorder="1"/>
    <xf numFmtId="3" fontId="15" fillId="14" borderId="7" xfId="0" applyNumberFormat="1" applyFont="1" applyFill="1" applyBorder="1"/>
    <xf numFmtId="3" fontId="15" fillId="0" borderId="16" xfId="0" applyNumberFormat="1" applyFont="1" applyBorder="1"/>
    <xf numFmtId="0" fontId="10" fillId="0" borderId="0" xfId="0" applyFont="1"/>
    <xf numFmtId="0" fontId="15" fillId="0" borderId="2" xfId="0" applyFont="1" applyBorder="1" applyAlignment="1">
      <alignment wrapText="1"/>
    </xf>
    <xf numFmtId="3" fontId="15" fillId="0" borderId="2" xfId="0" applyNumberFormat="1" applyFont="1" applyBorder="1"/>
    <xf numFmtId="3" fontId="15" fillId="14" borderId="2" xfId="0" applyNumberFormat="1" applyFont="1" applyFill="1" applyBorder="1"/>
    <xf numFmtId="0" fontId="15" fillId="0" borderId="2" xfId="0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3" fontId="15" fillId="0" borderId="2" xfId="0" applyNumberFormat="1" applyFont="1" applyBorder="1" applyAlignment="1">
      <alignment horizontal="right"/>
    </xf>
    <xf numFmtId="43" fontId="15" fillId="0" borderId="2" xfId="1" applyFont="1" applyBorder="1" applyAlignment="1">
      <alignment horizontal="right"/>
    </xf>
    <xf numFmtId="43" fontId="15" fillId="14" borderId="2" xfId="1" applyFont="1" applyFill="1" applyBorder="1"/>
    <xf numFmtId="3" fontId="15" fillId="0" borderId="1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43" fontId="15" fillId="0" borderId="2" xfId="1" applyFont="1" applyBorder="1"/>
    <xf numFmtId="0" fontId="11" fillId="0" borderId="25" xfId="0" applyFont="1" applyBorder="1" applyAlignment="1">
      <alignment horizont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3" fontId="15" fillId="2" borderId="3" xfId="0" applyNumberFormat="1" applyFont="1" applyFill="1" applyBorder="1"/>
    <xf numFmtId="3" fontId="15" fillId="15" borderId="3" xfId="0" applyNumberFormat="1" applyFont="1" applyFill="1" applyBorder="1"/>
    <xf numFmtId="166" fontId="15" fillId="2" borderId="3" xfId="2" applyNumberFormat="1" applyFont="1" applyFill="1" applyBorder="1"/>
    <xf numFmtId="3" fontId="15" fillId="2" borderId="12" xfId="0" applyNumberFormat="1" applyFont="1" applyFill="1" applyBorder="1"/>
    <xf numFmtId="3" fontId="15" fillId="2" borderId="6" xfId="0" applyNumberFormat="1" applyFont="1" applyFill="1" applyBorder="1"/>
    <xf numFmtId="3" fontId="14" fillId="12" borderId="3" xfId="0" applyNumberFormat="1" applyFont="1" applyFill="1" applyBorder="1"/>
    <xf numFmtId="0" fontId="7" fillId="0" borderId="26" xfId="0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/>
    <xf numFmtId="43" fontId="7" fillId="14" borderId="8" xfId="1" applyFont="1" applyFill="1" applyBorder="1"/>
    <xf numFmtId="166" fontId="7" fillId="0" borderId="8" xfId="2" applyNumberFormat="1" applyFont="1" applyBorder="1"/>
    <xf numFmtId="3" fontId="7" fillId="0" borderId="17" xfId="0" applyNumberFormat="1" applyFont="1" applyBorder="1"/>
    <xf numFmtId="3" fontId="7" fillId="0" borderId="4" xfId="0" applyNumberFormat="1" applyFont="1" applyBorder="1"/>
    <xf numFmtId="0" fontId="7" fillId="0" borderId="25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3" fontId="7" fillId="0" borderId="3" xfId="0" applyNumberFormat="1" applyFont="1" applyBorder="1"/>
    <xf numFmtId="43" fontId="7" fillId="14" borderId="3" xfId="1" applyFont="1" applyFill="1" applyBorder="1"/>
    <xf numFmtId="3" fontId="7" fillId="0" borderId="6" xfId="0" applyNumberFormat="1" applyFont="1" applyBorder="1"/>
    <xf numFmtId="166" fontId="7" fillId="0" borderId="6" xfId="2" applyNumberFormat="1" applyFont="1" applyBorder="1"/>
    <xf numFmtId="43" fontId="7" fillId="0" borderId="6" xfId="1" applyFont="1" applyBorder="1"/>
    <xf numFmtId="43" fontId="7" fillId="0" borderId="12" xfId="1" applyFont="1" applyBorder="1"/>
    <xf numFmtId="0" fontId="7" fillId="0" borderId="3" xfId="0" applyFont="1" applyBorder="1"/>
    <xf numFmtId="0" fontId="7" fillId="0" borderId="12" xfId="0" applyFont="1" applyBorder="1"/>
    <xf numFmtId="0" fontId="14" fillId="0" borderId="25" xfId="0" applyFont="1" applyBorder="1" applyAlignment="1">
      <alignment horizontal="center"/>
    </xf>
    <xf numFmtId="0" fontId="7" fillId="4" borderId="3" xfId="0" applyFont="1" applyFill="1" applyBorder="1" applyAlignment="1">
      <alignment wrapText="1"/>
    </xf>
    <xf numFmtId="43" fontId="14" fillId="0" borderId="3" xfId="1" applyFont="1" applyBorder="1"/>
    <xf numFmtId="43" fontId="14" fillId="14" borderId="3" xfId="1" applyFont="1" applyFill="1" applyBorder="1"/>
    <xf numFmtId="43" fontId="14" fillId="0" borderId="6" xfId="1" applyFont="1" applyBorder="1"/>
    <xf numFmtId="0" fontId="14" fillId="0" borderId="6" xfId="0" applyFont="1" applyBorder="1"/>
    <xf numFmtId="0" fontId="14" fillId="0" borderId="3" xfId="0" applyFont="1" applyBorder="1"/>
    <xf numFmtId="43" fontId="14" fillId="0" borderId="14" xfId="1" applyFont="1" applyBorder="1"/>
    <xf numFmtId="0" fontId="14" fillId="0" borderId="12" xfId="0" applyFont="1" applyBorder="1"/>
    <xf numFmtId="0" fontId="14" fillId="3" borderId="2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3" fontId="14" fillId="3" borderId="3" xfId="0" applyNumberFormat="1" applyFont="1" applyFill="1" applyBorder="1" applyAlignment="1">
      <alignment vertical="center"/>
    </xf>
    <xf numFmtId="3" fontId="14" fillId="16" borderId="3" xfId="0" applyNumberFormat="1" applyFont="1" applyFill="1" applyBorder="1" applyAlignment="1">
      <alignment vertical="center"/>
    </xf>
    <xf numFmtId="166" fontId="14" fillId="3" borderId="6" xfId="2" applyNumberFormat="1" applyFont="1" applyFill="1" applyBorder="1" applyAlignment="1">
      <alignment vertical="center"/>
    </xf>
    <xf numFmtId="3" fontId="14" fillId="3" borderId="6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14" borderId="1" xfId="0" applyNumberFormat="1" applyFont="1" applyFill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7" fillId="0" borderId="8" xfId="0" applyFont="1" applyBorder="1" applyAlignment="1">
      <alignment wrapText="1"/>
    </xf>
    <xf numFmtId="3" fontId="7" fillId="14" borderId="4" xfId="0" applyNumberFormat="1" applyFont="1" applyFill="1" applyBorder="1"/>
    <xf numFmtId="3" fontId="7" fillId="0" borderId="18" xfId="0" applyNumberFormat="1" applyFont="1" applyBorder="1"/>
    <xf numFmtId="3" fontId="7" fillId="14" borderId="3" xfId="0" applyNumberFormat="1" applyFont="1" applyFill="1" applyBorder="1"/>
    <xf numFmtId="166" fontId="7" fillId="0" borderId="40" xfId="2" applyNumberFormat="1" applyFont="1" applyBorder="1"/>
    <xf numFmtId="3" fontId="7" fillId="0" borderId="12" xfId="0" applyNumberFormat="1" applyFont="1" applyBorder="1"/>
    <xf numFmtId="3" fontId="7" fillId="0" borderId="19" xfId="0" applyNumberFormat="1" applyFont="1" applyBorder="1"/>
    <xf numFmtId="43" fontId="14" fillId="0" borderId="3" xfId="1" applyFont="1" applyBorder="1" applyAlignment="1">
      <alignment horizontal="center"/>
    </xf>
    <xf numFmtId="43" fontId="14" fillId="14" borderId="3" xfId="1" applyFont="1" applyFill="1" applyBorder="1" applyAlignment="1">
      <alignment horizontal="center"/>
    </xf>
    <xf numFmtId="43" fontId="14" fillId="0" borderId="6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3" fontId="14" fillId="0" borderId="1" xfId="0" applyNumberFormat="1" applyFont="1" applyBorder="1"/>
    <xf numFmtId="3" fontId="14" fillId="14" borderId="1" xfId="0" applyNumberFormat="1" applyFont="1" applyFill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0" fontId="14" fillId="0" borderId="24" xfId="0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3" fontId="14" fillId="14" borderId="2" xfId="0" applyNumberFormat="1" applyFont="1" applyFill="1" applyBorder="1"/>
    <xf numFmtId="166" fontId="14" fillId="4" borderId="41" xfId="2" applyNumberFormat="1" applyFont="1" applyFill="1" applyBorder="1"/>
    <xf numFmtId="3" fontId="14" fillId="0" borderId="16" xfId="0" applyNumberFormat="1" applyFont="1" applyBorder="1"/>
    <xf numFmtId="3" fontId="14" fillId="0" borderId="7" xfId="0" applyNumberFormat="1" applyFont="1" applyBorder="1"/>
    <xf numFmtId="3" fontId="15" fillId="2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/>
    <xf numFmtId="3" fontId="7" fillId="2" borderId="12" xfId="0" applyNumberFormat="1" applyFont="1" applyFill="1" applyBorder="1"/>
    <xf numFmtId="3" fontId="7" fillId="2" borderId="3" xfId="0" applyNumberFormat="1" applyFont="1" applyFill="1" applyBorder="1"/>
    <xf numFmtId="0" fontId="14" fillId="11" borderId="23" xfId="0" applyFont="1" applyFill="1" applyBorder="1" applyAlignment="1">
      <alignment horizontal="center"/>
    </xf>
    <xf numFmtId="0" fontId="14" fillId="11" borderId="1" xfId="0" applyFont="1" applyFill="1" applyBorder="1"/>
    <xf numFmtId="3" fontId="14" fillId="11" borderId="1" xfId="0" applyNumberFormat="1" applyFont="1" applyFill="1" applyBorder="1"/>
    <xf numFmtId="3" fontId="14" fillId="17" borderId="1" xfId="0" applyNumberFormat="1" applyFont="1" applyFill="1" applyBorder="1"/>
    <xf numFmtId="3" fontId="14" fillId="11" borderId="1" xfId="0" applyNumberFormat="1" applyFont="1" applyFill="1" applyBorder="1" applyAlignment="1">
      <alignment horizontal="right"/>
    </xf>
    <xf numFmtId="3" fontId="14" fillId="11" borderId="15" xfId="0" applyNumberFormat="1" applyFont="1" applyFill="1" applyBorder="1" applyAlignment="1">
      <alignment horizontal="right"/>
    </xf>
    <xf numFmtId="166" fontId="14" fillId="11" borderId="15" xfId="2" applyNumberFormat="1" applyFont="1" applyFill="1" applyBorder="1" applyAlignment="1">
      <alignment horizontal="right"/>
    </xf>
    <xf numFmtId="3" fontId="14" fillId="4" borderId="1" xfId="0" applyNumberFormat="1" applyFont="1" applyFill="1" applyBorder="1"/>
    <xf numFmtId="3" fontId="14" fillId="4" borderId="15" xfId="0" applyNumberFormat="1" applyFont="1" applyFill="1" applyBorder="1"/>
    <xf numFmtId="0" fontId="14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14" fillId="9" borderId="3" xfId="0" applyNumberFormat="1" applyFont="1" applyFill="1" applyBorder="1" applyAlignment="1">
      <alignment vertical="center"/>
    </xf>
    <xf numFmtId="3" fontId="14" fillId="14" borderId="3" xfId="0" applyNumberFormat="1" applyFont="1" applyFill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3" fontId="14" fillId="9" borderId="12" xfId="0" applyNumberFormat="1" applyFont="1" applyFill="1" applyBorder="1" applyAlignment="1">
      <alignment vertical="center"/>
    </xf>
    <xf numFmtId="3" fontId="14" fillId="9" borderId="6" xfId="0" applyNumberFormat="1" applyFont="1" applyFill="1" applyBorder="1" applyAlignment="1">
      <alignment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vertical="center"/>
    </xf>
    <xf numFmtId="3" fontId="14" fillId="6" borderId="8" xfId="0" applyNumberFormat="1" applyFont="1" applyFill="1" applyBorder="1" applyAlignment="1">
      <alignment vertical="center"/>
    </xf>
    <xf numFmtId="3" fontId="14" fillId="18" borderId="8" xfId="0" applyNumberFormat="1" applyFont="1" applyFill="1" applyBorder="1" applyAlignment="1">
      <alignment vertical="center"/>
    </xf>
    <xf numFmtId="166" fontId="14" fillId="6" borderId="8" xfId="2" applyNumberFormat="1" applyFont="1" applyFill="1" applyBorder="1" applyAlignment="1">
      <alignment vertical="center"/>
    </xf>
    <xf numFmtId="3" fontId="14" fillId="6" borderId="17" xfId="0" applyNumberFormat="1" applyFont="1" applyFill="1" applyBorder="1" applyAlignment="1">
      <alignment vertical="center"/>
    </xf>
    <xf numFmtId="3" fontId="14" fillId="6" borderId="4" xfId="0" applyNumberFormat="1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17" fillId="0" borderId="13" xfId="0" applyFont="1" applyBorder="1" applyAlignment="1">
      <alignment wrapText="1"/>
    </xf>
    <xf numFmtId="0" fontId="16" fillId="0" borderId="13" xfId="0" applyFont="1" applyBorder="1"/>
    <xf numFmtId="3" fontId="16" fillId="0" borderId="13" xfId="0" applyNumberFormat="1" applyFont="1" applyBorder="1" applyAlignment="1"/>
    <xf numFmtId="43" fontId="16" fillId="0" borderId="13" xfId="1" applyFont="1" applyBorder="1" applyAlignment="1"/>
    <xf numFmtId="43" fontId="16" fillId="14" borderId="13" xfId="1" applyFont="1" applyFill="1" applyBorder="1" applyAlignment="1"/>
    <xf numFmtId="166" fontId="16" fillId="0" borderId="13" xfId="2" applyNumberFormat="1" applyFont="1" applyBorder="1" applyAlignment="1">
      <alignment horizontal="center"/>
    </xf>
    <xf numFmtId="3" fontId="16" fillId="0" borderId="28" xfId="0" applyNumberFormat="1" applyFont="1" applyBorder="1" applyAlignment="1"/>
    <xf numFmtId="3" fontId="16" fillId="0" borderId="29" xfId="0" applyNumberFormat="1" applyFont="1" applyBorder="1" applyAlignment="1"/>
    <xf numFmtId="43" fontId="16" fillId="0" borderId="29" xfId="1" applyFont="1" applyBorder="1" applyAlignment="1">
      <alignment horizontal="center"/>
    </xf>
    <xf numFmtId="43" fontId="16" fillId="0" borderId="30" xfId="1" applyFont="1" applyBorder="1" applyAlignment="1">
      <alignment horizontal="center"/>
    </xf>
    <xf numFmtId="43" fontId="16" fillId="0" borderId="13" xfId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16" fillId="0" borderId="3" xfId="0" applyFont="1" applyBorder="1" applyAlignment="1">
      <alignment wrapText="1"/>
    </xf>
    <xf numFmtId="3" fontId="16" fillId="0" borderId="12" xfId="0" applyNumberFormat="1" applyFont="1" applyBorder="1" applyAlignment="1"/>
    <xf numFmtId="3" fontId="16" fillId="0" borderId="30" xfId="0" applyNumberFormat="1" applyFont="1" applyBorder="1" applyAlignment="1"/>
    <xf numFmtId="3" fontId="7" fillId="0" borderId="13" xfId="0" applyNumberFormat="1" applyFont="1" applyBorder="1" applyAlignment="1"/>
    <xf numFmtId="0" fontId="14" fillId="7" borderId="23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165" fontId="14" fillId="7" borderId="1" xfId="0" applyNumberFormat="1" applyFont="1" applyFill="1" applyBorder="1" applyAlignment="1">
      <alignment vertical="center"/>
    </xf>
    <xf numFmtId="4" fontId="14" fillId="7" borderId="1" xfId="0" applyNumberFormat="1" applyFont="1" applyFill="1" applyBorder="1" applyAlignment="1">
      <alignment vertical="center"/>
    </xf>
    <xf numFmtId="4" fontId="14" fillId="12" borderId="1" xfId="0" applyNumberFormat="1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horizontal="center" vertical="center"/>
    </xf>
    <xf numFmtId="4" fontId="14" fillId="21" borderId="1" xfId="0" applyNumberFormat="1" applyFont="1" applyFill="1" applyBorder="1" applyAlignment="1">
      <alignment vertical="center"/>
    </xf>
    <xf numFmtId="4" fontId="14" fillId="7" borderId="14" xfId="0" applyNumberFormat="1" applyFont="1" applyFill="1" applyBorder="1" applyAlignment="1">
      <alignment vertical="center"/>
    </xf>
    <xf numFmtId="4" fontId="14" fillId="7" borderId="15" xfId="0" applyNumberFormat="1" applyFont="1" applyFill="1" applyBorder="1" applyAlignment="1">
      <alignment vertical="center"/>
    </xf>
    <xf numFmtId="0" fontId="14" fillId="0" borderId="0" xfId="0" applyFont="1"/>
    <xf numFmtId="0" fontId="14" fillId="7" borderId="25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wrapText="1"/>
    </xf>
    <xf numFmtId="164" fontId="14" fillId="7" borderId="3" xfId="0" applyNumberFormat="1" applyFont="1" applyFill="1" applyBorder="1" applyAlignment="1">
      <alignment horizontal="center"/>
    </xf>
    <xf numFmtId="4" fontId="14" fillId="7" borderId="3" xfId="0" applyNumberFormat="1" applyFont="1" applyFill="1" applyBorder="1"/>
    <xf numFmtId="4" fontId="14" fillId="12" borderId="3" xfId="0" applyNumberFormat="1" applyFont="1" applyFill="1" applyBorder="1"/>
    <xf numFmtId="4" fontId="7" fillId="7" borderId="3" xfId="0" applyNumberFormat="1" applyFont="1" applyFill="1" applyBorder="1" applyAlignment="1">
      <alignment horizontal="center"/>
    </xf>
    <xf numFmtId="4" fontId="14" fillId="21" borderId="3" xfId="0" applyNumberFormat="1" applyFont="1" applyFill="1" applyBorder="1"/>
    <xf numFmtId="4" fontId="14" fillId="7" borderId="12" xfId="0" applyNumberFormat="1" applyFont="1" applyFill="1" applyBorder="1"/>
    <xf numFmtId="4" fontId="14" fillId="7" borderId="6" xfId="0" applyNumberFormat="1" applyFont="1" applyFill="1" applyBorder="1"/>
    <xf numFmtId="0" fontId="14" fillId="7" borderId="15" xfId="0" applyFont="1" applyFill="1" applyBorder="1" applyAlignment="1">
      <alignment wrapText="1"/>
    </xf>
    <xf numFmtId="164" fontId="14" fillId="7" borderId="1" xfId="0" applyNumberFormat="1" applyFont="1" applyFill="1" applyBorder="1" applyAlignment="1">
      <alignment horizontal="center"/>
    </xf>
    <xf numFmtId="4" fontId="12" fillId="7" borderId="1" xfId="0" applyNumberFormat="1" applyFont="1" applyFill="1" applyBorder="1" applyAlignment="1">
      <alignment horizontal="center" wrapText="1"/>
    </xf>
    <xf numFmtId="4" fontId="12" fillId="12" borderId="1" xfId="0" applyNumberFormat="1" applyFont="1" applyFill="1" applyBorder="1" applyAlignment="1">
      <alignment horizontal="center" wrapText="1"/>
    </xf>
    <xf numFmtId="4" fontId="13" fillId="7" borderId="1" xfId="0" applyNumberFormat="1" applyFont="1" applyFill="1" applyBorder="1" applyAlignment="1">
      <alignment horizontal="center" wrapText="1"/>
    </xf>
    <xf numFmtId="4" fontId="12" fillId="21" borderId="1" xfId="0" applyNumberFormat="1" applyFont="1" applyFill="1" applyBorder="1" applyAlignment="1">
      <alignment horizontal="center" wrapText="1"/>
    </xf>
    <xf numFmtId="4" fontId="12" fillId="7" borderId="14" xfId="0" applyNumberFormat="1" applyFont="1" applyFill="1" applyBorder="1" applyAlignment="1">
      <alignment horizontal="center" wrapText="1"/>
    </xf>
    <xf numFmtId="4" fontId="12" fillId="7" borderId="15" xfId="0" applyNumberFormat="1" applyFont="1" applyFill="1" applyBorder="1" applyAlignment="1">
      <alignment horizontal="center" wrapText="1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2" xfId="0" applyNumberFormat="1" applyFont="1" applyFill="1" applyBorder="1" applyAlignment="1">
      <alignment vertical="center" wrapText="1"/>
    </xf>
    <xf numFmtId="4" fontId="14" fillId="4" borderId="9" xfId="0" applyNumberFormat="1" applyFont="1" applyFill="1" applyBorder="1"/>
    <xf numFmtId="4" fontId="14" fillId="12" borderId="9" xfId="0" applyNumberFormat="1" applyFont="1" applyFill="1" applyBorder="1"/>
    <xf numFmtId="4" fontId="14" fillId="4" borderId="32" xfId="0" applyNumberFormat="1" applyFont="1" applyFill="1" applyBorder="1" applyAlignment="1">
      <alignment horizontal="center"/>
    </xf>
    <xf numFmtId="4" fontId="14" fillId="4" borderId="32" xfId="0" applyNumberFormat="1" applyFont="1" applyFill="1" applyBorder="1"/>
    <xf numFmtId="4" fontId="14" fillId="4" borderId="33" xfId="0" applyNumberFormat="1" applyFont="1" applyFill="1" applyBorder="1"/>
    <xf numFmtId="0" fontId="14" fillId="4" borderId="0" xfId="0" applyFont="1" applyFill="1"/>
    <xf numFmtId="3" fontId="14" fillId="4" borderId="34" xfId="0" applyNumberFormat="1" applyFont="1" applyFill="1" applyBorder="1" applyAlignment="1">
      <alignment horizontal="center" vertical="center"/>
    </xf>
    <xf numFmtId="3" fontId="14" fillId="4" borderId="35" xfId="0" applyNumberFormat="1" applyFont="1" applyFill="1" applyBorder="1" applyAlignment="1">
      <alignment vertical="center" wrapText="1"/>
    </xf>
    <xf numFmtId="4" fontId="14" fillId="4" borderId="10" xfId="0" applyNumberFormat="1" applyFont="1" applyFill="1" applyBorder="1"/>
    <xf numFmtId="4" fontId="14" fillId="12" borderId="10" xfId="0" applyNumberFormat="1" applyFont="1" applyFill="1" applyBorder="1"/>
    <xf numFmtId="4" fontId="14" fillId="4" borderId="35" xfId="0" applyNumberFormat="1" applyFont="1" applyFill="1" applyBorder="1" applyAlignment="1">
      <alignment horizontal="center"/>
    </xf>
    <xf numFmtId="4" fontId="14" fillId="4" borderId="35" xfId="0" applyNumberFormat="1" applyFont="1" applyFill="1" applyBorder="1"/>
    <xf numFmtId="4" fontId="14" fillId="4" borderId="36" xfId="0" applyNumberFormat="1" applyFont="1" applyFill="1" applyBorder="1"/>
    <xf numFmtId="3" fontId="11" fillId="4" borderId="11" xfId="0" applyNumberFormat="1" applyFont="1" applyFill="1" applyBorder="1" applyAlignment="1">
      <alignment wrapText="1"/>
    </xf>
    <xf numFmtId="4" fontId="14" fillId="4" borderId="11" xfId="0" applyNumberFormat="1" applyFont="1" applyFill="1" applyBorder="1"/>
    <xf numFmtId="4" fontId="14" fillId="12" borderId="11" xfId="0" applyNumberFormat="1" applyFont="1" applyFill="1" applyBorder="1"/>
    <xf numFmtId="4" fontId="14" fillId="4" borderId="37" xfId="0" applyNumberFormat="1" applyFont="1" applyFill="1" applyBorder="1" applyAlignment="1">
      <alignment horizontal="center"/>
    </xf>
    <xf numFmtId="4" fontId="14" fillId="4" borderId="37" xfId="0" applyNumberFormat="1" applyFont="1" applyFill="1" applyBorder="1"/>
    <xf numFmtId="4" fontId="14" fillId="4" borderId="38" xfId="0" applyNumberFormat="1" applyFont="1" applyFill="1" applyBorder="1"/>
    <xf numFmtId="0" fontId="14" fillId="0" borderId="26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/>
    </xf>
    <xf numFmtId="3" fontId="14" fillId="14" borderId="8" xfId="0" applyNumberFormat="1" applyFont="1" applyFill="1" applyBorder="1" applyAlignment="1">
      <alignment vertical="center"/>
    </xf>
    <xf numFmtId="166" fontId="14" fillId="0" borderId="4" xfId="2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4" fillId="0" borderId="17" xfId="0" applyNumberFormat="1" applyFont="1" applyBorder="1" applyAlignment="1">
      <alignment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vertical="center" wrapText="1"/>
    </xf>
    <xf numFmtId="3" fontId="14" fillId="8" borderId="8" xfId="0" applyNumberFormat="1" applyFont="1" applyFill="1" applyBorder="1" applyAlignment="1">
      <alignment vertical="center"/>
    </xf>
    <xf numFmtId="3" fontId="14" fillId="19" borderId="8" xfId="0" applyNumberFormat="1" applyFont="1" applyFill="1" applyBorder="1" applyAlignment="1">
      <alignment vertical="center"/>
    </xf>
    <xf numFmtId="166" fontId="14" fillId="8" borderId="8" xfId="2" applyNumberFormat="1" applyFont="1" applyFill="1" applyBorder="1" applyAlignment="1">
      <alignment vertical="center"/>
    </xf>
    <xf numFmtId="3" fontId="14" fillId="8" borderId="17" xfId="0" applyNumberFormat="1" applyFont="1" applyFill="1" applyBorder="1" applyAlignment="1">
      <alignment vertical="center"/>
    </xf>
    <xf numFmtId="3" fontId="14" fillId="8" borderId="4" xfId="0" applyNumberFormat="1" applyFont="1" applyFill="1" applyBorder="1" applyAlignment="1">
      <alignment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vertical="center" wrapText="1"/>
    </xf>
    <xf numFmtId="3" fontId="14" fillId="5" borderId="8" xfId="0" applyNumberFormat="1" applyFont="1" applyFill="1" applyBorder="1" applyAlignment="1">
      <alignment vertical="center"/>
    </xf>
    <xf numFmtId="3" fontId="14" fillId="13" borderId="8" xfId="0" applyNumberFormat="1" applyFont="1" applyFill="1" applyBorder="1" applyAlignment="1">
      <alignment vertical="center"/>
    </xf>
    <xf numFmtId="166" fontId="14" fillId="5" borderId="4" xfId="2" applyNumberFormat="1" applyFont="1" applyFill="1" applyBorder="1" applyAlignment="1">
      <alignment vertical="center"/>
    </xf>
    <xf numFmtId="3" fontId="14" fillId="5" borderId="4" xfId="0" applyNumberFormat="1" applyFont="1" applyFill="1" applyBorder="1" applyAlignment="1">
      <alignment vertical="center"/>
    </xf>
    <xf numFmtId="3" fontId="14" fillId="5" borderId="14" xfId="0" applyNumberFormat="1" applyFont="1" applyFill="1" applyBorder="1" applyAlignment="1">
      <alignment vertical="center"/>
    </xf>
    <xf numFmtId="3" fontId="14" fillId="5" borderId="17" xfId="0" applyNumberFormat="1" applyFont="1" applyFill="1" applyBorder="1" applyAlignment="1">
      <alignment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center" wrapText="1"/>
    </xf>
    <xf numFmtId="3" fontId="14" fillId="9" borderId="8" xfId="0" applyNumberFormat="1" applyFont="1" applyFill="1" applyBorder="1" applyAlignment="1">
      <alignment vertical="center"/>
    </xf>
    <xf numFmtId="3" fontId="14" fillId="20" borderId="8" xfId="0" applyNumberFormat="1" applyFont="1" applyFill="1" applyBorder="1" applyAlignment="1">
      <alignment vertical="center"/>
    </xf>
    <xf numFmtId="166" fontId="14" fillId="9" borderId="4" xfId="2" applyNumberFormat="1" applyFont="1" applyFill="1" applyBorder="1" applyAlignment="1">
      <alignment vertical="center"/>
    </xf>
    <xf numFmtId="3" fontId="14" fillId="9" borderId="4" xfId="0" applyNumberFormat="1" applyFont="1" applyFill="1" applyBorder="1" applyAlignment="1">
      <alignment vertical="center"/>
    </xf>
    <xf numFmtId="3" fontId="14" fillId="9" borderId="17" xfId="0" applyNumberFormat="1" applyFont="1" applyFill="1" applyBorder="1" applyAlignment="1">
      <alignment vertical="center"/>
    </xf>
    <xf numFmtId="166" fontId="14" fillId="0" borderId="8" xfId="2" applyNumberFormat="1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3" fontId="14" fillId="14" borderId="10" xfId="0" applyNumberFormat="1" applyFont="1" applyFill="1" applyBorder="1" applyAlignment="1">
      <alignment vertical="center"/>
    </xf>
    <xf numFmtId="166" fontId="14" fillId="0" borderId="35" xfId="2" applyNumberFormat="1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0" borderId="36" xfId="0" applyNumberFormat="1" applyFont="1" applyBorder="1" applyAlignment="1">
      <alignment vertical="center"/>
    </xf>
    <xf numFmtId="3" fontId="14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wrapText="1"/>
    </xf>
    <xf numFmtId="4" fontId="14" fillId="4" borderId="0" xfId="0" applyNumberFormat="1" applyFont="1" applyFill="1" applyBorder="1"/>
    <xf numFmtId="3" fontId="14" fillId="4" borderId="0" xfId="0" applyNumberFormat="1" applyFont="1" applyFill="1" applyBorder="1"/>
    <xf numFmtId="4" fontId="13" fillId="4" borderId="0" xfId="0" applyNumberFormat="1" applyFont="1" applyFill="1" applyBorder="1"/>
    <xf numFmtId="3" fontId="14" fillId="4" borderId="0" xfId="0" applyNumberFormat="1" applyFont="1" applyFill="1"/>
    <xf numFmtId="3" fontId="14" fillId="10" borderId="0" xfId="0" applyNumberFormat="1" applyFont="1" applyFill="1" applyBorder="1"/>
    <xf numFmtId="3" fontId="14" fillId="4" borderId="0" xfId="0" applyNumberFormat="1" applyFont="1" applyFill="1" applyBorder="1" applyAlignment="1">
      <alignment vertical="center" wrapText="1"/>
    </xf>
    <xf numFmtId="4" fontId="14" fillId="4" borderId="0" xfId="0" applyNumberFormat="1" applyFont="1" applyFill="1" applyBorder="1" applyAlignment="1"/>
    <xf numFmtId="0" fontId="7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2" fontId="14" fillId="0" borderId="0" xfId="0" applyNumberFormat="1" applyFont="1"/>
    <xf numFmtId="0" fontId="9" fillId="0" borderId="0" xfId="0" applyFont="1" applyAlignment="1">
      <alignment horizontal="left" wrapText="1" shrinkToFit="1"/>
    </xf>
    <xf numFmtId="0" fontId="9" fillId="0" borderId="0" xfId="0" applyFont="1" applyAlignment="1">
      <alignment horizontal="center" wrapText="1" shrinkToFit="1"/>
    </xf>
    <xf numFmtId="0" fontId="8" fillId="0" borderId="0" xfId="0" applyFont="1" applyFill="1" applyAlignment="1">
      <alignment horizontal="right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685800</xdr:colOff>
      <xdr:row>31</xdr:row>
      <xdr:rowOff>28575</xdr:rowOff>
    </xdr:from>
    <xdr:to>
      <xdr:col>39</xdr:col>
      <xdr:colOff>76200</xdr:colOff>
      <xdr:row>31</xdr:row>
      <xdr:rowOff>228600</xdr:rowOff>
    </xdr:to>
    <xdr:sp macro="" textlink="">
      <xdr:nvSpPr>
        <xdr:cNvPr id="45423" name="Text Box 65"/>
        <xdr:cNvSpPr txBox="1">
          <a:spLocks noChangeArrowheads="1"/>
        </xdr:cNvSpPr>
      </xdr:nvSpPr>
      <xdr:spPr bwMode="auto">
        <a:xfrm>
          <a:off x="8039100" y="9258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WPF%202011/WPF_15.11/Dochod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PROJEKT%20BUD&#379;ETU%20I%20WPF%20na%202011/WPF/WPF%202011/KOREKTA%20WPF%20po%2015-11-10/WPF_zobowi&#261;zania_autopopraw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_przedsiewziecia_BI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_zobowi&#261;zania%20i%20por&#281;czeni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PROJEKT%20BUD&#379;ETU%20I%20WPF%20na%202011/WPF/WPF%202011/KOREKTA%20WPF%20po%2015-11-10/WPF_kredyty_autopopraw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%20korekta_kredyt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korekta_kredy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_przedsiewziec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luty_korekta_zada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%20korekta_dochod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PROJEKT%20BUD&#379;ETU%20I%20WPF%20na%202011/WPF/WPF%202011/KOREKTA%20WPF%20po%2015-11-10/Dochody_autopopraw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kwiecien_korekta_dochod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PROJEKT%20BUD&#379;ETU%20I%20WPF%20na%202011/WPF/WPF%202011/KOREKTA%20WPF%20po%2015-11-10/wydatki_wg_zadan%20autopopraw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WPF%20korekta_zadan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czerwiec_por&#281;czenia_Zdunow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uchwa&#322;y/sejmik/czerwiec/luty_WPF_przedsiewzieci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1/PROJEKT%20BUD&#379;ETU%20I%20WPF%20na%202011/WPF/WPF%202011/KOREKTA%20WPF%20po%2015-11-10/WPF_por&#281;czenia_autopopraw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hody do WPF"/>
      <sheetName val="dochody porównanie"/>
      <sheetName val="BAZA"/>
    </sheetNames>
    <sheetDataSet>
      <sheetData sheetId="0" refreshError="1"/>
      <sheetData sheetId="1" refreshError="1">
        <row r="11">
          <cell r="D11">
            <v>446912205</v>
          </cell>
        </row>
        <row r="31">
          <cell r="D31">
            <v>284242838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zobowiązania"/>
    </sheetNames>
    <sheetDataSet>
      <sheetData sheetId="0" refreshError="1">
        <row r="23">
          <cell r="G23">
            <v>15547202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Drogi"/>
      <sheetName val="Polityka społeczna i rozwój prz"/>
      <sheetName val="Ochrona zdrowia"/>
      <sheetName val="Oświata"/>
      <sheetName val="Administracja"/>
      <sheetName val="Kultura"/>
      <sheetName val="Rolnictwo i Ochrona środowiska"/>
      <sheetName val="Kultura fizyczna i turystyka"/>
      <sheetName val="wyłączenia"/>
    </sheetNames>
    <sheetDataSet>
      <sheetData sheetId="0">
        <row r="41">
          <cell r="I41">
            <v>269025811</v>
          </cell>
          <cell r="J41">
            <v>117266518</v>
          </cell>
          <cell r="K41">
            <v>19855645</v>
          </cell>
          <cell r="L41">
            <v>10100000</v>
          </cell>
          <cell r="M41">
            <v>11462650</v>
          </cell>
        </row>
        <row r="73">
          <cell r="I73">
            <v>51714155</v>
          </cell>
          <cell r="J73">
            <v>48258507</v>
          </cell>
          <cell r="K73">
            <v>17649579</v>
          </cell>
          <cell r="L73">
            <v>25590838</v>
          </cell>
          <cell r="M7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zał. 3 zobowiązania"/>
      <sheetName val="zał. 4 poręczenia"/>
    </sheetNames>
    <sheetDataSet>
      <sheetData sheetId="0">
        <row r="32">
          <cell r="I32">
            <v>19881914</v>
          </cell>
          <cell r="J32">
            <v>20937528</v>
          </cell>
          <cell r="K32">
            <v>21485744</v>
          </cell>
          <cell r="L32">
            <v>18038875</v>
          </cell>
          <cell r="M32">
            <v>12753140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em kredyty"/>
      <sheetName val="2005"/>
      <sheetName val="2006"/>
      <sheetName val="2008"/>
      <sheetName val="2009 EBI"/>
      <sheetName val="2010 EBI - 33 mln zł"/>
      <sheetName val="2010 EBI - 73 mln"/>
      <sheetName val="2010 EBI UE"/>
      <sheetName val="2011 EBI"/>
      <sheetName val="2011 EBI UE"/>
      <sheetName val="2012 EBI"/>
      <sheetName val="2012 EBI UE"/>
      <sheetName val="2012 UE"/>
      <sheetName val="2012"/>
      <sheetName val="2013 UE"/>
      <sheetName val="2013"/>
      <sheetName val="2014"/>
      <sheetName val="2015"/>
      <sheetName val="2016"/>
    </sheetNames>
    <sheetDataSet>
      <sheetData sheetId="0" refreshError="1">
        <row r="58">
          <cell r="I58">
            <v>5892000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zdunowo 2011"/>
      <sheetName val="2006"/>
      <sheetName val="2008"/>
      <sheetName val="2009 EBI"/>
      <sheetName val="2010 EBI - 33 mln zł"/>
      <sheetName val="2010 EBI - 73 mln"/>
      <sheetName val="2010 EBI UE"/>
      <sheetName val="razem kredyty"/>
      <sheetName val="2011 EBI UE"/>
      <sheetName val="2011 EBI"/>
      <sheetName val="2012 EBI"/>
      <sheetName val="2012 EBI UE"/>
      <sheetName val="2012 UE"/>
      <sheetName val="2012"/>
      <sheetName val="2013 EBI UE"/>
      <sheetName val="2013 EBI"/>
      <sheetName val="2013"/>
      <sheetName val="2014"/>
      <sheetName val="2015"/>
      <sheetName val="2016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1">
          <cell r="K61">
            <v>11275268.477192983</v>
          </cell>
          <cell r="L61">
            <v>16259999.757192982</v>
          </cell>
          <cell r="M61">
            <v>20350960.857192982</v>
          </cell>
          <cell r="N61">
            <v>20350960.857192982</v>
          </cell>
          <cell r="O61">
            <v>20350960.857192982</v>
          </cell>
          <cell r="P61">
            <v>20350960.857192982</v>
          </cell>
          <cell r="Q61">
            <v>20430960.857192982</v>
          </cell>
          <cell r="R61">
            <v>17698960.857192982</v>
          </cell>
          <cell r="S61">
            <v>17698960.857192982</v>
          </cell>
          <cell r="T61">
            <v>17698960.857192982</v>
          </cell>
          <cell r="U61">
            <v>17698960.857192982</v>
          </cell>
          <cell r="V61">
            <v>17576612.457192983</v>
          </cell>
          <cell r="W61">
            <v>14282213.357192982</v>
          </cell>
          <cell r="X61">
            <v>14282213.357192982</v>
          </cell>
          <cell r="Y61">
            <v>14282213.357192982</v>
          </cell>
          <cell r="Z61">
            <v>14282213.357192982</v>
          </cell>
          <cell r="AA61">
            <v>14282213.357192982</v>
          </cell>
          <cell r="AB61">
            <v>14282213.357192982</v>
          </cell>
          <cell r="AC61">
            <v>14282213.357192982</v>
          </cell>
          <cell r="AD61">
            <v>14282213.357192982</v>
          </cell>
          <cell r="AE61">
            <v>14282213.357192982</v>
          </cell>
          <cell r="AF61">
            <v>14282213.357192982</v>
          </cell>
          <cell r="AG61">
            <v>14282213.357192982</v>
          </cell>
          <cell r="AH61">
            <v>11097125.637894737</v>
          </cell>
          <cell r="AI61">
            <v>8791862.4800000004</v>
          </cell>
          <cell r="AJ61">
            <v>5658944.8799999999</v>
          </cell>
        </row>
        <row r="62">
          <cell r="K62">
            <v>12234.84</v>
          </cell>
          <cell r="L62">
            <v>329439.91000000003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</row>
        <row r="63">
          <cell r="K63">
            <v>14490795.575367544</v>
          </cell>
          <cell r="L63">
            <v>18313868.93321377</v>
          </cell>
          <cell r="M63">
            <v>18737401.110391252</v>
          </cell>
          <cell r="N63">
            <v>17688672.392912481</v>
          </cell>
          <cell r="O63">
            <v>16639943.67543371</v>
          </cell>
          <cell r="P63">
            <v>15591214.957954938</v>
          </cell>
          <cell r="Q63">
            <v>14542486.240476167</v>
          </cell>
          <cell r="R63">
            <v>13554166.122997396</v>
          </cell>
          <cell r="S63">
            <v>12646523.805518625</v>
          </cell>
          <cell r="T63">
            <v>11738881.488039851</v>
          </cell>
          <cell r="U63">
            <v>10831239.170561081</v>
          </cell>
          <cell r="V63">
            <v>9927534.9422073066</v>
          </cell>
          <cell r="W63">
            <v>9089816.6499472838</v>
          </cell>
          <cell r="X63">
            <v>8358136.8287185114</v>
          </cell>
          <cell r="Y63">
            <v>7626457.007489739</v>
          </cell>
          <cell r="Z63">
            <v>6894777.1862609666</v>
          </cell>
          <cell r="AA63">
            <v>6163097.3650321942</v>
          </cell>
          <cell r="AB63">
            <v>5431417.5438034218</v>
          </cell>
          <cell r="AC63">
            <v>4699737.7225746494</v>
          </cell>
          <cell r="AD63">
            <v>3968057.901345877</v>
          </cell>
          <cell r="AE63">
            <v>3236378.080117106</v>
          </cell>
          <cell r="AF63">
            <v>2504698.2588883336</v>
          </cell>
          <cell r="AG63">
            <v>1773018.4376595616</v>
          </cell>
          <cell r="AH63">
            <v>1086565.1789307909</v>
          </cell>
          <cell r="AI63">
            <v>574423.73489499674</v>
          </cell>
          <cell r="AJ63">
            <v>182147.28832499962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zdunowo 2011"/>
      <sheetName val="2006"/>
      <sheetName val="2008"/>
      <sheetName val="2009 EBI"/>
      <sheetName val="2010 EBI - 33 mln zł"/>
      <sheetName val="2010 EBI - 73 mln"/>
      <sheetName val="2010 EBI UE"/>
      <sheetName val="razem kredyty"/>
      <sheetName val="2011 EBI"/>
      <sheetName val="2011 EBI UE"/>
      <sheetName val="2012 EBI"/>
      <sheetName val="2012 EBI UE"/>
      <sheetName val="2012 UE"/>
      <sheetName val="2012"/>
      <sheetName val="2013 EBI UE"/>
      <sheetName val="2013 EBI"/>
      <sheetName val="2013"/>
      <sheetName val="2014"/>
      <sheetName val="2015"/>
      <sheetName val="2016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2">
          <cell r="K72">
            <v>3278357.6357894735</v>
          </cell>
          <cell r="L72">
            <v>6197000.4757894734</v>
          </cell>
          <cell r="M72">
            <v>6993562.4757894734</v>
          </cell>
          <cell r="N72">
            <v>6993562.4757894734</v>
          </cell>
          <cell r="O72">
            <v>6993562.4757894734</v>
          </cell>
          <cell r="P72">
            <v>6993562.4757894734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zał. 3 zobowiązania"/>
      <sheetName val="zał. 4 poręczenia"/>
      <sheetName val="wyłączenia"/>
      <sheetName val="zał. nr 2"/>
      <sheetName val="projekty UE"/>
      <sheetName val="Drogi"/>
      <sheetName val="Polityka społeczna i rozwój prz"/>
      <sheetName val="Ochrona zdrowia"/>
      <sheetName val="Oświata"/>
      <sheetName val="Administracja"/>
      <sheetName val="Kultura"/>
    </sheetNames>
    <sheetDataSet>
      <sheetData sheetId="0"/>
      <sheetData sheetId="1" refreshError="1"/>
      <sheetData sheetId="2">
        <row r="7">
          <cell r="H7">
            <v>79744332</v>
          </cell>
          <cell r="I7">
            <v>20237488</v>
          </cell>
        </row>
        <row r="8">
          <cell r="H8">
            <v>6778261</v>
          </cell>
          <cell r="I8">
            <v>1120000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q5"/>
      <sheetName val="WPF wydatki 2011-2016"/>
      <sheetName val="dziedziny"/>
      <sheetName val="q1"/>
      <sheetName val="q2"/>
      <sheetName val="dochq1"/>
      <sheetName val="wzor"/>
    </sheetNames>
    <sheetDataSet>
      <sheetData sheetId="0" refreshError="1"/>
      <sheetData sheetId="1" refreshError="1"/>
      <sheetData sheetId="2" refreshError="1"/>
      <sheetData sheetId="3" refreshError="1">
        <row r="10">
          <cell r="J10">
            <v>792829053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F - dochody 2011-2016"/>
      <sheetName val="BAZA"/>
    </sheetNames>
    <sheetDataSet>
      <sheetData sheetId="0">
        <row r="10">
          <cell r="F10">
            <v>471061034</v>
          </cell>
          <cell r="G10">
            <v>489695623.39999998</v>
          </cell>
          <cell r="H10">
            <v>464152020.56760001</v>
          </cell>
          <cell r="I10">
            <v>487912515.19598001</v>
          </cell>
          <cell r="J10">
            <v>479276572.905779</v>
          </cell>
        </row>
        <row r="30">
          <cell r="F30">
            <v>211379392</v>
          </cell>
          <cell r="G30">
            <v>107256226</v>
          </cell>
          <cell r="H30">
            <v>42366290</v>
          </cell>
          <cell r="I30">
            <v>56358108</v>
          </cell>
          <cell r="J30">
            <v>3366599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F - dochody 2011-2016"/>
      <sheetName val="dochody 2011"/>
      <sheetName val="BAZA"/>
    </sheetNames>
    <sheetDataSet>
      <sheetData sheetId="0" refreshError="1">
        <row r="37">
          <cell r="C37">
            <v>1639580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F - dochody 2011-2016"/>
      <sheetName val="BAZA"/>
    </sheetNames>
    <sheetDataSet>
      <sheetData sheetId="0" refreshError="1">
        <row r="37">
          <cell r="F37">
            <v>2885032</v>
          </cell>
          <cell r="G37">
            <v>555556</v>
          </cell>
          <cell r="H37">
            <v>870087</v>
          </cell>
          <cell r="I37">
            <v>26115743</v>
          </cell>
          <cell r="J37">
            <v>161872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q5"/>
      <sheetName val="WPF wydatki 2011-2016"/>
      <sheetName val="wydatki 2011"/>
      <sheetName val="dziedziny"/>
      <sheetName val="q1"/>
      <sheetName val="q2"/>
      <sheetName val="dochq1"/>
      <sheetName val="wzor"/>
    </sheetNames>
    <sheetDataSet>
      <sheetData sheetId="0" refreshError="1"/>
      <sheetData sheetId="1" refreshError="1"/>
      <sheetData sheetId="2" refreshError="1"/>
      <sheetData sheetId="3" refreshError="1">
        <row r="12">
          <cell r="I12">
            <v>436970060</v>
          </cell>
        </row>
        <row r="13">
          <cell r="I13">
            <v>426642909</v>
          </cell>
        </row>
        <row r="315">
          <cell r="I315">
            <v>1379761</v>
          </cell>
        </row>
        <row r="662">
          <cell r="I662">
            <v>113895861</v>
          </cell>
        </row>
      </sheetData>
      <sheetData sheetId="4" refreshError="1">
        <row r="230">
          <cell r="I230">
            <v>839042</v>
          </cell>
        </row>
        <row r="235">
          <cell r="I235">
            <v>1511042</v>
          </cell>
        </row>
        <row r="242">
          <cell r="I242">
            <v>73966185</v>
          </cell>
        </row>
        <row r="631">
          <cell r="I631">
            <v>558000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q5"/>
      <sheetName val="WPF wydatki 2011-2016"/>
      <sheetName val="dziedziny"/>
      <sheetName val="q1"/>
      <sheetName val="q2"/>
      <sheetName val="dochq1"/>
      <sheetName val="wzor"/>
    </sheetNames>
    <sheetDataSet>
      <sheetData sheetId="0" refreshError="1"/>
      <sheetData sheetId="1" refreshError="1"/>
      <sheetData sheetId="2" refreshError="1"/>
      <sheetData sheetId="3">
        <row r="10">
          <cell r="J10">
            <v>937864723</v>
          </cell>
          <cell r="K10">
            <v>793906546.7903676</v>
          </cell>
          <cell r="L10">
            <v>632753328.97258878</v>
          </cell>
          <cell r="M10">
            <v>486167349.84500068</v>
          </cell>
          <cell r="N10">
            <v>475966944.82288712</v>
          </cell>
          <cell r="O10">
            <v>439322732.45815766</v>
          </cell>
        </row>
        <row r="12">
          <cell r="K12">
            <v>432806622.7903676</v>
          </cell>
          <cell r="L12">
            <v>436513711.97258878</v>
          </cell>
          <cell r="M12">
            <v>392296130.84500068</v>
          </cell>
          <cell r="N12">
            <v>395625619.82288712</v>
          </cell>
          <cell r="O12">
            <v>385641992.45815766</v>
          </cell>
        </row>
        <row r="13">
          <cell r="K13">
            <v>361099924</v>
          </cell>
          <cell r="L13">
            <v>196239617</v>
          </cell>
          <cell r="M13">
            <v>93871219</v>
          </cell>
          <cell r="N13">
            <v>80341325</v>
          </cell>
          <cell r="O13">
            <v>53680740</v>
          </cell>
        </row>
        <row r="223">
          <cell r="K223">
            <v>796861</v>
          </cell>
          <cell r="L223">
            <v>812991</v>
          </cell>
          <cell r="M223">
            <v>828739</v>
          </cell>
          <cell r="N223">
            <v>845494</v>
          </cell>
          <cell r="O223">
            <v>861879</v>
          </cell>
        </row>
        <row r="228">
          <cell r="K228">
            <v>1345294</v>
          </cell>
          <cell r="L228">
            <v>1365350</v>
          </cell>
          <cell r="M228">
            <v>1385892</v>
          </cell>
          <cell r="N228">
            <v>1486574</v>
          </cell>
          <cell r="O228">
            <v>1427748</v>
          </cell>
        </row>
        <row r="235">
          <cell r="K235">
            <v>84379938</v>
          </cell>
          <cell r="L235">
            <v>84230655</v>
          </cell>
          <cell r="M235">
            <v>78173524.125</v>
          </cell>
          <cell r="N235">
            <v>86467507.578125</v>
          </cell>
          <cell r="O235">
            <v>62643612.767578118</v>
          </cell>
        </row>
        <row r="260">
          <cell r="K260">
            <v>1370000</v>
          </cell>
          <cell r="L260">
            <v>1370000</v>
          </cell>
          <cell r="M260">
            <v>1589079</v>
          </cell>
          <cell r="N260">
            <v>1370000</v>
          </cell>
          <cell r="O260">
            <v>1370000</v>
          </cell>
        </row>
        <row r="261">
          <cell r="K261">
            <v>399000</v>
          </cell>
          <cell r="L261">
            <v>399000</v>
          </cell>
          <cell r="M261">
            <v>458590</v>
          </cell>
          <cell r="N261">
            <v>458590</v>
          </cell>
          <cell r="O261">
            <v>0</v>
          </cell>
        </row>
        <row r="308">
          <cell r="K308">
            <v>14503030.415367544</v>
          </cell>
          <cell r="L308">
            <v>18643308.843213771</v>
          </cell>
          <cell r="M308">
            <v>18737401.110391252</v>
          </cell>
          <cell r="N308">
            <v>17688672.392912481</v>
          </cell>
          <cell r="O308">
            <v>16639943.67543371</v>
          </cell>
        </row>
        <row r="632">
          <cell r="K632">
            <v>568160</v>
          </cell>
          <cell r="L632">
            <v>578523</v>
          </cell>
          <cell r="M632">
            <v>589093</v>
          </cell>
          <cell r="N632">
            <v>599876</v>
          </cell>
          <cell r="O632">
            <v>610873</v>
          </cell>
        </row>
        <row r="666">
          <cell r="K666">
            <v>115284504.375</v>
          </cell>
          <cell r="L666">
            <v>118746762.83437499</v>
          </cell>
          <cell r="M666">
            <v>103790447.58023438</v>
          </cell>
          <cell r="N666">
            <v>104693381.54474023</v>
          </cell>
          <cell r="O666">
            <v>103677374.40835874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ĘCZENIA"/>
    </sheetNames>
    <sheetDataSet>
      <sheetData sheetId="0" refreshError="1">
        <row r="21">
          <cell r="K21">
            <v>984605.2</v>
          </cell>
          <cell r="L21">
            <v>1125102.54</v>
          </cell>
          <cell r="M21">
            <v>1838777.4</v>
          </cell>
          <cell r="N21">
            <v>734777.4</v>
          </cell>
          <cell r="O21">
            <v>723676.49</v>
          </cell>
          <cell r="P21">
            <v>427168.19999999995</v>
          </cell>
          <cell r="Q21">
            <v>295566.48</v>
          </cell>
          <cell r="R21">
            <v>295566.48</v>
          </cell>
          <cell r="S21">
            <v>295566.48</v>
          </cell>
          <cell r="T21">
            <v>295566.48</v>
          </cell>
          <cell r="U21">
            <v>295566.48</v>
          </cell>
          <cell r="V21">
            <v>295566.48</v>
          </cell>
          <cell r="W21">
            <v>295566.48</v>
          </cell>
          <cell r="X21">
            <v>295566.48</v>
          </cell>
          <cell r="Y21">
            <v>295566.48</v>
          </cell>
          <cell r="Z21">
            <v>295566.48</v>
          </cell>
          <cell r="AA21">
            <v>295566.48</v>
          </cell>
          <cell r="AB21">
            <v>295566.48</v>
          </cell>
          <cell r="AC21">
            <v>197044.7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projekty UE"/>
      <sheetName val="wyłączenia"/>
      <sheetName val="Drogi"/>
      <sheetName val="Polityka społeczna i rozwój prz"/>
      <sheetName val="Ochrona zdrowia"/>
      <sheetName val="Oświata"/>
      <sheetName val="Administracja"/>
      <sheetName val="Kultura"/>
      <sheetName val="Rolnictwo i Ochrona środowiska"/>
      <sheetName val="Kultura fizyczna"/>
      <sheetName val="objaśnienia źródeł"/>
    </sheetNames>
    <sheetDataSet>
      <sheetData sheetId="0" refreshError="1">
        <row r="40">
          <cell r="G40">
            <v>254589515.0025</v>
          </cell>
        </row>
        <row r="72">
          <cell r="G72">
            <v>44987475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ĘCZENIA"/>
    </sheetNames>
    <sheetDataSet>
      <sheetData sheetId="0" refreshError="1">
        <row r="18">
          <cell r="I18">
            <v>984605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3"/>
  <sheetViews>
    <sheetView showGridLines="0" tabSelected="1" showWhiteSpace="0" view="pageBreakPreview" topLeftCell="A25" zoomScale="110" zoomScaleNormal="100" zoomScaleSheetLayoutView="110" workbookViewId="0">
      <selection activeCell="J37" sqref="J37"/>
    </sheetView>
  </sheetViews>
  <sheetFormatPr defaultRowHeight="12.75" x14ac:dyDescent="0.2"/>
  <cols>
    <col min="1" max="1" width="4.5703125" style="1" customWidth="1"/>
    <col min="2" max="2" width="44.42578125" style="1" customWidth="1"/>
    <col min="3" max="3" width="0.140625" style="1" customWidth="1"/>
    <col min="4" max="4" width="11.7109375" style="1" hidden="1" customWidth="1"/>
    <col min="5" max="5" width="12.5703125" style="1" hidden="1" customWidth="1"/>
    <col min="6" max="6" width="13.28515625" style="1" hidden="1" customWidth="1"/>
    <col min="7" max="7" width="14.42578125" style="1" customWidth="1"/>
    <col min="8" max="8" width="14.7109375" style="1" customWidth="1"/>
    <col min="9" max="9" width="13.7109375" style="1" customWidth="1"/>
    <col min="10" max="10" width="14.85546875" style="1" customWidth="1"/>
    <col min="11" max="11" width="13.7109375" style="1" customWidth="1"/>
    <col min="12" max="12" width="11.7109375" style="1" hidden="1" customWidth="1"/>
    <col min="13" max="14" width="11.42578125" style="1" hidden="1" customWidth="1"/>
    <col min="15" max="15" width="12" style="1" hidden="1" customWidth="1"/>
    <col min="16" max="16" width="11.42578125" style="1" hidden="1" customWidth="1"/>
    <col min="17" max="17" width="11.5703125" style="1" hidden="1" customWidth="1"/>
    <col min="18" max="18" width="12" style="1" hidden="1" customWidth="1"/>
    <col min="19" max="19" width="11.42578125" style="1" hidden="1" customWidth="1"/>
    <col min="20" max="20" width="12" style="1" hidden="1" customWidth="1"/>
    <col min="21" max="21" width="11" style="1" hidden="1" customWidth="1"/>
    <col min="22" max="22" width="12.28515625" style="1" hidden="1" customWidth="1"/>
    <col min="23" max="23" width="6" style="1" hidden="1" customWidth="1"/>
    <col min="24" max="24" width="41.28515625" style="1" hidden="1" customWidth="1"/>
    <col min="25" max="29" width="12.140625" style="1" hidden="1" customWidth="1"/>
    <col min="30" max="31" width="11.7109375" style="1" hidden="1" customWidth="1"/>
    <col min="32" max="39" width="12" style="1" hidden="1" customWidth="1"/>
    <col min="40" max="40" width="9.140625" style="1"/>
    <col min="41" max="41" width="15.140625" style="1" customWidth="1"/>
    <col min="42" max="16384" width="9.140625" style="1"/>
  </cols>
  <sheetData>
    <row r="1" spans="1:41" ht="21" customHeight="1" x14ac:dyDescent="0.3">
      <c r="J1" s="282" t="s">
        <v>132</v>
      </c>
      <c r="K1" s="282"/>
    </row>
    <row r="2" spans="1:41" ht="76.5" customHeight="1" x14ac:dyDescent="0.3">
      <c r="A2" s="281" t="s">
        <v>135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Y2" s="280" t="s">
        <v>126</v>
      </c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"/>
      <c r="AO2" s="2"/>
    </row>
    <row r="3" spans="1:41" ht="25.5" customHeight="1" thickBot="1" x14ac:dyDescent="0.25">
      <c r="C3" s="3"/>
      <c r="J3" s="4" t="s">
        <v>130</v>
      </c>
      <c r="T3" s="5" t="s">
        <v>79</v>
      </c>
    </row>
    <row r="4" spans="1:41" ht="46.5" customHeight="1" x14ac:dyDescent="0.2">
      <c r="A4" s="6" t="s">
        <v>5</v>
      </c>
      <c r="B4" s="7" t="s">
        <v>0</v>
      </c>
      <c r="C4" s="8" t="s">
        <v>39</v>
      </c>
      <c r="D4" s="8" t="s">
        <v>40</v>
      </c>
      <c r="E4" s="8" t="s">
        <v>49</v>
      </c>
      <c r="F4" s="8" t="s">
        <v>118</v>
      </c>
      <c r="G4" s="8" t="s">
        <v>136</v>
      </c>
      <c r="H4" s="9" t="s">
        <v>137</v>
      </c>
      <c r="I4" s="8" t="s">
        <v>138</v>
      </c>
      <c r="J4" s="8" t="s">
        <v>139</v>
      </c>
      <c r="K4" s="10" t="s">
        <v>131</v>
      </c>
      <c r="L4" s="10" t="s">
        <v>17</v>
      </c>
      <c r="M4" s="8" t="s">
        <v>16</v>
      </c>
      <c r="N4" s="8" t="s">
        <v>26</v>
      </c>
      <c r="O4" s="8" t="s">
        <v>27</v>
      </c>
      <c r="P4" s="11" t="s">
        <v>34</v>
      </c>
      <c r="Q4" s="10" t="s">
        <v>35</v>
      </c>
      <c r="R4" s="8" t="s">
        <v>36</v>
      </c>
      <c r="S4" s="8" t="s">
        <v>41</v>
      </c>
      <c r="T4" s="8" t="s">
        <v>42</v>
      </c>
      <c r="U4" s="8" t="s">
        <v>43</v>
      </c>
      <c r="V4" s="11" t="s">
        <v>84</v>
      </c>
      <c r="W4" s="6" t="s">
        <v>5</v>
      </c>
      <c r="X4" s="7" t="s">
        <v>0</v>
      </c>
      <c r="Y4" s="8" t="s">
        <v>85</v>
      </c>
      <c r="Z4" s="8" t="s">
        <v>86</v>
      </c>
      <c r="AA4" s="8" t="s">
        <v>87</v>
      </c>
      <c r="AB4" s="8" t="s">
        <v>88</v>
      </c>
      <c r="AC4" s="8" t="s">
        <v>89</v>
      </c>
      <c r="AD4" s="8" t="s">
        <v>90</v>
      </c>
      <c r="AE4" s="8" t="s">
        <v>91</v>
      </c>
      <c r="AF4" s="8" t="s">
        <v>92</v>
      </c>
      <c r="AG4" s="8" t="s">
        <v>102</v>
      </c>
      <c r="AH4" s="8" t="s">
        <v>103</v>
      </c>
      <c r="AI4" s="8" t="s">
        <v>104</v>
      </c>
      <c r="AJ4" s="8" t="s">
        <v>106</v>
      </c>
      <c r="AK4" s="8" t="s">
        <v>105</v>
      </c>
      <c r="AL4" s="8" t="s">
        <v>112</v>
      </c>
      <c r="AM4" s="8" t="s">
        <v>120</v>
      </c>
    </row>
    <row r="5" spans="1:41" ht="11.25" customHeight="1" x14ac:dyDescent="0.2">
      <c r="A5" s="12">
        <v>1</v>
      </c>
      <c r="B5" s="13">
        <v>2</v>
      </c>
      <c r="C5" s="14" t="s">
        <v>28</v>
      </c>
      <c r="D5" s="14" t="s">
        <v>28</v>
      </c>
      <c r="E5" s="14" t="s">
        <v>47</v>
      </c>
      <c r="F5" s="14" t="s">
        <v>48</v>
      </c>
      <c r="G5" s="14" t="s">
        <v>28</v>
      </c>
      <c r="H5" s="15" t="s">
        <v>47</v>
      </c>
      <c r="I5" s="14" t="s">
        <v>48</v>
      </c>
      <c r="J5" s="16" t="s">
        <v>1</v>
      </c>
      <c r="K5" s="16" t="s">
        <v>2</v>
      </c>
      <c r="L5" s="16" t="s">
        <v>2</v>
      </c>
      <c r="M5" s="14" t="s">
        <v>3</v>
      </c>
      <c r="N5" s="14" t="s">
        <v>4</v>
      </c>
      <c r="O5" s="14" t="s">
        <v>6</v>
      </c>
      <c r="P5" s="17" t="s">
        <v>7</v>
      </c>
      <c r="Q5" s="16" t="s">
        <v>15</v>
      </c>
      <c r="R5" s="14" t="s">
        <v>37</v>
      </c>
      <c r="S5" s="14" t="s">
        <v>38</v>
      </c>
      <c r="T5" s="14" t="s">
        <v>44</v>
      </c>
      <c r="U5" s="14" t="s">
        <v>45</v>
      </c>
      <c r="V5" s="17" t="s">
        <v>93</v>
      </c>
      <c r="W5" s="12">
        <v>1</v>
      </c>
      <c r="X5" s="13">
        <v>2</v>
      </c>
      <c r="Y5" s="14" t="s">
        <v>94</v>
      </c>
      <c r="Z5" s="14" t="s">
        <v>95</v>
      </c>
      <c r="AA5" s="14" t="s">
        <v>96</v>
      </c>
      <c r="AB5" s="14" t="s">
        <v>97</v>
      </c>
      <c r="AC5" s="14" t="s">
        <v>98</v>
      </c>
      <c r="AD5" s="14" t="s">
        <v>99</v>
      </c>
      <c r="AE5" s="14" t="s">
        <v>100</v>
      </c>
      <c r="AF5" s="14" t="s">
        <v>101</v>
      </c>
      <c r="AG5" s="14" t="s">
        <v>107</v>
      </c>
      <c r="AH5" s="14" t="s">
        <v>108</v>
      </c>
      <c r="AI5" s="14" t="s">
        <v>109</v>
      </c>
      <c r="AJ5" s="14" t="s">
        <v>110</v>
      </c>
      <c r="AK5" s="14" t="s">
        <v>111</v>
      </c>
      <c r="AL5" s="14" t="s">
        <v>113</v>
      </c>
      <c r="AM5" s="14" t="s">
        <v>121</v>
      </c>
    </row>
    <row r="6" spans="1:41" ht="15.75" customHeight="1" x14ac:dyDescent="0.2">
      <c r="A6" s="18" t="s">
        <v>8</v>
      </c>
      <c r="B6" s="19" t="s">
        <v>141</v>
      </c>
      <c r="C6" s="20">
        <v>485801027</v>
      </c>
      <c r="D6" s="20">
        <v>541060937</v>
      </c>
      <c r="E6" s="20">
        <v>1075114637</v>
      </c>
      <c r="F6" s="20">
        <f>+F7+F8</f>
        <v>731155043</v>
      </c>
      <c r="G6" s="20">
        <f>+G7+G8</f>
        <v>786682186</v>
      </c>
      <c r="H6" s="21">
        <f>+H7+H8</f>
        <v>783111238</v>
      </c>
      <c r="I6" s="20">
        <f>+I7+I8</f>
        <v>847086172</v>
      </c>
      <c r="J6" s="20">
        <f>+J7+J8</f>
        <v>298586293</v>
      </c>
      <c r="K6" s="22">
        <f t="shared" ref="K6:K17" si="0">+J6/I6</f>
        <v>0.35248632650327338</v>
      </c>
      <c r="L6" s="23">
        <f t="shared" ref="L6:Q6" si="1">+L7+L8</f>
        <v>682440426</v>
      </c>
      <c r="M6" s="20">
        <f t="shared" si="1"/>
        <v>596951849.39999998</v>
      </c>
      <c r="N6" s="20">
        <f t="shared" si="1"/>
        <v>506518310.56760001</v>
      </c>
      <c r="O6" s="20">
        <f t="shared" si="1"/>
        <v>544270623.19598007</v>
      </c>
      <c r="P6" s="24">
        <f t="shared" si="1"/>
        <v>482643171.905779</v>
      </c>
      <c r="Q6" s="23">
        <f t="shared" si="1"/>
        <v>494709251.20342344</v>
      </c>
      <c r="R6" s="20">
        <f t="shared" ref="R6:AL6" si="2">+R7+R8</f>
        <v>506582273.23230559</v>
      </c>
      <c r="S6" s="20">
        <f t="shared" si="2"/>
        <v>518740247.78988087</v>
      </c>
      <c r="T6" s="20">
        <f t="shared" si="2"/>
        <v>531190013.73683804</v>
      </c>
      <c r="U6" s="20">
        <f t="shared" si="2"/>
        <v>543938574.06652224</v>
      </c>
      <c r="V6" s="24">
        <f t="shared" si="2"/>
        <v>556993099.84411871</v>
      </c>
      <c r="W6" s="18" t="s">
        <v>8</v>
      </c>
      <c r="X6" s="19" t="s">
        <v>141</v>
      </c>
      <c r="Y6" s="20">
        <f t="shared" si="2"/>
        <v>569803941.14053333</v>
      </c>
      <c r="Z6" s="20">
        <f t="shared" si="2"/>
        <v>582909431.78676558</v>
      </c>
      <c r="AA6" s="20">
        <f t="shared" si="2"/>
        <v>596316348.71786118</v>
      </c>
      <c r="AB6" s="20">
        <f t="shared" si="2"/>
        <v>610031624.73837197</v>
      </c>
      <c r="AC6" s="20">
        <f t="shared" si="2"/>
        <v>624062352.10735452</v>
      </c>
      <c r="AD6" s="20">
        <f t="shared" si="2"/>
        <v>637791723.85371637</v>
      </c>
      <c r="AE6" s="20">
        <f t="shared" si="2"/>
        <v>651823141.77849817</v>
      </c>
      <c r="AF6" s="20">
        <f t="shared" si="2"/>
        <v>666163250.89762509</v>
      </c>
      <c r="AG6" s="20">
        <f t="shared" si="2"/>
        <v>680818842.41737282</v>
      </c>
      <c r="AH6" s="20">
        <f t="shared" si="2"/>
        <v>695796856.95055509</v>
      </c>
      <c r="AI6" s="20">
        <f t="shared" si="2"/>
        <v>710408590.94651663</v>
      </c>
      <c r="AJ6" s="20">
        <f t="shared" si="2"/>
        <v>725327171.35639346</v>
      </c>
      <c r="AK6" s="20">
        <f t="shared" si="2"/>
        <v>740559041.95487761</v>
      </c>
      <c r="AL6" s="20">
        <f t="shared" si="2"/>
        <v>756110781.83593011</v>
      </c>
      <c r="AM6" s="20">
        <f>+AM7+AM8</f>
        <v>771232997.47264862</v>
      </c>
    </row>
    <row r="7" spans="1:41" ht="14.25" customHeight="1" x14ac:dyDescent="0.2">
      <c r="A7" s="25" t="s">
        <v>54</v>
      </c>
      <c r="B7" s="26" t="s">
        <v>52</v>
      </c>
      <c r="C7" s="27">
        <f>+C6-C8</f>
        <v>394463464.90999997</v>
      </c>
      <c r="D7" s="27">
        <v>465378200</v>
      </c>
      <c r="E7" s="27">
        <v>567221236</v>
      </c>
      <c r="F7" s="27">
        <f>+'[1]dochody porównanie'!$D$11</f>
        <v>446912205</v>
      </c>
      <c r="G7" s="27">
        <v>497070784</v>
      </c>
      <c r="H7" s="28">
        <v>524500905</v>
      </c>
      <c r="I7" s="27">
        <v>547925221</v>
      </c>
      <c r="J7" s="27">
        <v>258285829</v>
      </c>
      <c r="K7" s="29">
        <f t="shared" si="0"/>
        <v>0.47138883026521605</v>
      </c>
      <c r="L7" s="27">
        <f>+'[2]WPF - dochody 2011-2016'!F10</f>
        <v>471061034</v>
      </c>
      <c r="M7" s="27">
        <f>+'[2]WPF - dochody 2011-2016'!G10</f>
        <v>489695623.39999998</v>
      </c>
      <c r="N7" s="27">
        <f>+'[2]WPF - dochody 2011-2016'!H10</f>
        <v>464152020.56760001</v>
      </c>
      <c r="O7" s="27">
        <f>+'[2]WPF - dochody 2011-2016'!I10</f>
        <v>487912515.19598001</v>
      </c>
      <c r="P7" s="30">
        <f>+'[2]WPF - dochody 2011-2016'!J10</f>
        <v>479276572.905779</v>
      </c>
      <c r="Q7" s="31">
        <f>+P7*102.5%</f>
        <v>491258487.22842342</v>
      </c>
      <c r="R7" s="31">
        <f t="shared" ref="R7:V8" si="3">+Q7*102.4%</f>
        <v>503048690.92190558</v>
      </c>
      <c r="S7" s="31">
        <f t="shared" si="3"/>
        <v>515121859.5040313</v>
      </c>
      <c r="T7" s="31">
        <f t="shared" si="3"/>
        <v>527484784.13212806</v>
      </c>
      <c r="U7" s="31">
        <f t="shared" si="3"/>
        <v>540144418.95129919</v>
      </c>
      <c r="V7" s="30">
        <f t="shared" si="3"/>
        <v>553107885.00613034</v>
      </c>
      <c r="W7" s="25" t="s">
        <v>54</v>
      </c>
      <c r="X7" s="26" t="s">
        <v>52</v>
      </c>
      <c r="Y7" s="31">
        <f>+V7*102.3%</f>
        <v>565829366.36127126</v>
      </c>
      <c r="Z7" s="31">
        <f t="shared" ref="Z7:AC8" si="4">+Y7*102.3%</f>
        <v>578843441.78758049</v>
      </c>
      <c r="AA7" s="31">
        <f t="shared" si="4"/>
        <v>592156840.94869483</v>
      </c>
      <c r="AB7" s="31">
        <f t="shared" si="4"/>
        <v>605776448.29051471</v>
      </c>
      <c r="AC7" s="31">
        <f t="shared" si="4"/>
        <v>619709306.60119653</v>
      </c>
      <c r="AD7" s="31">
        <f t="shared" ref="AD7:AH8" si="5">+AC7*102.2%</f>
        <v>633342911.34642291</v>
      </c>
      <c r="AE7" s="31">
        <f t="shared" si="5"/>
        <v>647276455.39604425</v>
      </c>
      <c r="AF7" s="31">
        <f t="shared" si="5"/>
        <v>661516537.41475725</v>
      </c>
      <c r="AG7" s="31">
        <f t="shared" si="5"/>
        <v>676069901.2378819</v>
      </c>
      <c r="AH7" s="31">
        <f t="shared" si="5"/>
        <v>690943439.06511533</v>
      </c>
      <c r="AI7" s="31">
        <f t="shared" ref="AI7:AL8" si="6">+AH7*102.1%</f>
        <v>705453251.28548265</v>
      </c>
      <c r="AJ7" s="31">
        <f t="shared" si="6"/>
        <v>720267769.56247771</v>
      </c>
      <c r="AK7" s="31">
        <f t="shared" si="6"/>
        <v>735393392.72328973</v>
      </c>
      <c r="AL7" s="31">
        <f t="shared" si="6"/>
        <v>750836653.97047877</v>
      </c>
      <c r="AM7" s="27">
        <f>+AL7*102%</f>
        <v>765853387.04988837</v>
      </c>
    </row>
    <row r="8" spans="1:41" x14ac:dyDescent="0.2">
      <c r="A8" s="25" t="s">
        <v>55</v>
      </c>
      <c r="B8" s="26" t="s">
        <v>53</v>
      </c>
      <c r="C8" s="27">
        <v>91337562.090000004</v>
      </c>
      <c r="D8" s="27">
        <v>75682737</v>
      </c>
      <c r="E8" s="27">
        <v>507893401</v>
      </c>
      <c r="F8" s="27">
        <f>+'[1]dochody porównanie'!$D$31</f>
        <v>284242838</v>
      </c>
      <c r="G8" s="27">
        <v>289611402</v>
      </c>
      <c r="H8" s="28">
        <v>258610333</v>
      </c>
      <c r="I8" s="27">
        <v>299160951</v>
      </c>
      <c r="J8" s="27">
        <v>40300464</v>
      </c>
      <c r="K8" s="29">
        <f t="shared" si="0"/>
        <v>0.13471164557168425</v>
      </c>
      <c r="L8" s="27">
        <f>+'[2]WPF - dochody 2011-2016'!F30</f>
        <v>211379392</v>
      </c>
      <c r="M8" s="27">
        <f>+'[2]WPF - dochody 2011-2016'!G30</f>
        <v>107256226</v>
      </c>
      <c r="N8" s="27">
        <f>+'[2]WPF - dochody 2011-2016'!H30</f>
        <v>42366290</v>
      </c>
      <c r="O8" s="27">
        <f>+'[2]WPF - dochody 2011-2016'!I30</f>
        <v>56358108</v>
      </c>
      <c r="P8" s="30">
        <f>+'[2]WPF - dochody 2011-2016'!J30</f>
        <v>3366599</v>
      </c>
      <c r="Q8" s="31">
        <f>+P8*102.5%</f>
        <v>3450763.9749999996</v>
      </c>
      <c r="R8" s="31">
        <f t="shared" si="3"/>
        <v>3533582.3103999998</v>
      </c>
      <c r="S8" s="31">
        <f t="shared" si="3"/>
        <v>3618388.2858496001</v>
      </c>
      <c r="T8" s="31">
        <f t="shared" si="3"/>
        <v>3705229.6047099908</v>
      </c>
      <c r="U8" s="31">
        <f t="shared" si="3"/>
        <v>3794155.1152230306</v>
      </c>
      <c r="V8" s="30">
        <f t="shared" si="3"/>
        <v>3885214.8379883836</v>
      </c>
      <c r="W8" s="25" t="s">
        <v>55</v>
      </c>
      <c r="X8" s="26" t="s">
        <v>53</v>
      </c>
      <c r="Y8" s="31">
        <f>+V8*102.3%</f>
        <v>3974574.7792621162</v>
      </c>
      <c r="Z8" s="31">
        <f t="shared" si="4"/>
        <v>4065989.9991851444</v>
      </c>
      <c r="AA8" s="31">
        <f t="shared" si="4"/>
        <v>4159507.7691664025</v>
      </c>
      <c r="AB8" s="31">
        <f t="shared" si="4"/>
        <v>4255176.447857229</v>
      </c>
      <c r="AC8" s="31">
        <f t="shared" si="4"/>
        <v>4353045.5061579449</v>
      </c>
      <c r="AD8" s="31">
        <f t="shared" si="5"/>
        <v>4448812.5072934199</v>
      </c>
      <c r="AE8" s="31">
        <f t="shared" si="5"/>
        <v>4546686.3824538756</v>
      </c>
      <c r="AF8" s="31">
        <f t="shared" si="5"/>
        <v>4646713.4828678612</v>
      </c>
      <c r="AG8" s="31">
        <f t="shared" si="5"/>
        <v>4748941.1794909546</v>
      </c>
      <c r="AH8" s="31">
        <f t="shared" si="5"/>
        <v>4853417.8854397554</v>
      </c>
      <c r="AI8" s="31">
        <f t="shared" si="6"/>
        <v>4955339.6610339899</v>
      </c>
      <c r="AJ8" s="31">
        <f t="shared" si="6"/>
        <v>5059401.793915703</v>
      </c>
      <c r="AK8" s="31">
        <f t="shared" si="6"/>
        <v>5165649.2315879324</v>
      </c>
      <c r="AL8" s="31">
        <f t="shared" si="6"/>
        <v>5274127.8654512782</v>
      </c>
      <c r="AM8" s="27">
        <f>+AL8*102%</f>
        <v>5379610.4227603041</v>
      </c>
    </row>
    <row r="9" spans="1:41" ht="15.75" customHeight="1" x14ac:dyDescent="0.2">
      <c r="A9" s="32" t="s">
        <v>56</v>
      </c>
      <c r="B9" s="33" t="s">
        <v>51</v>
      </c>
      <c r="C9" s="34" t="e">
        <f>+#REF!</f>
        <v>#REF!</v>
      </c>
      <c r="D9" s="34">
        <v>1078842</v>
      </c>
      <c r="E9" s="34">
        <v>3707292</v>
      </c>
      <c r="F9" s="34">
        <f>+'[3]WPF - dochody 2011-2016'!C37</f>
        <v>1639580</v>
      </c>
      <c r="G9" s="34">
        <v>2863833</v>
      </c>
      <c r="H9" s="35">
        <v>10629976</v>
      </c>
      <c r="I9" s="34">
        <v>10629976</v>
      </c>
      <c r="J9" s="34">
        <v>1249172</v>
      </c>
      <c r="K9" s="36">
        <f t="shared" si="0"/>
        <v>0.11751409410519835</v>
      </c>
      <c r="L9" s="34">
        <f>+'[4]WPF - dochody 2011-2016'!F37</f>
        <v>2885032</v>
      </c>
      <c r="M9" s="34">
        <f>+'[4]WPF - dochody 2011-2016'!G37</f>
        <v>555556</v>
      </c>
      <c r="N9" s="34">
        <f>+'[4]WPF - dochody 2011-2016'!H37</f>
        <v>870087</v>
      </c>
      <c r="O9" s="34">
        <f>+'[4]WPF - dochody 2011-2016'!I37</f>
        <v>26115743</v>
      </c>
      <c r="P9" s="37">
        <f>+'[4]WPF - dochody 2011-2016'!J37</f>
        <v>161872</v>
      </c>
      <c r="Q9" s="38" t="e">
        <f>+#REF!</f>
        <v>#REF!</v>
      </c>
      <c r="R9" s="34" t="e">
        <f>+#REF!</f>
        <v>#REF!</v>
      </c>
      <c r="S9" s="34" t="e">
        <f>+#REF!</f>
        <v>#REF!</v>
      </c>
      <c r="T9" s="34" t="e">
        <f>+#REF!</f>
        <v>#REF!</v>
      </c>
      <c r="U9" s="34" t="e">
        <f>+#REF!</f>
        <v>#REF!</v>
      </c>
      <c r="V9" s="37" t="e">
        <f>+#REF!</f>
        <v>#REF!</v>
      </c>
      <c r="W9" s="32" t="s">
        <v>56</v>
      </c>
      <c r="X9" s="33" t="s">
        <v>51</v>
      </c>
      <c r="Y9" s="34" t="e">
        <f>+#REF!</f>
        <v>#REF!</v>
      </c>
      <c r="Z9" s="34" t="e">
        <f>+#REF!</f>
        <v>#REF!</v>
      </c>
      <c r="AA9" s="34" t="e">
        <f>+#REF!</f>
        <v>#REF!</v>
      </c>
      <c r="AB9" s="34" t="e">
        <f>+#REF!</f>
        <v>#REF!</v>
      </c>
      <c r="AC9" s="34" t="e">
        <f>+#REF!</f>
        <v>#REF!</v>
      </c>
      <c r="AD9" s="34" t="e">
        <f>+#REF!</f>
        <v>#REF!</v>
      </c>
      <c r="AE9" s="34" t="e">
        <f>+#REF!</f>
        <v>#REF!</v>
      </c>
      <c r="AF9" s="34" t="e">
        <f>+#REF!</f>
        <v>#REF!</v>
      </c>
      <c r="AG9" s="34" t="e">
        <f>+#REF!</f>
        <v>#REF!</v>
      </c>
      <c r="AH9" s="34" t="e">
        <f>+#REF!</f>
        <v>#REF!</v>
      </c>
      <c r="AI9" s="34" t="e">
        <f>+#REF!</f>
        <v>#REF!</v>
      </c>
      <c r="AJ9" s="34" t="e">
        <f>+#REF!</f>
        <v>#REF!</v>
      </c>
      <c r="AK9" s="34" t="e">
        <f>+#REF!</f>
        <v>#REF!</v>
      </c>
      <c r="AL9" s="34" t="e">
        <f>+#REF!</f>
        <v>#REF!</v>
      </c>
      <c r="AM9" s="34" t="e">
        <f>+#REF!</f>
        <v>#REF!</v>
      </c>
    </row>
    <row r="10" spans="1:41" ht="37.5" customHeight="1" x14ac:dyDescent="0.2">
      <c r="A10" s="39" t="s">
        <v>9</v>
      </c>
      <c r="B10" s="40" t="s">
        <v>142</v>
      </c>
      <c r="C10" s="41" t="e">
        <f>+#REF!+#REF!-C22</f>
        <v>#REF!</v>
      </c>
      <c r="D10" s="41">
        <v>349295154</v>
      </c>
      <c r="E10" s="41">
        <v>464531882</v>
      </c>
      <c r="F10" s="42">
        <f>+'[5]WPF wydatki 2011-2016'!I12-F22</f>
        <v>433990060</v>
      </c>
      <c r="G10" s="42">
        <f>433547805-12700776</f>
        <v>420847029</v>
      </c>
      <c r="H10" s="43">
        <f>482096198-15100000</f>
        <v>466996198</v>
      </c>
      <c r="I10" s="42">
        <f>511223091-15100000-1339284</f>
        <v>494783807</v>
      </c>
      <c r="J10" s="42">
        <f>229133782-5256984</f>
        <v>223876798</v>
      </c>
      <c r="K10" s="44">
        <f t="shared" si="0"/>
        <v>0.45247397920603333</v>
      </c>
      <c r="L10" s="42">
        <f>+'[6]WPF wydatki 2011-2016'!K12-'[6]WPF wydatki 2011-2016'!K308</f>
        <v>418303592.37500006</v>
      </c>
      <c r="M10" s="42">
        <f>+'[6]WPF wydatki 2011-2016'!L12-'[6]WPF wydatki 2011-2016'!L308</f>
        <v>417870403.12937498</v>
      </c>
      <c r="N10" s="42">
        <f>+'[6]WPF wydatki 2011-2016'!M12-'[6]WPF wydatki 2011-2016'!M308</f>
        <v>373558729.73460943</v>
      </c>
      <c r="O10" s="42">
        <f>+'[6]WPF wydatki 2011-2016'!N12-'[6]WPF wydatki 2011-2016'!N308</f>
        <v>377936947.42997462</v>
      </c>
      <c r="P10" s="45">
        <f>+'[6]WPF wydatki 2011-2016'!O12-'[6]WPF wydatki 2011-2016'!O308</f>
        <v>369002048.78272396</v>
      </c>
      <c r="Q10" s="42">
        <f>+P10*102.5%</f>
        <v>378227100.00229204</v>
      </c>
      <c r="R10" s="41">
        <f t="shared" ref="R10:AL10" si="7">+Q10*102.5%</f>
        <v>387682777.50234932</v>
      </c>
      <c r="S10" s="41">
        <f t="shared" si="7"/>
        <v>397374846.93990803</v>
      </c>
      <c r="T10" s="41">
        <f t="shared" si="7"/>
        <v>407309218.1134057</v>
      </c>
      <c r="U10" s="41">
        <f t="shared" si="7"/>
        <v>417491948.56624079</v>
      </c>
      <c r="V10" s="46">
        <f t="shared" si="7"/>
        <v>427929247.28039676</v>
      </c>
      <c r="W10" s="39" t="s">
        <v>9</v>
      </c>
      <c r="X10" s="40" t="s">
        <v>143</v>
      </c>
      <c r="Y10" s="41">
        <f>+V10*102.5%</f>
        <v>438627478.46240664</v>
      </c>
      <c r="Z10" s="41">
        <f t="shared" si="7"/>
        <v>449593165.42396677</v>
      </c>
      <c r="AA10" s="41">
        <f t="shared" si="7"/>
        <v>460832994.5595659</v>
      </c>
      <c r="AB10" s="41">
        <f t="shared" si="7"/>
        <v>472353819.42355502</v>
      </c>
      <c r="AC10" s="41">
        <f t="shared" si="7"/>
        <v>484162664.90914387</v>
      </c>
      <c r="AD10" s="41">
        <f t="shared" si="7"/>
        <v>496266731.53187239</v>
      </c>
      <c r="AE10" s="41">
        <f t="shared" si="7"/>
        <v>508673399.82016915</v>
      </c>
      <c r="AF10" s="41">
        <f t="shared" si="7"/>
        <v>521390234.81567335</v>
      </c>
      <c r="AG10" s="41">
        <f t="shared" si="7"/>
        <v>534424990.68606514</v>
      </c>
      <c r="AH10" s="41">
        <f t="shared" si="7"/>
        <v>547785615.45321667</v>
      </c>
      <c r="AI10" s="41">
        <f t="shared" si="7"/>
        <v>561480255.83954704</v>
      </c>
      <c r="AJ10" s="41">
        <f t="shared" si="7"/>
        <v>575517262.23553562</v>
      </c>
      <c r="AK10" s="41">
        <f t="shared" si="7"/>
        <v>589905193.79142392</v>
      </c>
      <c r="AL10" s="41">
        <f t="shared" si="7"/>
        <v>604652823.63620949</v>
      </c>
      <c r="AM10" s="41">
        <f>+AL10*102.5%</f>
        <v>619769144.22711468</v>
      </c>
    </row>
    <row r="11" spans="1:41" s="52" customFormat="1" ht="15" customHeight="1" x14ac:dyDescent="0.2">
      <c r="A11" s="47" t="s">
        <v>54</v>
      </c>
      <c r="B11" s="48" t="s">
        <v>58</v>
      </c>
      <c r="C11" s="48"/>
      <c r="D11" s="48"/>
      <c r="E11" s="48"/>
      <c r="F11" s="49">
        <f>+'[5]WPF wydatki 2011-2016'!$I$662</f>
        <v>113895861</v>
      </c>
      <c r="G11" s="49">
        <v>117411745</v>
      </c>
      <c r="H11" s="50">
        <v>122252122</v>
      </c>
      <c r="I11" s="49">
        <v>90818812</v>
      </c>
      <c r="J11" s="49"/>
      <c r="K11" s="29"/>
      <c r="L11" s="49">
        <f>+'[6]WPF wydatki 2011-2016'!K666</f>
        <v>115284504.375</v>
      </c>
      <c r="M11" s="49">
        <f>+'[6]WPF wydatki 2011-2016'!L666</f>
        <v>118746762.83437499</v>
      </c>
      <c r="N11" s="49">
        <f>+'[6]WPF wydatki 2011-2016'!M666</f>
        <v>103790447.58023438</v>
      </c>
      <c r="O11" s="49">
        <f>+'[6]WPF wydatki 2011-2016'!N666</f>
        <v>104693381.54474023</v>
      </c>
      <c r="P11" s="51">
        <f>+'[6]WPF wydatki 2011-2016'!O666</f>
        <v>103677374.40835874</v>
      </c>
      <c r="Q11" s="49">
        <f>+P11*102.5%</f>
        <v>106269308.7685677</v>
      </c>
      <c r="R11" s="31">
        <f t="shared" ref="R11:V12" si="8">+Q11*102.4%</f>
        <v>108819772.17901333</v>
      </c>
      <c r="S11" s="31">
        <f t="shared" si="8"/>
        <v>111431446.71130964</v>
      </c>
      <c r="T11" s="31">
        <f t="shared" si="8"/>
        <v>114105801.43238108</v>
      </c>
      <c r="U11" s="31">
        <f t="shared" si="8"/>
        <v>116844340.66675822</v>
      </c>
      <c r="V11" s="30">
        <f t="shared" si="8"/>
        <v>119648604.84276043</v>
      </c>
      <c r="W11" s="47" t="s">
        <v>54</v>
      </c>
      <c r="X11" s="48" t="s">
        <v>58</v>
      </c>
      <c r="Y11" s="31">
        <f>+V11*102.3%</f>
        <v>122400522.75414391</v>
      </c>
      <c r="Z11" s="31">
        <f t="shared" ref="Z11:AC12" si="9">+Y11*102.3%</f>
        <v>125215734.7774892</v>
      </c>
      <c r="AA11" s="31">
        <f t="shared" si="9"/>
        <v>128095696.67737144</v>
      </c>
      <c r="AB11" s="31">
        <f t="shared" si="9"/>
        <v>131041897.70095098</v>
      </c>
      <c r="AC11" s="31">
        <f t="shared" si="9"/>
        <v>134055861.34807284</v>
      </c>
      <c r="AD11" s="31">
        <f t="shared" ref="AD11:AH12" si="10">+AC11*102.2%</f>
        <v>137005090.29773045</v>
      </c>
      <c r="AE11" s="31">
        <f t="shared" si="10"/>
        <v>140019202.28428051</v>
      </c>
      <c r="AF11" s="31">
        <f t="shared" si="10"/>
        <v>143099624.73453468</v>
      </c>
      <c r="AG11" s="31">
        <f t="shared" si="10"/>
        <v>146247816.47869444</v>
      </c>
      <c r="AH11" s="31">
        <f t="shared" si="10"/>
        <v>149465268.44122571</v>
      </c>
      <c r="AI11" s="31">
        <f t="shared" ref="AI11:AL12" si="11">+AH11*102.1%</f>
        <v>152604039.07849142</v>
      </c>
      <c r="AJ11" s="31">
        <f t="shared" si="11"/>
        <v>155808723.89913973</v>
      </c>
      <c r="AK11" s="31">
        <f t="shared" si="11"/>
        <v>159080707.10102165</v>
      </c>
      <c r="AL11" s="31">
        <f t="shared" si="11"/>
        <v>162421401.9501431</v>
      </c>
      <c r="AM11" s="27">
        <f>+AL11*102%</f>
        <v>165669829.98914596</v>
      </c>
    </row>
    <row r="12" spans="1:41" s="52" customFormat="1" ht="23.25" customHeight="1" x14ac:dyDescent="0.2">
      <c r="A12" s="47" t="s">
        <v>55</v>
      </c>
      <c r="B12" s="53" t="s">
        <v>140</v>
      </c>
      <c r="C12" s="48"/>
      <c r="D12" s="48"/>
      <c r="E12" s="48"/>
      <c r="F12" s="54">
        <f>+'[5]wydatki 2011'!$I$230+'[5]wydatki 2011'!$I$235+'[5]wydatki 2011'!$I$242+'[5]wydatki 2011'!$I$631</f>
        <v>76874269</v>
      </c>
      <c r="G12" s="54">
        <v>65415148</v>
      </c>
      <c r="H12" s="55">
        <v>75535677</v>
      </c>
      <c r="I12" s="54">
        <v>74227125</v>
      </c>
      <c r="J12" s="54"/>
      <c r="K12" s="29"/>
      <c r="L12" s="54">
        <f>+'[6]WPF wydatki 2011-2016'!K223+'[6]WPF wydatki 2011-2016'!K228+'[6]WPF wydatki 2011-2016'!K235++'[6]WPF wydatki 2011-2016'!K632-'[6]WPF wydatki 2011-2016'!K261-'[6]WPF wydatki 2011-2016'!K260</f>
        <v>85321253</v>
      </c>
      <c r="M12" s="54">
        <f>+'[6]WPF wydatki 2011-2016'!L223+'[6]WPF wydatki 2011-2016'!L228+'[6]WPF wydatki 2011-2016'!L235++'[6]WPF wydatki 2011-2016'!L632-'[6]WPF wydatki 2011-2016'!L261-'[6]WPF wydatki 2011-2016'!L260</f>
        <v>85218519</v>
      </c>
      <c r="N12" s="54">
        <f>+'[6]WPF wydatki 2011-2016'!M223+'[6]WPF wydatki 2011-2016'!M228+'[6]WPF wydatki 2011-2016'!M235++'[6]WPF wydatki 2011-2016'!M632-'[6]WPF wydatki 2011-2016'!M261-'[6]WPF wydatki 2011-2016'!M260</f>
        <v>78929579.125</v>
      </c>
      <c r="O12" s="54">
        <f>+'[6]WPF wydatki 2011-2016'!N223+'[6]WPF wydatki 2011-2016'!N228+'[6]WPF wydatki 2011-2016'!N235++'[6]WPF wydatki 2011-2016'!N632-'[6]WPF wydatki 2011-2016'!N261-'[6]WPF wydatki 2011-2016'!N260</f>
        <v>87570861.578125</v>
      </c>
      <c r="P12" s="51">
        <f>+'[6]WPF wydatki 2011-2016'!O223+'[6]WPF wydatki 2011-2016'!O228+'[6]WPF wydatki 2011-2016'!O235++'[6]WPF wydatki 2011-2016'!O632-'[6]WPF wydatki 2011-2016'!O261-'[6]WPF wydatki 2011-2016'!O260</f>
        <v>64174112.767578118</v>
      </c>
      <c r="Q12" s="49">
        <f>+P12*102.5%</f>
        <v>65778465.586767562</v>
      </c>
      <c r="R12" s="31">
        <f t="shared" si="8"/>
        <v>67357148.760849983</v>
      </c>
      <c r="S12" s="31">
        <f t="shared" si="8"/>
        <v>68973720.331110388</v>
      </c>
      <c r="T12" s="31">
        <f t="shared" si="8"/>
        <v>70629089.619057044</v>
      </c>
      <c r="U12" s="31">
        <f t="shared" si="8"/>
        <v>72324187.769914418</v>
      </c>
      <c r="V12" s="30">
        <f t="shared" si="8"/>
        <v>74059968.27639237</v>
      </c>
      <c r="W12" s="47" t="s">
        <v>55</v>
      </c>
      <c r="X12" s="53" t="s">
        <v>59</v>
      </c>
      <c r="Y12" s="31">
        <f>+V12*102.3%</f>
        <v>75763347.546749383</v>
      </c>
      <c r="Z12" s="31">
        <f t="shared" si="9"/>
        <v>77505904.540324613</v>
      </c>
      <c r="AA12" s="31">
        <f t="shared" si="9"/>
        <v>79288540.344752073</v>
      </c>
      <c r="AB12" s="31">
        <f t="shared" si="9"/>
        <v>81112176.77268137</v>
      </c>
      <c r="AC12" s="31">
        <f t="shared" si="9"/>
        <v>82977756.83845304</v>
      </c>
      <c r="AD12" s="31">
        <f t="shared" si="10"/>
        <v>84803267.488899007</v>
      </c>
      <c r="AE12" s="31">
        <f t="shared" si="10"/>
        <v>86668939.373654783</v>
      </c>
      <c r="AF12" s="31">
        <f t="shared" si="10"/>
        <v>88575656.039875194</v>
      </c>
      <c r="AG12" s="31">
        <f t="shared" si="10"/>
        <v>90524320.472752452</v>
      </c>
      <c r="AH12" s="31">
        <f t="shared" si="10"/>
        <v>92515855.523153007</v>
      </c>
      <c r="AI12" s="31">
        <f t="shared" si="11"/>
        <v>94458688.489139214</v>
      </c>
      <c r="AJ12" s="31">
        <f t="shared" si="11"/>
        <v>96442320.947411135</v>
      </c>
      <c r="AK12" s="31">
        <f t="shared" si="11"/>
        <v>98467609.687306762</v>
      </c>
      <c r="AL12" s="31">
        <f t="shared" si="11"/>
        <v>100535429.49074019</v>
      </c>
      <c r="AM12" s="27">
        <f>+AL12*102%</f>
        <v>102546138.08055501</v>
      </c>
    </row>
    <row r="13" spans="1:41" s="52" customFormat="1" ht="12" x14ac:dyDescent="0.2">
      <c r="A13" s="47" t="s">
        <v>56</v>
      </c>
      <c r="B13" s="48" t="s">
        <v>60</v>
      </c>
      <c r="C13" s="56" t="s">
        <v>50</v>
      </c>
      <c r="D13" s="57">
        <v>0</v>
      </c>
      <c r="E13" s="57">
        <v>0</v>
      </c>
      <c r="F13" s="58">
        <f>+'[5]WPF wydatki 2011-2016'!$I$315</f>
        <v>1379761</v>
      </c>
      <c r="G13" s="59">
        <v>0</v>
      </c>
      <c r="H13" s="60">
        <v>0</v>
      </c>
      <c r="I13" s="58">
        <v>1339284</v>
      </c>
      <c r="J13" s="58">
        <v>0</v>
      </c>
      <c r="K13" s="29">
        <f t="shared" si="0"/>
        <v>0</v>
      </c>
      <c r="L13" s="58">
        <f>+[7]PORĘCZENIA!K21</f>
        <v>984605.2</v>
      </c>
      <c r="M13" s="58">
        <f>+[7]PORĘCZENIA!L21</f>
        <v>1125102.54</v>
      </c>
      <c r="N13" s="58">
        <f>+[7]PORĘCZENIA!M21</f>
        <v>1838777.4</v>
      </c>
      <c r="O13" s="58">
        <f>+[7]PORĘCZENIA!N21</f>
        <v>734777.4</v>
      </c>
      <c r="P13" s="61">
        <f>+[7]PORĘCZENIA!O21</f>
        <v>723676.49</v>
      </c>
      <c r="Q13" s="62">
        <f>+[7]PORĘCZENIA!P21</f>
        <v>427168.19999999995</v>
      </c>
      <c r="R13" s="58">
        <f>+[7]PORĘCZENIA!Q21</f>
        <v>295566.48</v>
      </c>
      <c r="S13" s="58">
        <f>+[7]PORĘCZENIA!R21</f>
        <v>295566.48</v>
      </c>
      <c r="T13" s="58">
        <f>+[7]PORĘCZENIA!S21</f>
        <v>295566.48</v>
      </c>
      <c r="U13" s="58">
        <f>+[7]PORĘCZENIA!T21</f>
        <v>295566.48</v>
      </c>
      <c r="V13" s="58">
        <f>+[7]PORĘCZENIA!U21</f>
        <v>295566.48</v>
      </c>
      <c r="W13" s="47" t="s">
        <v>56</v>
      </c>
      <c r="X13" s="48" t="s">
        <v>60</v>
      </c>
      <c r="Y13" s="58">
        <f>+[7]PORĘCZENIA!V21</f>
        <v>295566.48</v>
      </c>
      <c r="Z13" s="58">
        <f>+[7]PORĘCZENIA!W21</f>
        <v>295566.48</v>
      </c>
      <c r="AA13" s="58">
        <f>+[7]PORĘCZENIA!X21</f>
        <v>295566.48</v>
      </c>
      <c r="AB13" s="58">
        <f>+[7]PORĘCZENIA!Y21</f>
        <v>295566.48</v>
      </c>
      <c r="AC13" s="58">
        <f>+[7]PORĘCZENIA!Z21</f>
        <v>295566.48</v>
      </c>
      <c r="AD13" s="58">
        <f>+[7]PORĘCZENIA!AA21</f>
        <v>295566.48</v>
      </c>
      <c r="AE13" s="58">
        <f>+[7]PORĘCZENIA!AB21</f>
        <v>295566.48</v>
      </c>
      <c r="AF13" s="58">
        <f>+[7]PORĘCZENIA!AC21</f>
        <v>197044.7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</row>
    <row r="14" spans="1:41" s="52" customFormat="1" ht="12" x14ac:dyDescent="0.2">
      <c r="A14" s="64" t="s">
        <v>57</v>
      </c>
      <c r="B14" s="65" t="s">
        <v>78</v>
      </c>
      <c r="C14" s="66" t="s">
        <v>50</v>
      </c>
      <c r="D14" s="66" t="s">
        <v>50</v>
      </c>
      <c r="E14" s="66" t="s">
        <v>50</v>
      </c>
      <c r="F14" s="67">
        <f>+'[8]zał. nr 2'!$G$72+[9]PORĘCZENIA!$I$18+'[10] zobowiązania'!$G$23</f>
        <v>61519282</v>
      </c>
      <c r="G14" s="67">
        <v>74107420</v>
      </c>
      <c r="H14" s="68">
        <v>165532727</v>
      </c>
      <c r="I14" s="67">
        <v>170880309</v>
      </c>
      <c r="J14" s="67">
        <v>81045615</v>
      </c>
      <c r="K14" s="69">
        <f t="shared" si="0"/>
        <v>0.47428293800662547</v>
      </c>
      <c r="L14" s="67">
        <f>+'[11]zał. nr 2'!I73+'[12] zał. 3 zobowiązania'!I32+L13</f>
        <v>72580674.200000003</v>
      </c>
      <c r="M14" s="67">
        <f>+'[11]zał. nr 2'!J73+'[12] zał. 3 zobowiązania'!J32+M13</f>
        <v>70321137.540000007</v>
      </c>
      <c r="N14" s="67">
        <f>+'[11]zał. nr 2'!K73+'[12] zał. 3 zobowiązania'!K32+N13</f>
        <v>40974100.399999999</v>
      </c>
      <c r="O14" s="67">
        <f>+'[11]zał. nr 2'!L73+'[12] zał. 3 zobowiązania'!L32+O13</f>
        <v>44364490.399999999</v>
      </c>
      <c r="P14" s="70">
        <f>+'[11]zał. nr 2'!M73+'[12] zał. 3 zobowiązania'!M32+P13</f>
        <v>13476816.49</v>
      </c>
      <c r="Q14" s="71"/>
      <c r="R14" s="67"/>
      <c r="S14" s="67"/>
      <c r="T14" s="67"/>
      <c r="U14" s="67"/>
      <c r="V14" s="70">
        <f t="shared" ref="V14:AL14" si="12">+U14</f>
        <v>0</v>
      </c>
      <c r="W14" s="64" t="s">
        <v>57</v>
      </c>
      <c r="X14" s="65" t="s">
        <v>78</v>
      </c>
      <c r="Y14" s="67">
        <f>+V14</f>
        <v>0</v>
      </c>
      <c r="Z14" s="67">
        <f t="shared" si="12"/>
        <v>0</v>
      </c>
      <c r="AA14" s="67">
        <f t="shared" si="12"/>
        <v>0</v>
      </c>
      <c r="AB14" s="67">
        <f t="shared" si="12"/>
        <v>0</v>
      </c>
      <c r="AC14" s="67">
        <f t="shared" si="12"/>
        <v>0</v>
      </c>
      <c r="AD14" s="67">
        <f t="shared" si="12"/>
        <v>0</v>
      </c>
      <c r="AE14" s="67">
        <f t="shared" si="12"/>
        <v>0</v>
      </c>
      <c r="AF14" s="67">
        <f t="shared" si="12"/>
        <v>0</v>
      </c>
      <c r="AG14" s="67">
        <f t="shared" si="12"/>
        <v>0</v>
      </c>
      <c r="AH14" s="67">
        <f t="shared" si="12"/>
        <v>0</v>
      </c>
      <c r="AI14" s="67">
        <f t="shared" si="12"/>
        <v>0</v>
      </c>
      <c r="AJ14" s="67">
        <f t="shared" si="12"/>
        <v>0</v>
      </c>
      <c r="AK14" s="67">
        <f t="shared" si="12"/>
        <v>0</v>
      </c>
      <c r="AL14" s="67">
        <f t="shared" si="12"/>
        <v>0</v>
      </c>
      <c r="AM14" s="67">
        <f>+AL14</f>
        <v>0</v>
      </c>
    </row>
    <row r="15" spans="1:41" ht="27" customHeight="1" x14ac:dyDescent="0.2">
      <c r="A15" s="39" t="s">
        <v>10</v>
      </c>
      <c r="B15" s="40" t="s">
        <v>144</v>
      </c>
      <c r="C15" s="41" t="e">
        <f t="shared" ref="C15:AL15" si="13">+C6-C10</f>
        <v>#REF!</v>
      </c>
      <c r="D15" s="41">
        <v>191765783</v>
      </c>
      <c r="E15" s="41">
        <v>610582755</v>
      </c>
      <c r="F15" s="41">
        <f t="shared" si="13"/>
        <v>297164983</v>
      </c>
      <c r="G15" s="41">
        <f t="shared" si="13"/>
        <v>365835157</v>
      </c>
      <c r="H15" s="72">
        <f t="shared" si="13"/>
        <v>316115040</v>
      </c>
      <c r="I15" s="41">
        <f>+I6-I10</f>
        <v>352302365</v>
      </c>
      <c r="J15" s="41">
        <f>+J6-J10</f>
        <v>74709495</v>
      </c>
      <c r="K15" s="44">
        <f t="shared" si="0"/>
        <v>0.21206072516714441</v>
      </c>
      <c r="L15" s="41">
        <f>+L6-L10</f>
        <v>264136833.62499994</v>
      </c>
      <c r="M15" s="41">
        <f t="shared" si="13"/>
        <v>179081446.270625</v>
      </c>
      <c r="N15" s="41">
        <f t="shared" si="13"/>
        <v>132959580.83299059</v>
      </c>
      <c r="O15" s="41">
        <f>+O6-O10</f>
        <v>166333675.76600546</v>
      </c>
      <c r="P15" s="45">
        <f>+P6-P10</f>
        <v>113641123.12305504</v>
      </c>
      <c r="Q15" s="42">
        <f>+Q6-Q10</f>
        <v>116482151.2011314</v>
      </c>
      <c r="R15" s="41">
        <f t="shared" si="13"/>
        <v>118899495.72995627</v>
      </c>
      <c r="S15" s="41">
        <f t="shared" si="13"/>
        <v>121365400.84997284</v>
      </c>
      <c r="T15" s="41">
        <f t="shared" si="13"/>
        <v>123880795.62343234</v>
      </c>
      <c r="U15" s="41">
        <f t="shared" si="13"/>
        <v>126446625.50028145</v>
      </c>
      <c r="V15" s="45">
        <f t="shared" si="13"/>
        <v>129063852.56372195</v>
      </c>
      <c r="W15" s="39" t="s">
        <v>10</v>
      </c>
      <c r="X15" s="40" t="s">
        <v>144</v>
      </c>
      <c r="Y15" s="41">
        <f t="shared" si="13"/>
        <v>131176462.67812669</v>
      </c>
      <c r="Z15" s="41">
        <f t="shared" si="13"/>
        <v>133316266.36279881</v>
      </c>
      <c r="AA15" s="41">
        <f t="shared" si="13"/>
        <v>135483354.15829527</v>
      </c>
      <c r="AB15" s="41">
        <f t="shared" si="13"/>
        <v>137677805.31481695</v>
      </c>
      <c r="AC15" s="41">
        <f t="shared" si="13"/>
        <v>139899687.19821066</v>
      </c>
      <c r="AD15" s="41">
        <f t="shared" si="13"/>
        <v>141524992.32184398</v>
      </c>
      <c r="AE15" s="41">
        <f t="shared" si="13"/>
        <v>143149741.95832902</v>
      </c>
      <c r="AF15" s="41">
        <f t="shared" si="13"/>
        <v>144773016.08195174</v>
      </c>
      <c r="AG15" s="41">
        <f t="shared" si="13"/>
        <v>146393851.73130769</v>
      </c>
      <c r="AH15" s="41">
        <f t="shared" si="13"/>
        <v>148011241.49733841</v>
      </c>
      <c r="AI15" s="41">
        <f t="shared" si="13"/>
        <v>148928335.10696959</v>
      </c>
      <c r="AJ15" s="41">
        <f t="shared" si="13"/>
        <v>149809909.12085783</v>
      </c>
      <c r="AK15" s="41">
        <f t="shared" si="13"/>
        <v>150653848.1634537</v>
      </c>
      <c r="AL15" s="41">
        <f t="shared" si="13"/>
        <v>151457958.19972062</v>
      </c>
      <c r="AM15" s="41">
        <f>+AM6-AM10</f>
        <v>151463853.24553394</v>
      </c>
    </row>
    <row r="16" spans="1:41" ht="31.5" customHeight="1" x14ac:dyDescent="0.2">
      <c r="A16" s="73" t="s">
        <v>11</v>
      </c>
      <c r="B16" s="74" t="s">
        <v>61</v>
      </c>
      <c r="C16" s="75" t="e">
        <f t="shared" ref="C16:O16" si="14">+C17</f>
        <v>#REF!</v>
      </c>
      <c r="D16" s="75">
        <v>52234572</v>
      </c>
      <c r="E16" s="75">
        <v>32228639</v>
      </c>
      <c r="F16" s="75">
        <f t="shared" si="14"/>
        <v>32437270</v>
      </c>
      <c r="G16" s="75">
        <f t="shared" si="14"/>
        <v>69500163</v>
      </c>
      <c r="H16" s="76">
        <f>+H17</f>
        <v>0</v>
      </c>
      <c r="I16" s="75">
        <f t="shared" si="14"/>
        <v>50982213</v>
      </c>
      <c r="J16" s="75">
        <f>+J17</f>
        <v>50982213</v>
      </c>
      <c r="K16" s="77">
        <f t="shared" si="0"/>
        <v>1</v>
      </c>
      <c r="L16" s="75">
        <f t="shared" si="14"/>
        <v>0</v>
      </c>
      <c r="M16" s="75">
        <f t="shared" si="14"/>
        <v>0</v>
      </c>
      <c r="N16" s="75">
        <f t="shared" si="14"/>
        <v>0</v>
      </c>
      <c r="O16" s="75">
        <f t="shared" si="14"/>
        <v>0</v>
      </c>
      <c r="P16" s="78">
        <f t="shared" ref="P16:V16" si="15">+O28</f>
        <v>47952717.515899986</v>
      </c>
      <c r="Q16" s="79">
        <f t="shared" si="15"/>
        <v>70922196.106328338</v>
      </c>
      <c r="R16" s="79">
        <f t="shared" si="15"/>
        <v>0.49231183528900146</v>
      </c>
      <c r="S16" s="79">
        <f t="shared" si="15"/>
        <v>0.12459895014762878</v>
      </c>
      <c r="T16" s="79">
        <f t="shared" si="15"/>
        <v>-5.6185871362686157E-3</v>
      </c>
      <c r="U16" s="79">
        <f t="shared" si="15"/>
        <v>-4.4897854328155518E-2</v>
      </c>
      <c r="V16" s="79">
        <f t="shared" si="15"/>
        <v>0.1101507693529129</v>
      </c>
      <c r="W16" s="73" t="s">
        <v>11</v>
      </c>
      <c r="X16" s="74" t="s">
        <v>61</v>
      </c>
      <c r="Y16" s="75">
        <f t="shared" ref="Y16:AM16" si="16">+Y17</f>
        <v>0</v>
      </c>
      <c r="Z16" s="75">
        <f t="shared" si="16"/>
        <v>0</v>
      </c>
      <c r="AA16" s="75">
        <f t="shared" si="16"/>
        <v>0</v>
      </c>
      <c r="AB16" s="75">
        <f t="shared" si="16"/>
        <v>0</v>
      </c>
      <c r="AC16" s="75">
        <f t="shared" si="16"/>
        <v>0</v>
      </c>
      <c r="AD16" s="75">
        <f t="shared" si="16"/>
        <v>0</v>
      </c>
      <c r="AE16" s="75">
        <f t="shared" si="16"/>
        <v>0</v>
      </c>
      <c r="AF16" s="75">
        <f t="shared" si="16"/>
        <v>0</v>
      </c>
      <c r="AG16" s="75">
        <f t="shared" si="16"/>
        <v>0</v>
      </c>
      <c r="AH16" s="75">
        <f t="shared" si="16"/>
        <v>0</v>
      </c>
      <c r="AI16" s="75">
        <f t="shared" si="16"/>
        <v>0</v>
      </c>
      <c r="AJ16" s="75">
        <f t="shared" si="16"/>
        <v>0</v>
      </c>
      <c r="AK16" s="75">
        <f t="shared" si="16"/>
        <v>0</v>
      </c>
      <c r="AL16" s="75">
        <f t="shared" si="16"/>
        <v>0</v>
      </c>
      <c r="AM16" s="75">
        <f t="shared" si="16"/>
        <v>0</v>
      </c>
    </row>
    <row r="17" spans="1:41" ht="39" customHeight="1" x14ac:dyDescent="0.2">
      <c r="A17" s="80" t="s">
        <v>54</v>
      </c>
      <c r="B17" s="81" t="s">
        <v>74</v>
      </c>
      <c r="C17" s="82" t="e">
        <f>+#REF!+#REF!</f>
        <v>#REF!</v>
      </c>
      <c r="D17" s="82">
        <v>52234572</v>
      </c>
      <c r="E17" s="82">
        <v>32228639</v>
      </c>
      <c r="F17" s="82">
        <f>32246819+190451</f>
        <v>32437270</v>
      </c>
      <c r="G17" s="82">
        <v>69500163</v>
      </c>
      <c r="H17" s="83">
        <v>0</v>
      </c>
      <c r="I17" s="82">
        <v>50982213</v>
      </c>
      <c r="J17" s="84">
        <v>50982213</v>
      </c>
      <c r="K17" s="85">
        <f t="shared" si="0"/>
        <v>1</v>
      </c>
      <c r="L17" s="86">
        <v>0</v>
      </c>
      <c r="M17" s="86">
        <v>0</v>
      </c>
      <c r="N17" s="86">
        <v>0</v>
      </c>
      <c r="O17" s="86">
        <v>0</v>
      </c>
      <c r="P17" s="87">
        <v>0</v>
      </c>
      <c r="Q17" s="86">
        <v>0</v>
      </c>
      <c r="R17" s="86">
        <v>0</v>
      </c>
      <c r="S17" s="86">
        <v>0</v>
      </c>
      <c r="T17" s="86">
        <v>0</v>
      </c>
      <c r="U17" s="88"/>
      <c r="V17" s="89"/>
      <c r="W17" s="80" t="s">
        <v>54</v>
      </c>
      <c r="X17" s="81" t="s">
        <v>74</v>
      </c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</row>
    <row r="18" spans="1:41" ht="15.75" customHeight="1" x14ac:dyDescent="0.2">
      <c r="A18" s="90" t="s">
        <v>12</v>
      </c>
      <c r="B18" s="91" t="s">
        <v>62</v>
      </c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3">
        <v>0</v>
      </c>
      <c r="I18" s="92">
        <v>0</v>
      </c>
      <c r="J18" s="94">
        <v>0</v>
      </c>
      <c r="K18" s="94"/>
      <c r="L18" s="95"/>
      <c r="M18" s="96"/>
      <c r="N18" s="96"/>
      <c r="O18" s="96"/>
      <c r="P18" s="97">
        <v>0</v>
      </c>
      <c r="Q18" s="95"/>
      <c r="R18" s="96"/>
      <c r="S18" s="96"/>
      <c r="T18" s="96"/>
      <c r="U18" s="96"/>
      <c r="V18" s="98"/>
      <c r="W18" s="90" t="s">
        <v>12</v>
      </c>
      <c r="X18" s="40" t="s">
        <v>62</v>
      </c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</row>
    <row r="19" spans="1:41" s="106" customFormat="1" ht="15.75" customHeight="1" x14ac:dyDescent="0.2">
      <c r="A19" s="99" t="s">
        <v>13</v>
      </c>
      <c r="B19" s="100" t="s">
        <v>63</v>
      </c>
      <c r="C19" s="101" t="e">
        <f t="shared" ref="C19:J19" si="17">C18+C15+C16</f>
        <v>#REF!</v>
      </c>
      <c r="D19" s="101">
        <v>244000355</v>
      </c>
      <c r="E19" s="101">
        <v>642811394</v>
      </c>
      <c r="F19" s="101">
        <f t="shared" si="17"/>
        <v>329602253</v>
      </c>
      <c r="G19" s="101">
        <f t="shared" si="17"/>
        <v>435335320</v>
      </c>
      <c r="H19" s="102">
        <f t="shared" si="17"/>
        <v>316115040</v>
      </c>
      <c r="I19" s="101">
        <f t="shared" si="17"/>
        <v>403284578</v>
      </c>
      <c r="J19" s="101">
        <f t="shared" si="17"/>
        <v>125691708</v>
      </c>
      <c r="K19" s="103">
        <f>+J19/I19</f>
        <v>0.31167000886406321</v>
      </c>
      <c r="L19" s="104">
        <f>L18+L15+L16</f>
        <v>264136833.62499994</v>
      </c>
      <c r="M19" s="101">
        <f t="shared" ref="M19:AM19" si="18">M18+M15+M16</f>
        <v>179081446.270625</v>
      </c>
      <c r="N19" s="101">
        <f t="shared" si="18"/>
        <v>132959580.83299059</v>
      </c>
      <c r="O19" s="101">
        <f t="shared" si="18"/>
        <v>166333675.76600546</v>
      </c>
      <c r="P19" s="105">
        <f t="shared" si="18"/>
        <v>161593840.63895503</v>
      </c>
      <c r="Q19" s="104">
        <f t="shared" si="18"/>
        <v>187404347.30745974</v>
      </c>
      <c r="R19" s="101">
        <f t="shared" si="18"/>
        <v>118899496.2222681</v>
      </c>
      <c r="S19" s="101">
        <f t="shared" si="18"/>
        <v>121365400.97457179</v>
      </c>
      <c r="T19" s="101">
        <f t="shared" si="18"/>
        <v>123880795.61781375</v>
      </c>
      <c r="U19" s="101">
        <f t="shared" si="18"/>
        <v>126446625.4553836</v>
      </c>
      <c r="V19" s="105">
        <f t="shared" si="18"/>
        <v>129063852.67387272</v>
      </c>
      <c r="W19" s="99" t="s">
        <v>13</v>
      </c>
      <c r="X19" s="100" t="s">
        <v>63</v>
      </c>
      <c r="Y19" s="101">
        <f t="shared" si="18"/>
        <v>131176462.67812669</v>
      </c>
      <c r="Z19" s="101">
        <f t="shared" si="18"/>
        <v>133316266.36279881</v>
      </c>
      <c r="AA19" s="101">
        <f t="shared" si="18"/>
        <v>135483354.15829527</v>
      </c>
      <c r="AB19" s="101">
        <f t="shared" si="18"/>
        <v>137677805.31481695</v>
      </c>
      <c r="AC19" s="101">
        <f t="shared" si="18"/>
        <v>139899687.19821066</v>
      </c>
      <c r="AD19" s="101">
        <f t="shared" si="18"/>
        <v>141524992.32184398</v>
      </c>
      <c r="AE19" s="101">
        <f t="shared" si="18"/>
        <v>143149741.95832902</v>
      </c>
      <c r="AF19" s="101">
        <f t="shared" si="18"/>
        <v>144773016.08195174</v>
      </c>
      <c r="AG19" s="101">
        <f t="shared" si="18"/>
        <v>146393851.73130769</v>
      </c>
      <c r="AH19" s="101">
        <f t="shared" si="18"/>
        <v>148011241.49733841</v>
      </c>
      <c r="AI19" s="101">
        <f t="shared" si="18"/>
        <v>148928335.10696959</v>
      </c>
      <c r="AJ19" s="101">
        <f t="shared" si="18"/>
        <v>149809909.12085783</v>
      </c>
      <c r="AK19" s="101">
        <f t="shared" si="18"/>
        <v>150653848.1634537</v>
      </c>
      <c r="AL19" s="101">
        <f t="shared" si="18"/>
        <v>151457958.19972062</v>
      </c>
      <c r="AM19" s="101">
        <f t="shared" si="18"/>
        <v>151463853.24553394</v>
      </c>
    </row>
    <row r="20" spans="1:41" s="106" customFormat="1" ht="16.5" customHeight="1" x14ac:dyDescent="0.2">
      <c r="A20" s="107" t="s">
        <v>64</v>
      </c>
      <c r="B20" s="108" t="s">
        <v>65</v>
      </c>
      <c r="C20" s="109" t="e">
        <f t="shared" ref="C20:J20" si="19">+C21+C22</f>
        <v>#REF!</v>
      </c>
      <c r="D20" s="109">
        <v>58597299</v>
      </c>
      <c r="E20" s="109">
        <v>11460985</v>
      </c>
      <c r="F20" s="109">
        <f t="shared" si="19"/>
        <v>8872000</v>
      </c>
      <c r="G20" s="109">
        <f t="shared" si="19"/>
        <v>25025357</v>
      </c>
      <c r="H20" s="110">
        <f t="shared" si="19"/>
        <v>29411248</v>
      </c>
      <c r="I20" s="109">
        <f t="shared" si="19"/>
        <v>30750532</v>
      </c>
      <c r="J20" s="109">
        <f t="shared" si="19"/>
        <v>11694941</v>
      </c>
      <c r="K20" s="44">
        <f>+J20/I20</f>
        <v>0.38031670476465251</v>
      </c>
      <c r="L20" s="111">
        <f t="shared" ref="L20:T20" si="20">+L21+L22</f>
        <v>25819965.892560527</v>
      </c>
      <c r="M20" s="109">
        <f t="shared" si="20"/>
        <v>34903308.600406751</v>
      </c>
      <c r="N20" s="109">
        <f t="shared" si="20"/>
        <v>39088361.967584237</v>
      </c>
      <c r="O20" s="109">
        <f t="shared" si="20"/>
        <v>38039633.250105463</v>
      </c>
      <c r="P20" s="112">
        <f t="shared" si="20"/>
        <v>36990904.532626688</v>
      </c>
      <c r="Q20" s="111">
        <f t="shared" si="20"/>
        <v>35942175.815147921</v>
      </c>
      <c r="R20" s="109">
        <f t="shared" si="20"/>
        <v>34973447.097669147</v>
      </c>
      <c r="S20" s="109">
        <f t="shared" si="20"/>
        <v>31253126.980190378</v>
      </c>
      <c r="T20" s="109">
        <f t="shared" si="20"/>
        <v>30345484.662711605</v>
      </c>
      <c r="U20" s="109">
        <f>+U21+U22</f>
        <v>29437842.345232833</v>
      </c>
      <c r="V20" s="112">
        <f>+V21+V22</f>
        <v>28530200.027754061</v>
      </c>
      <c r="W20" s="107" t="s">
        <v>64</v>
      </c>
      <c r="X20" s="108" t="s">
        <v>65</v>
      </c>
      <c r="Y20" s="109">
        <f t="shared" ref="Y20:AD20" si="21">+Y21+Y22</f>
        <v>27504147.39940029</v>
      </c>
      <c r="Z20" s="109">
        <f t="shared" si="21"/>
        <v>23372030.007140264</v>
      </c>
      <c r="AA20" s="109">
        <f t="shared" si="21"/>
        <v>22640350.185911492</v>
      </c>
      <c r="AB20" s="109">
        <f t="shared" si="21"/>
        <v>21908670.364682719</v>
      </c>
      <c r="AC20" s="109">
        <f t="shared" si="21"/>
        <v>21176990.543453947</v>
      </c>
      <c r="AD20" s="109">
        <f t="shared" si="21"/>
        <v>20445310.722225174</v>
      </c>
      <c r="AE20" s="109">
        <f t="shared" ref="AE20:AL20" si="22">+AE21+AE22</f>
        <v>19713630.900996402</v>
      </c>
      <c r="AF20" s="109">
        <f t="shared" si="22"/>
        <v>18981951.07976763</v>
      </c>
      <c r="AG20" s="109">
        <f t="shared" si="22"/>
        <v>18250271.258538857</v>
      </c>
      <c r="AH20" s="109">
        <f t="shared" si="22"/>
        <v>17518591.437310088</v>
      </c>
      <c r="AI20" s="109">
        <f t="shared" si="22"/>
        <v>16786911.616081316</v>
      </c>
      <c r="AJ20" s="109">
        <f t="shared" si="22"/>
        <v>16055231.794852544</v>
      </c>
      <c r="AK20" s="109">
        <f t="shared" si="22"/>
        <v>12183690.816825528</v>
      </c>
      <c r="AL20" s="109">
        <f t="shared" si="22"/>
        <v>9366286.214894997</v>
      </c>
      <c r="AM20" s="109">
        <f>+AM21+AM22</f>
        <v>5841092.1683249995</v>
      </c>
    </row>
    <row r="21" spans="1:41" ht="27.75" customHeight="1" x14ac:dyDescent="0.2">
      <c r="A21" s="73" t="s">
        <v>54</v>
      </c>
      <c r="B21" s="113" t="s">
        <v>66</v>
      </c>
      <c r="C21" s="75" t="e">
        <f>+#REF!</f>
        <v>#REF!</v>
      </c>
      <c r="D21" s="75">
        <v>57576604</v>
      </c>
      <c r="E21" s="75">
        <v>10005975</v>
      </c>
      <c r="F21" s="75">
        <f>+'[13]razem kredyty'!I58</f>
        <v>5892000</v>
      </c>
      <c r="G21" s="79">
        <v>12324581</v>
      </c>
      <c r="H21" s="114">
        <v>14311248</v>
      </c>
      <c r="I21" s="79">
        <v>14311248</v>
      </c>
      <c r="J21" s="79">
        <v>6437957</v>
      </c>
      <c r="K21" s="77">
        <f>+J21/I21</f>
        <v>0.44985294084764654</v>
      </c>
      <c r="L21" s="79">
        <f>+'[14]razem kredyty'!K61+41667</f>
        <v>11316935.477192983</v>
      </c>
      <c r="M21" s="79">
        <f>+'[14]razem kredyty'!L61</f>
        <v>16259999.757192982</v>
      </c>
      <c r="N21" s="79">
        <f>+'[14]razem kredyty'!M61</f>
        <v>20350960.857192982</v>
      </c>
      <c r="O21" s="79">
        <f>+'[14]razem kredyty'!N61</f>
        <v>20350960.857192982</v>
      </c>
      <c r="P21" s="78">
        <f>+'[14]razem kredyty'!O61</f>
        <v>20350960.857192982</v>
      </c>
      <c r="Q21" s="79">
        <f>+'[14]razem kredyty'!P61</f>
        <v>20350960.857192982</v>
      </c>
      <c r="R21" s="75">
        <f>+'[14]razem kredyty'!Q61</f>
        <v>20430960.857192982</v>
      </c>
      <c r="S21" s="75">
        <f>+'[14]razem kredyty'!R61</f>
        <v>17698960.857192982</v>
      </c>
      <c r="T21" s="75">
        <f>+'[14]razem kredyty'!S61</f>
        <v>17698960.857192982</v>
      </c>
      <c r="U21" s="75">
        <f>+'[14]razem kredyty'!T61</f>
        <v>17698960.857192982</v>
      </c>
      <c r="V21" s="115">
        <f>+'[14]razem kredyty'!U61</f>
        <v>17698960.857192982</v>
      </c>
      <c r="W21" s="73" t="s">
        <v>54</v>
      </c>
      <c r="X21" s="113" t="s">
        <v>66</v>
      </c>
      <c r="Y21" s="75">
        <f>+'[14]razem kredyty'!V61</f>
        <v>17576612.457192983</v>
      </c>
      <c r="Z21" s="75">
        <f>+'[14]razem kredyty'!W61</f>
        <v>14282213.357192982</v>
      </c>
      <c r="AA21" s="75">
        <f>+'[14]razem kredyty'!X61</f>
        <v>14282213.357192982</v>
      </c>
      <c r="AB21" s="75">
        <f>+'[14]razem kredyty'!Y61</f>
        <v>14282213.357192982</v>
      </c>
      <c r="AC21" s="75">
        <f>+'[14]razem kredyty'!Z61</f>
        <v>14282213.357192982</v>
      </c>
      <c r="AD21" s="75">
        <f>+'[14]razem kredyty'!AA61</f>
        <v>14282213.357192982</v>
      </c>
      <c r="AE21" s="75">
        <f>+'[14]razem kredyty'!AB61</f>
        <v>14282213.357192982</v>
      </c>
      <c r="AF21" s="75">
        <f>+'[14]razem kredyty'!AC61</f>
        <v>14282213.357192982</v>
      </c>
      <c r="AG21" s="75">
        <f>+'[14]razem kredyty'!AD61</f>
        <v>14282213.357192982</v>
      </c>
      <c r="AH21" s="75">
        <f>+'[14]razem kredyty'!AE61</f>
        <v>14282213.357192982</v>
      </c>
      <c r="AI21" s="75">
        <f>+'[14]razem kredyty'!AF61</f>
        <v>14282213.357192982</v>
      </c>
      <c r="AJ21" s="75">
        <f>+'[14]razem kredyty'!AG61</f>
        <v>14282213.357192982</v>
      </c>
      <c r="AK21" s="75">
        <f>+'[14]razem kredyty'!AH61</f>
        <v>11097125.637894737</v>
      </c>
      <c r="AL21" s="75">
        <f>+'[14]razem kredyty'!AI61</f>
        <v>8791862.4800000004</v>
      </c>
      <c r="AM21" s="75">
        <f>+'[14]razem kredyty'!AJ61</f>
        <v>5658944.8799999999</v>
      </c>
      <c r="AO21" s="3"/>
    </row>
    <row r="22" spans="1:41" ht="26.25" customHeight="1" x14ac:dyDescent="0.2">
      <c r="A22" s="80" t="s">
        <v>55</v>
      </c>
      <c r="B22" s="81" t="s">
        <v>134</v>
      </c>
      <c r="C22" s="82">
        <v>1083036</v>
      </c>
      <c r="D22" s="82">
        <v>1020695</v>
      </c>
      <c r="E22" s="82">
        <v>1455010</v>
      </c>
      <c r="F22" s="82">
        <v>2980000</v>
      </c>
      <c r="G22" s="82">
        <v>12700776</v>
      </c>
      <c r="H22" s="116">
        <v>15100000</v>
      </c>
      <c r="I22" s="82">
        <f>15100000+1339284</f>
        <v>16439284</v>
      </c>
      <c r="J22" s="82">
        <v>5256984</v>
      </c>
      <c r="K22" s="117">
        <f>+J22/I22</f>
        <v>0.31978181044867893</v>
      </c>
      <c r="L22" s="82">
        <f>+'[14]razem kredyty'!K62+'[14]razem kredyty'!K63</f>
        <v>14503030.415367544</v>
      </c>
      <c r="M22" s="82">
        <f>+'[14]razem kredyty'!L62+'[14]razem kredyty'!L63</f>
        <v>18643308.843213771</v>
      </c>
      <c r="N22" s="82">
        <f>+'[14]razem kredyty'!M62+'[14]razem kredyty'!M63</f>
        <v>18737401.110391252</v>
      </c>
      <c r="O22" s="82">
        <f>+'[14]razem kredyty'!N62+'[14]razem kredyty'!N63</f>
        <v>17688672.392912481</v>
      </c>
      <c r="P22" s="118">
        <f>+'[14]razem kredyty'!O62+'[14]razem kredyty'!O63</f>
        <v>16639943.67543371</v>
      </c>
      <c r="Q22" s="84">
        <f>+'[14]razem kredyty'!P62+'[14]razem kredyty'!P63</f>
        <v>15591214.957954938</v>
      </c>
      <c r="R22" s="82">
        <f>+'[14]razem kredyty'!Q62+'[14]razem kredyty'!Q63</f>
        <v>14542486.240476167</v>
      </c>
      <c r="S22" s="82">
        <f>+'[14]razem kredyty'!R62+'[14]razem kredyty'!R63</f>
        <v>13554166.122997396</v>
      </c>
      <c r="T22" s="82">
        <f>+'[14]razem kredyty'!S62+'[14]razem kredyty'!S63</f>
        <v>12646523.805518625</v>
      </c>
      <c r="U22" s="82">
        <f>+'[14]razem kredyty'!T62+'[14]razem kredyty'!T63</f>
        <v>11738881.488039851</v>
      </c>
      <c r="V22" s="119">
        <f>+'[14]razem kredyty'!U62+'[14]razem kredyty'!U63</f>
        <v>10831239.170561081</v>
      </c>
      <c r="W22" s="80" t="s">
        <v>55</v>
      </c>
      <c r="X22" s="88" t="s">
        <v>67</v>
      </c>
      <c r="Y22" s="82">
        <f>+'[14]razem kredyty'!V62+'[14]razem kredyty'!V63</f>
        <v>9927534.9422073066</v>
      </c>
      <c r="Z22" s="82">
        <f>+'[14]razem kredyty'!W62+'[14]razem kredyty'!W63</f>
        <v>9089816.6499472838</v>
      </c>
      <c r="AA22" s="82">
        <f>+'[14]razem kredyty'!X62+'[14]razem kredyty'!X63</f>
        <v>8358136.8287185114</v>
      </c>
      <c r="AB22" s="82">
        <f>+'[14]razem kredyty'!Y62+'[14]razem kredyty'!Y63</f>
        <v>7626457.007489739</v>
      </c>
      <c r="AC22" s="82">
        <f>+'[14]razem kredyty'!Z62+'[14]razem kredyty'!Z63</f>
        <v>6894777.1862609666</v>
      </c>
      <c r="AD22" s="82">
        <f>+'[14]razem kredyty'!AA62+'[14]razem kredyty'!AA63</f>
        <v>6163097.3650321942</v>
      </c>
      <c r="AE22" s="82">
        <f>+'[14]razem kredyty'!AB62+'[14]razem kredyty'!AB63</f>
        <v>5431417.5438034218</v>
      </c>
      <c r="AF22" s="82">
        <f>+'[14]razem kredyty'!AC62+'[14]razem kredyty'!AC63</f>
        <v>4699737.7225746494</v>
      </c>
      <c r="AG22" s="82">
        <f>+'[14]razem kredyty'!AD62+'[14]razem kredyty'!AD63</f>
        <v>3968057.901345877</v>
      </c>
      <c r="AH22" s="82">
        <f>+'[14]razem kredyty'!AE62+'[14]razem kredyty'!AE63</f>
        <v>3236378.080117106</v>
      </c>
      <c r="AI22" s="82">
        <f>+'[14]razem kredyty'!AF62+'[14]razem kredyty'!AF63</f>
        <v>2504698.2588883336</v>
      </c>
      <c r="AJ22" s="82">
        <f>+'[14]razem kredyty'!AG62+'[14]razem kredyty'!AG63</f>
        <v>1773018.4376595616</v>
      </c>
      <c r="AK22" s="82">
        <f>+'[14]razem kredyty'!AH62+'[14]razem kredyty'!AH63</f>
        <v>1086565.1789307909</v>
      </c>
      <c r="AL22" s="82">
        <f>+'[14]razem kredyty'!AI62+'[14]razem kredyty'!AI63</f>
        <v>574423.73489499674</v>
      </c>
      <c r="AM22" s="82">
        <f>+'[14]razem kredyty'!AJ62+'[14]razem kredyty'!AJ63</f>
        <v>182147.28832499962</v>
      </c>
    </row>
    <row r="23" spans="1:41" ht="17.25" customHeight="1" x14ac:dyDescent="0.2">
      <c r="A23" s="90" t="s">
        <v>14</v>
      </c>
      <c r="B23" s="96" t="s">
        <v>68</v>
      </c>
      <c r="C23" s="96"/>
      <c r="D23" s="120">
        <v>0</v>
      </c>
      <c r="E23" s="120">
        <v>0</v>
      </c>
      <c r="F23" s="120">
        <v>0</v>
      </c>
      <c r="G23" s="120">
        <v>0</v>
      </c>
      <c r="H23" s="121">
        <v>0</v>
      </c>
      <c r="I23" s="120">
        <v>0</v>
      </c>
      <c r="J23" s="122">
        <v>0</v>
      </c>
      <c r="K23" s="122"/>
      <c r="L23" s="122">
        <v>0</v>
      </c>
      <c r="M23" s="120">
        <v>0</v>
      </c>
      <c r="N23" s="120">
        <v>0</v>
      </c>
      <c r="O23" s="120">
        <v>0</v>
      </c>
      <c r="P23" s="123">
        <v>0</v>
      </c>
      <c r="Q23" s="122">
        <v>0</v>
      </c>
      <c r="R23" s="120">
        <v>0</v>
      </c>
      <c r="S23" s="120">
        <v>0</v>
      </c>
      <c r="T23" s="120">
        <v>0</v>
      </c>
      <c r="U23" s="120">
        <v>0</v>
      </c>
      <c r="V23" s="123">
        <v>0</v>
      </c>
      <c r="W23" s="90" t="s">
        <v>14</v>
      </c>
      <c r="X23" s="96" t="s">
        <v>68</v>
      </c>
      <c r="Y23" s="120">
        <v>0</v>
      </c>
      <c r="Z23" s="120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20">
        <v>0</v>
      </c>
      <c r="AK23" s="120">
        <v>0</v>
      </c>
      <c r="AL23" s="120">
        <v>0</v>
      </c>
      <c r="AM23" s="120">
        <v>0</v>
      </c>
    </row>
    <row r="24" spans="1:41" ht="26.25" customHeight="1" x14ac:dyDescent="0.2">
      <c r="A24" s="124" t="s">
        <v>18</v>
      </c>
      <c r="B24" s="40" t="s">
        <v>77</v>
      </c>
      <c r="C24" s="125" t="e">
        <f t="shared" ref="C24:J24" si="23">+C19-C20-C23</f>
        <v>#REF!</v>
      </c>
      <c r="D24" s="125">
        <v>185403056</v>
      </c>
      <c r="E24" s="125">
        <v>631350409</v>
      </c>
      <c r="F24" s="125">
        <f t="shared" si="23"/>
        <v>320730253</v>
      </c>
      <c r="G24" s="125">
        <f t="shared" si="23"/>
        <v>410309963</v>
      </c>
      <c r="H24" s="126">
        <f t="shared" si="23"/>
        <v>286703792</v>
      </c>
      <c r="I24" s="125">
        <f t="shared" si="23"/>
        <v>372534046</v>
      </c>
      <c r="J24" s="125">
        <f t="shared" si="23"/>
        <v>113996767</v>
      </c>
      <c r="K24" s="44">
        <f>+J24/I24</f>
        <v>0.30600362094153405</v>
      </c>
      <c r="L24" s="125">
        <f>+L19-L20-L23</f>
        <v>238316867.7324394</v>
      </c>
      <c r="M24" s="125">
        <f>+M19-M20-M23</f>
        <v>144178137.67021823</v>
      </c>
      <c r="N24" s="125">
        <f>+N19-N20-N23</f>
        <v>93871218.865406349</v>
      </c>
      <c r="O24" s="125">
        <f>+O19-O20-O23</f>
        <v>128294042.51589999</v>
      </c>
      <c r="P24" s="127">
        <f>+P19-P20-P23</f>
        <v>124602936.10632834</v>
      </c>
      <c r="Q24" s="128">
        <f t="shared" ref="Q24:AM24" si="24">+Q19-Q20-Q23</f>
        <v>151462171.49231184</v>
      </c>
      <c r="R24" s="125">
        <f t="shared" si="24"/>
        <v>83926049.12459895</v>
      </c>
      <c r="S24" s="125">
        <f t="shared" si="24"/>
        <v>90112273.994381413</v>
      </c>
      <c r="T24" s="125">
        <f t="shared" si="24"/>
        <v>93535310.955102146</v>
      </c>
      <c r="U24" s="125">
        <f t="shared" si="24"/>
        <v>97008783.110150769</v>
      </c>
      <c r="V24" s="127">
        <f t="shared" si="24"/>
        <v>100533652.64611867</v>
      </c>
      <c r="W24" s="124" t="s">
        <v>18</v>
      </c>
      <c r="X24" s="40" t="s">
        <v>77</v>
      </c>
      <c r="Y24" s="125">
        <f t="shared" si="24"/>
        <v>103672315.2787264</v>
      </c>
      <c r="Z24" s="125">
        <f t="shared" si="24"/>
        <v>109944236.35565855</v>
      </c>
      <c r="AA24" s="125">
        <f t="shared" si="24"/>
        <v>112843003.97238378</v>
      </c>
      <c r="AB24" s="125">
        <f t="shared" si="24"/>
        <v>115769134.95013423</v>
      </c>
      <c r="AC24" s="125">
        <f t="shared" si="24"/>
        <v>118722696.65475671</v>
      </c>
      <c r="AD24" s="125">
        <f t="shared" si="24"/>
        <v>121079681.59961881</v>
      </c>
      <c r="AE24" s="125">
        <f t="shared" si="24"/>
        <v>123436111.05733262</v>
      </c>
      <c r="AF24" s="125">
        <f t="shared" si="24"/>
        <v>125791065.00218411</v>
      </c>
      <c r="AG24" s="125">
        <f t="shared" si="24"/>
        <v>128143580.47276883</v>
      </c>
      <c r="AH24" s="125">
        <f t="shared" si="24"/>
        <v>130492650.06002833</v>
      </c>
      <c r="AI24" s="125">
        <f t="shared" si="24"/>
        <v>132141423.49088828</v>
      </c>
      <c r="AJ24" s="125">
        <f t="shared" si="24"/>
        <v>133754677.32600529</v>
      </c>
      <c r="AK24" s="125">
        <f t="shared" si="24"/>
        <v>138470157.34662816</v>
      </c>
      <c r="AL24" s="125">
        <f t="shared" si="24"/>
        <v>142091671.98482561</v>
      </c>
      <c r="AM24" s="125">
        <f t="shared" si="24"/>
        <v>145622761.07720894</v>
      </c>
    </row>
    <row r="25" spans="1:41" ht="15.75" customHeight="1" x14ac:dyDescent="0.2">
      <c r="A25" s="129" t="s">
        <v>19</v>
      </c>
      <c r="B25" s="130" t="s">
        <v>69</v>
      </c>
      <c r="C25" s="131" t="e">
        <f>+#REF!+#REF!+#REF!</f>
        <v>#REF!</v>
      </c>
      <c r="D25" s="131">
        <v>185726708</v>
      </c>
      <c r="E25" s="131">
        <v>625439840</v>
      </c>
      <c r="F25" s="131">
        <f>+'[5]WPF wydatki 2011-2016'!I13</f>
        <v>426642909</v>
      </c>
      <c r="G25" s="131">
        <v>389127750</v>
      </c>
      <c r="H25" s="132">
        <v>364101256</v>
      </c>
      <c r="I25" s="131">
        <v>417999564</v>
      </c>
      <c r="J25" s="131">
        <v>53391018</v>
      </c>
      <c r="K25" s="133">
        <f>+J25/I25</f>
        <v>0.12772984136414076</v>
      </c>
      <c r="L25" s="131">
        <f>+'[6]WPF wydatki 2011-2016'!K13</f>
        <v>361099924</v>
      </c>
      <c r="M25" s="131">
        <f>+'[6]WPF wydatki 2011-2016'!L13</f>
        <v>196239617</v>
      </c>
      <c r="N25" s="131">
        <f>+'[6]WPF wydatki 2011-2016'!M13</f>
        <v>93871219</v>
      </c>
      <c r="O25" s="131">
        <f>+'[6]WPF wydatki 2011-2016'!N13</f>
        <v>80341325</v>
      </c>
      <c r="P25" s="134">
        <f>+'[6]WPF wydatki 2011-2016'!O13</f>
        <v>53680740</v>
      </c>
      <c r="Q25" s="135">
        <f>160899230-2329+101654+4436-6663255-18756+117+4283609+24433+4433+2660453-3515-96+11492+3610-821120+28335-312566+46461+172578-72987+966785-1997798-984-689271+50449231+42140673-144658759-584558+49180285-912+67085-12+1623580-1111082-1312211-12239+1211615+568206-2078004-109364-2433610-102702</f>
        <v>151462171</v>
      </c>
      <c r="R25" s="135">
        <f>84113575-722+47059+1379-2077800-2440+1285236+7585-1574+798169-1963-246607+15289-353356+1+353355-16539288-194302+16733590+1623580-28705-728413-3871-22498+132947-204651-32315-717047-30164</f>
        <v>83926049</v>
      </c>
      <c r="S25" s="135">
        <f>90384799+1326-2006157+1213367+7305-3100+753844+3917-223621-1-362189-1+362190-16952769-199161+17151930+1+1561061-753912-3767-21867-69740-30244-672807-28130</f>
        <v>90112274</v>
      </c>
      <c r="T25" s="135">
        <f>93857643+1276-783553-4625+709520-3944+7887-210074-371244-17005345-204139+17580728+1520424-779941-24898-67776-28174-632359-26095</f>
        <v>93535311</v>
      </c>
      <c r="U25" s="135">
        <f>97381466+1225-781619-6152+665196+3972-196527-380526-17430478-209243+18020247+1479785-806514-24162-65812-26104-591911-24060</f>
        <v>97008783</v>
      </c>
      <c r="V25" s="134">
        <f>100957243+1175-779687-7677+620871+4001-182980-390039-17866240-214474+18470753+1439147-833645-23426-63848-24033-551463-22025</f>
        <v>100533653</v>
      </c>
      <c r="W25" s="129" t="s">
        <v>19</v>
      </c>
      <c r="X25" s="130" t="s">
        <v>69</v>
      </c>
      <c r="Y25" s="135">
        <f>104028976+1123-777753-9203+576547+3114+914-169433+1398510-861348-84574+39004-0.4-511093+37532</f>
        <v>103672315.59999999</v>
      </c>
      <c r="Z25" s="135">
        <f>111847130+145-475297+628989-1157046+3998+59+347805+89384-955965-72078+41705-394634+40041</f>
        <v>109944236</v>
      </c>
      <c r="AA25" s="135">
        <f>115295656+374367-195476-1206749+4736-56+363436-455974-981508-69872+40472+0.4-364858+38830</f>
        <v>112843004.40000001</v>
      </c>
      <c r="AB25" s="135">
        <f>118200249+320919-189725-1166514+4733-53+351397-418313-1007667-67667+39240-335081+37617</f>
        <v>115769135</v>
      </c>
      <c r="AC25" s="135">
        <f>121132903+267473-183975-1126279+4730-50+339357-380653-1034456-27454+0.4-305305+36405</f>
        <v>118722696.40000001</v>
      </c>
      <c r="AD25" s="135">
        <f>123469628+214025-178225-1086044+4728-48+327318-342992-1061892-26481-275529+35194</f>
        <v>121079682</v>
      </c>
      <c r="AE25" s="135">
        <f>125806459+160578-172474-1045809+4725-45+315279-305332-1089991-25508-245753+33982</f>
        <v>123436111</v>
      </c>
      <c r="AF25" s="135">
        <f>128142495+107130-166723-1005574+4722-42+303239-267672-1118769-24535+0.4-215977+0.4+32770</f>
        <v>125791064.80000001</v>
      </c>
      <c r="AG25" s="135">
        <f>130476788+53683-160972-965339+4718-38+291199-230011-1148244-23562+0.4-186200+31558</f>
        <v>128143580.40000001</v>
      </c>
      <c r="AH25" s="135">
        <f>132808349+236-155222-925104+4716-36+279160-192351-1178432-22588-156424+30346</f>
        <v>130492650</v>
      </c>
      <c r="AI25" s="135">
        <f>140453745-6066610-149472-884869+4713-33+267120-154690-1209352-21615-126648+29134</f>
        <v>132141423</v>
      </c>
      <c r="AJ25" s="135">
        <f>141762485-5831571-143721-701903-1241021-20643-96872+27923</f>
        <v>133754677</v>
      </c>
      <c r="AK25" s="135">
        <f>144385226-5596530-137970+1154757-1275863-17266-68908+26711</f>
        <v>138470157</v>
      </c>
      <c r="AL25" s="135">
        <f>149515056-5361490-132220-581984-1316004-9378-47807-0.4+25499</f>
        <v>142091671.59999999</v>
      </c>
      <c r="AM25" s="131">
        <f>151242915+12218024-38418997+4500+438902-27725785+3811-3352+28930962-6144328+1035415+26070099-126470-537418-1378697+20254-31361+24287</f>
        <v>145622761</v>
      </c>
    </row>
    <row r="26" spans="1:41" ht="14.25" customHeight="1" x14ac:dyDescent="0.2">
      <c r="A26" s="80" t="s">
        <v>70</v>
      </c>
      <c r="B26" s="65" t="s">
        <v>76</v>
      </c>
      <c r="C26" s="67" t="e">
        <f>+#REF!+#REF!</f>
        <v>#REF!</v>
      </c>
      <c r="D26" s="136" t="s">
        <v>50</v>
      </c>
      <c r="E26" s="136" t="s">
        <v>50</v>
      </c>
      <c r="F26" s="67">
        <f>+'[8]zał. nr 2'!G40</f>
        <v>254589515.0025</v>
      </c>
      <c r="G26" s="67">
        <v>327240183</v>
      </c>
      <c r="H26" s="68">
        <v>282238292</v>
      </c>
      <c r="I26" s="67">
        <v>300505278</v>
      </c>
      <c r="J26" s="67">
        <v>36209991</v>
      </c>
      <c r="K26" s="69">
        <f>+J26/I26</f>
        <v>0.12049702168625472</v>
      </c>
      <c r="L26" s="67">
        <f>+'[11]zał. nr 2'!I41</f>
        <v>269025811</v>
      </c>
      <c r="M26" s="67">
        <f>+'[11]zał. nr 2'!J41</f>
        <v>117266518</v>
      </c>
      <c r="N26" s="67">
        <f>+'[11]zał. nr 2'!K41</f>
        <v>19855645</v>
      </c>
      <c r="O26" s="67">
        <f>+'[11]zał. nr 2'!L41</f>
        <v>10100000</v>
      </c>
      <c r="P26" s="67">
        <f>+'[11]zał. nr 2'!M41</f>
        <v>11462650</v>
      </c>
      <c r="Q26" s="71">
        <v>0</v>
      </c>
      <c r="R26" s="137">
        <v>0</v>
      </c>
      <c r="S26" s="137">
        <v>0</v>
      </c>
      <c r="T26" s="137">
        <v>0</v>
      </c>
      <c r="U26" s="137">
        <v>0</v>
      </c>
      <c r="V26" s="138">
        <v>0</v>
      </c>
      <c r="W26" s="80" t="s">
        <v>70</v>
      </c>
      <c r="X26" s="65" t="s">
        <v>76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0</v>
      </c>
      <c r="AK26" s="139">
        <v>0</v>
      </c>
      <c r="AL26" s="139">
        <v>0</v>
      </c>
      <c r="AM26" s="139">
        <v>0</v>
      </c>
    </row>
    <row r="27" spans="1:41" ht="15" customHeight="1" x14ac:dyDescent="0.2">
      <c r="A27" s="140" t="s">
        <v>20</v>
      </c>
      <c r="B27" s="141" t="s">
        <v>71</v>
      </c>
      <c r="C27" s="142" t="e">
        <f>+#REF!+#REF!</f>
        <v>#REF!</v>
      </c>
      <c r="D27" s="142">
        <v>32552291</v>
      </c>
      <c r="E27" s="142">
        <v>26526701</v>
      </c>
      <c r="F27" s="142">
        <f>119260345-7971618-5376071</f>
        <v>105912656</v>
      </c>
      <c r="G27" s="142">
        <v>29800000</v>
      </c>
      <c r="H27" s="143">
        <v>77397464</v>
      </c>
      <c r="I27" s="144">
        <v>45465518</v>
      </c>
      <c r="J27" s="145">
        <v>0</v>
      </c>
      <c r="K27" s="146">
        <f>+J27/I27</f>
        <v>0</v>
      </c>
      <c r="L27" s="145">
        <f>128627728-337846+3379-34+337846+333062+7794+182+5+46800+1095+1069829+27000-336183-8320-212-7211585-178486-236549-5854-149+26-86614- 2144-54+41667+1057+20743+513+13-122131-3023-77+188003+4653+118-15411-382-10+1+391+9+1+21093+522+13+216+8+573105+14758+390+5882+156+62</f>
        <v>122783056</v>
      </c>
      <c r="M27" s="144">
        <f>57590269+51451+1718+59+947468+31646+1058+35+120494+4024+139-1237050-21993-732-26+270063+345830+40920+1362+46+176319+5889+197+7+1640689+79000-370000-12457021-1213376+4994665+173565+5700-1-92370-3391-122+3792+136+22155+770+27-130247-4801-167-6+200919+6982+243+8-56670-1969-68-3+1438+50+2+90794+3155+109+4+1267+45+14+772287+27609+987+37+34404+1230+45+370</f>
        <v>52061479</v>
      </c>
      <c r="N27" s="147">
        <v>0</v>
      </c>
      <c r="O27" s="147">
        <v>0</v>
      </c>
      <c r="P27" s="46">
        <v>0</v>
      </c>
      <c r="Q27" s="148"/>
      <c r="R27" s="147"/>
      <c r="S27" s="147"/>
      <c r="T27" s="147"/>
      <c r="U27" s="147"/>
      <c r="V27" s="46"/>
      <c r="W27" s="140" t="s">
        <v>20</v>
      </c>
      <c r="X27" s="141" t="s">
        <v>71</v>
      </c>
      <c r="Y27" s="147"/>
      <c r="Z27" s="147"/>
      <c r="AA27" s="147"/>
      <c r="AB27" s="147"/>
      <c r="AC27" s="147"/>
      <c r="AD27" s="147"/>
      <c r="AE27" s="147"/>
      <c r="AF27" s="147">
        <v>0</v>
      </c>
      <c r="AG27" s="147">
        <v>0</v>
      </c>
      <c r="AH27" s="147">
        <v>0</v>
      </c>
      <c r="AI27" s="147">
        <v>0</v>
      </c>
      <c r="AJ27" s="147">
        <v>0</v>
      </c>
      <c r="AK27" s="147">
        <v>0</v>
      </c>
      <c r="AL27" s="147">
        <v>0</v>
      </c>
      <c r="AM27" s="147">
        <v>0</v>
      </c>
    </row>
    <row r="28" spans="1:41" s="106" customFormat="1" ht="16.5" customHeight="1" x14ac:dyDescent="0.2">
      <c r="A28" s="149" t="s">
        <v>72</v>
      </c>
      <c r="B28" s="150" t="s">
        <v>73</v>
      </c>
      <c r="C28" s="151" t="e">
        <f t="shared" ref="C28:J28" si="25">+C24-C25+C27</f>
        <v>#REF!</v>
      </c>
      <c r="D28" s="152">
        <v>32228639</v>
      </c>
      <c r="E28" s="152">
        <v>32437270</v>
      </c>
      <c r="F28" s="151">
        <f t="shared" si="25"/>
        <v>0</v>
      </c>
      <c r="G28" s="151">
        <f t="shared" si="25"/>
        <v>50982213</v>
      </c>
      <c r="H28" s="153">
        <f t="shared" si="25"/>
        <v>0</v>
      </c>
      <c r="I28" s="151">
        <f t="shared" si="25"/>
        <v>0</v>
      </c>
      <c r="J28" s="151">
        <f t="shared" si="25"/>
        <v>60605749</v>
      </c>
      <c r="K28" s="154"/>
      <c r="L28" s="154">
        <f t="shared" ref="L28:AM28" si="26">+L24-L25+L27</f>
        <v>-0.26756060123443604</v>
      </c>
      <c r="M28" s="151">
        <f t="shared" si="26"/>
        <v>-0.32978177070617676</v>
      </c>
      <c r="N28" s="152">
        <f t="shared" si="26"/>
        <v>-0.1345936506986618</v>
      </c>
      <c r="O28" s="152">
        <f t="shared" si="26"/>
        <v>47952717.515899986</v>
      </c>
      <c r="P28" s="155">
        <f t="shared" si="26"/>
        <v>70922196.106328338</v>
      </c>
      <c r="Q28" s="156">
        <f t="shared" si="26"/>
        <v>0.49231183528900146</v>
      </c>
      <c r="R28" s="152">
        <f t="shared" si="26"/>
        <v>0.12459895014762878</v>
      </c>
      <c r="S28" s="152">
        <f t="shared" si="26"/>
        <v>-5.6185871362686157E-3</v>
      </c>
      <c r="T28" s="152">
        <f t="shared" si="26"/>
        <v>-4.4897854328155518E-2</v>
      </c>
      <c r="U28" s="152">
        <f t="shared" si="26"/>
        <v>0.1101507693529129</v>
      </c>
      <c r="V28" s="155">
        <f t="shared" si="26"/>
        <v>-0.35388132929801941</v>
      </c>
      <c r="W28" s="149" t="s">
        <v>72</v>
      </c>
      <c r="X28" s="150" t="s">
        <v>73</v>
      </c>
      <c r="Y28" s="152">
        <f t="shared" si="26"/>
        <v>-0.32127359509468079</v>
      </c>
      <c r="Z28" s="152">
        <f t="shared" si="26"/>
        <v>0.35565854609012604</v>
      </c>
      <c r="AA28" s="152">
        <f t="shared" si="26"/>
        <v>-0.42761622369289398</v>
      </c>
      <c r="AB28" s="152">
        <f t="shared" si="26"/>
        <v>-4.9865767359733582E-2</v>
      </c>
      <c r="AC28" s="152">
        <f t="shared" si="26"/>
        <v>0.25475670397281647</v>
      </c>
      <c r="AD28" s="152">
        <f t="shared" si="26"/>
        <v>-0.40038119256496429</v>
      </c>
      <c r="AE28" s="152">
        <f t="shared" si="26"/>
        <v>5.7332620024681091E-2</v>
      </c>
      <c r="AF28" s="152">
        <f t="shared" si="26"/>
        <v>0.20218409597873688</v>
      </c>
      <c r="AG28" s="152">
        <f t="shared" si="26"/>
        <v>7.2768822312355042E-2</v>
      </c>
      <c r="AH28" s="152">
        <f t="shared" si="26"/>
        <v>6.0028329491615295E-2</v>
      </c>
      <c r="AI28" s="152">
        <f t="shared" si="26"/>
        <v>0.49088828265666962</v>
      </c>
      <c r="AJ28" s="152">
        <f t="shared" si="26"/>
        <v>0.32600529491901398</v>
      </c>
      <c r="AK28" s="152">
        <f t="shared" si="26"/>
        <v>0.34662815928459167</v>
      </c>
      <c r="AL28" s="152">
        <f t="shared" si="26"/>
        <v>0.38482561707496643</v>
      </c>
      <c r="AM28" s="152">
        <f t="shared" si="26"/>
        <v>7.7208936214447021E-2</v>
      </c>
    </row>
    <row r="29" spans="1:41" ht="17.25" customHeight="1" x14ac:dyDescent="0.2">
      <c r="A29" s="157" t="s">
        <v>21</v>
      </c>
      <c r="B29" s="158" t="s">
        <v>133</v>
      </c>
      <c r="C29" s="159" t="e">
        <f>+#REF!</f>
        <v>#REF!</v>
      </c>
      <c r="D29" s="159">
        <v>37227277</v>
      </c>
      <c r="E29" s="159">
        <v>53748000</v>
      </c>
      <c r="F29" s="159">
        <f>+E29+F27-F21</f>
        <v>153768656</v>
      </c>
      <c r="G29" s="159">
        <v>267702752</v>
      </c>
      <c r="H29" s="160">
        <f>+G29+H27-H21</f>
        <v>330788968</v>
      </c>
      <c r="I29" s="159">
        <f>+G29+I27-I21</f>
        <v>298857022</v>
      </c>
      <c r="J29" s="159">
        <f>+G29+J27-J21</f>
        <v>261264795</v>
      </c>
      <c r="K29" s="161">
        <f>+J29/I29</f>
        <v>0.87421333871151274</v>
      </c>
      <c r="L29" s="159">
        <f>+I29+L27-L21</f>
        <v>410323142.522807</v>
      </c>
      <c r="M29" s="159">
        <f>+L29+M27-M21</f>
        <v>446124621.76561403</v>
      </c>
      <c r="N29" s="159">
        <f t="shared" ref="N29:V29" si="27">+M29+N27-N21</f>
        <v>425773660.90842104</v>
      </c>
      <c r="O29" s="159">
        <f t="shared" si="27"/>
        <v>405422700.05122805</v>
      </c>
      <c r="P29" s="162">
        <f t="shared" si="27"/>
        <v>385071739.19403505</v>
      </c>
      <c r="Q29" s="163">
        <f t="shared" si="27"/>
        <v>364720778.33684206</v>
      </c>
      <c r="R29" s="159">
        <f t="shared" si="27"/>
        <v>344289817.47964907</v>
      </c>
      <c r="S29" s="159">
        <f t="shared" si="27"/>
        <v>326590856.62245607</v>
      </c>
      <c r="T29" s="159">
        <f>+S29+T27-T21</f>
        <v>308891895.76526308</v>
      </c>
      <c r="U29" s="159">
        <f t="shared" si="27"/>
        <v>291192934.90807009</v>
      </c>
      <c r="V29" s="159">
        <f t="shared" si="27"/>
        <v>273493974.05087709</v>
      </c>
      <c r="W29" s="157" t="s">
        <v>21</v>
      </c>
      <c r="X29" s="158" t="s">
        <v>80</v>
      </c>
      <c r="Y29" s="159">
        <f>+V29+Y27-Y21</f>
        <v>255917361.59368411</v>
      </c>
      <c r="Z29" s="159">
        <f>+Y29+Z27-Z21</f>
        <v>241635148.23649111</v>
      </c>
      <c r="AA29" s="159">
        <f t="shared" ref="AA29:AM29" si="28">+Z29+AA27-AA21</f>
        <v>227352934.87929812</v>
      </c>
      <c r="AB29" s="159">
        <f t="shared" si="28"/>
        <v>213070721.52210513</v>
      </c>
      <c r="AC29" s="159">
        <f t="shared" si="28"/>
        <v>198788508.16491213</v>
      </c>
      <c r="AD29" s="159">
        <f t="shared" si="28"/>
        <v>184506294.80771914</v>
      </c>
      <c r="AE29" s="159">
        <f t="shared" si="28"/>
        <v>170224081.45052615</v>
      </c>
      <c r="AF29" s="159">
        <f t="shared" si="28"/>
        <v>155941868.09333315</v>
      </c>
      <c r="AG29" s="159">
        <f t="shared" si="28"/>
        <v>141659654.73614016</v>
      </c>
      <c r="AH29" s="159">
        <f t="shared" si="28"/>
        <v>127377441.37894718</v>
      </c>
      <c r="AI29" s="159">
        <f t="shared" si="28"/>
        <v>113095228.02175421</v>
      </c>
      <c r="AJ29" s="159">
        <f t="shared" si="28"/>
        <v>98813014.664561227</v>
      </c>
      <c r="AK29" s="159">
        <f t="shared" si="28"/>
        <v>87715889.026666492</v>
      </c>
      <c r="AL29" s="159">
        <f t="shared" si="28"/>
        <v>78924026.546666488</v>
      </c>
      <c r="AM29" s="159">
        <f t="shared" si="28"/>
        <v>73265081.666666493</v>
      </c>
      <c r="AO29" s="3"/>
    </row>
    <row r="30" spans="1:41" ht="27.75" customHeight="1" x14ac:dyDescent="0.2">
      <c r="A30" s="164" t="s">
        <v>54</v>
      </c>
      <c r="B30" s="165" t="s">
        <v>145</v>
      </c>
      <c r="C30" s="166"/>
      <c r="D30" s="167"/>
      <c r="E30" s="168">
        <v>0</v>
      </c>
      <c r="F30" s="167">
        <f>+E31+F31</f>
        <v>30576658</v>
      </c>
      <c r="G30" s="167">
        <v>89550831</v>
      </c>
      <c r="H30" s="169">
        <v>0</v>
      </c>
      <c r="I30" s="168">
        <v>0</v>
      </c>
      <c r="J30" s="168">
        <v>0</v>
      </c>
      <c r="K30" s="170" t="s">
        <v>129</v>
      </c>
      <c r="L30" s="167">
        <f>+I30+L31-'[15]razem kredyty'!K72</f>
        <v>69687713.364210531</v>
      </c>
      <c r="M30" s="167">
        <f>+L30+M31-'[15]razem kredyty'!L72</f>
        <v>82608200.888421059</v>
      </c>
      <c r="N30" s="167">
        <f>+M30+N31-'[15]razem kredyty'!M72</f>
        <v>75614638.412631586</v>
      </c>
      <c r="O30" s="167">
        <f>+N30+O31-'[15]razem kredyty'!N72</f>
        <v>68621075.936842114</v>
      </c>
      <c r="P30" s="171">
        <f>+O30+P31-'[15]razem kredyty'!O72</f>
        <v>61627513.461052641</v>
      </c>
      <c r="Q30" s="172">
        <f>+P30+Q31-'[15]razem kredyty'!P72</f>
        <v>54633950.985263169</v>
      </c>
      <c r="R30" s="173">
        <v>0</v>
      </c>
      <c r="S30" s="173">
        <v>0</v>
      </c>
      <c r="T30" s="173">
        <v>0</v>
      </c>
      <c r="U30" s="173">
        <v>0</v>
      </c>
      <c r="V30" s="174">
        <v>0</v>
      </c>
      <c r="W30" s="164" t="s">
        <v>54</v>
      </c>
      <c r="X30" s="165" t="s">
        <v>145</v>
      </c>
      <c r="Y30" s="173">
        <v>0</v>
      </c>
      <c r="Z30" s="173">
        <v>0</v>
      </c>
      <c r="AA30" s="173">
        <v>0</v>
      </c>
      <c r="AB30" s="173">
        <v>0</v>
      </c>
      <c r="AC30" s="173">
        <v>0</v>
      </c>
      <c r="AD30" s="173">
        <v>0</v>
      </c>
      <c r="AE30" s="173">
        <v>0</v>
      </c>
      <c r="AF30" s="173">
        <v>0</v>
      </c>
      <c r="AG30" s="173">
        <v>0</v>
      </c>
      <c r="AH30" s="173">
        <v>0</v>
      </c>
      <c r="AI30" s="173">
        <v>0</v>
      </c>
      <c r="AJ30" s="173">
        <v>0</v>
      </c>
      <c r="AK30" s="173">
        <v>0</v>
      </c>
      <c r="AL30" s="173">
        <v>0</v>
      </c>
      <c r="AM30" s="175">
        <v>0</v>
      </c>
      <c r="AO30" s="3"/>
    </row>
    <row r="31" spans="1:41" ht="39" customHeight="1" x14ac:dyDescent="0.2">
      <c r="A31" s="176" t="s">
        <v>55</v>
      </c>
      <c r="B31" s="177" t="s">
        <v>146</v>
      </c>
      <c r="C31" s="33"/>
      <c r="D31" s="33"/>
      <c r="E31" s="168">
        <v>0</v>
      </c>
      <c r="F31" s="167">
        <f>30576658</f>
        <v>30576658</v>
      </c>
      <c r="G31" s="168">
        <v>0</v>
      </c>
      <c r="H31" s="169">
        <v>0</v>
      </c>
      <c r="I31" s="168">
        <v>0</v>
      </c>
      <c r="J31" s="168">
        <v>0</v>
      </c>
      <c r="K31" s="170" t="s">
        <v>129</v>
      </c>
      <c r="L31" s="167">
        <f>+[16]wyłączenia!H7-[16]wyłączenia!H8</f>
        <v>72966071</v>
      </c>
      <c r="M31" s="167">
        <f>+[16]wyłączenia!I7-[16]wyłączenia!I8</f>
        <v>19117488</v>
      </c>
      <c r="N31" s="167"/>
      <c r="O31" s="167"/>
      <c r="P31" s="178"/>
      <c r="Q31" s="172"/>
      <c r="R31" s="167"/>
      <c r="S31" s="167"/>
      <c r="T31" s="167"/>
      <c r="U31" s="167"/>
      <c r="V31" s="179"/>
      <c r="W31" s="176" t="s">
        <v>55</v>
      </c>
      <c r="X31" s="177" t="s">
        <v>146</v>
      </c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80"/>
      <c r="AJ31" s="167"/>
      <c r="AK31" s="167"/>
      <c r="AL31" s="167"/>
      <c r="AM31" s="167"/>
      <c r="AO31" s="3"/>
    </row>
    <row r="32" spans="1:41" s="190" customFormat="1" ht="27.75" customHeight="1" x14ac:dyDescent="0.2">
      <c r="A32" s="181" t="s">
        <v>29</v>
      </c>
      <c r="B32" s="182" t="s">
        <v>147</v>
      </c>
      <c r="C32" s="183" t="e">
        <f>+C20/C6</f>
        <v>#REF!</v>
      </c>
      <c r="D32" s="184">
        <v>10.830073840647639</v>
      </c>
      <c r="E32" s="184" t="e">
        <f>+#REF!</f>
        <v>#REF!</v>
      </c>
      <c r="F32" s="184">
        <f>+F20/F6*100</f>
        <v>1.2134225271287638</v>
      </c>
      <c r="G32" s="184">
        <v>3.18</v>
      </c>
      <c r="H32" s="185">
        <v>3.93</v>
      </c>
      <c r="I32" s="184">
        <v>3.63</v>
      </c>
      <c r="J32" s="186" t="s">
        <v>50</v>
      </c>
      <c r="K32" s="186" t="s">
        <v>50</v>
      </c>
      <c r="L32" s="184" t="e">
        <f>+#REF!</f>
        <v>#REF!</v>
      </c>
      <c r="M32" s="184" t="e">
        <f>+#REF!</f>
        <v>#REF!</v>
      </c>
      <c r="N32" s="187" t="e">
        <f>+#REF!</f>
        <v>#REF!</v>
      </c>
      <c r="O32" s="184" t="e">
        <f>+#REF!</f>
        <v>#REF!</v>
      </c>
      <c r="P32" s="188" t="e">
        <f>+#REF!</f>
        <v>#REF!</v>
      </c>
      <c r="Q32" s="189" t="e">
        <f>+#REF!</f>
        <v>#REF!</v>
      </c>
      <c r="R32" s="184" t="e">
        <f>+#REF!</f>
        <v>#REF!</v>
      </c>
      <c r="S32" s="184" t="e">
        <f>+#REF!</f>
        <v>#REF!</v>
      </c>
      <c r="T32" s="184" t="e">
        <f>+#REF!</f>
        <v>#REF!</v>
      </c>
      <c r="U32" s="184" t="e">
        <f>+#REF!</f>
        <v>#REF!</v>
      </c>
      <c r="V32" s="188" t="e">
        <f>+#REF!</f>
        <v>#REF!</v>
      </c>
      <c r="W32" s="181" t="s">
        <v>29</v>
      </c>
      <c r="X32" s="182" t="s">
        <v>75</v>
      </c>
      <c r="Y32" s="184">
        <f t="shared" ref="Y32:AM32" si="29">+Y20/Y6*100</f>
        <v>4.8269493089758777</v>
      </c>
      <c r="Z32" s="184">
        <f t="shared" si="29"/>
        <v>4.0095474069614987</v>
      </c>
      <c r="AA32" s="184">
        <f t="shared" si="29"/>
        <v>3.79670123661551</v>
      </c>
      <c r="AB32" s="184">
        <f t="shared" si="29"/>
        <v>3.5913991137883752</v>
      </c>
      <c r="AC32" s="184">
        <f t="shared" si="29"/>
        <v>3.3934094040351548</v>
      </c>
      <c r="AD32" s="184">
        <f t="shared" si="29"/>
        <v>3.2056406437338003</v>
      </c>
      <c r="AE32" s="184">
        <f t="shared" si="29"/>
        <v>3.0243834005659571</v>
      </c>
      <c r="AF32" s="184">
        <f t="shared" si="29"/>
        <v>2.8494443447894042</v>
      </c>
      <c r="AG32" s="184">
        <f t="shared" si="29"/>
        <v>2.6806354527054368</v>
      </c>
      <c r="AH32" s="184">
        <f t="shared" si="29"/>
        <v>2.5177738678050683</v>
      </c>
      <c r="AI32" s="184">
        <f t="shared" si="29"/>
        <v>2.3629938925309424</v>
      </c>
      <c r="AJ32" s="184">
        <f t="shared" si="29"/>
        <v>2.2135158351821507</v>
      </c>
      <c r="AK32" s="184">
        <f t="shared" si="29"/>
        <v>1.645201817354609</v>
      </c>
      <c r="AL32" s="184">
        <f t="shared" si="29"/>
        <v>1.2387452262157272</v>
      </c>
      <c r="AM32" s="184">
        <f t="shared" si="29"/>
        <v>0.75737062437245506</v>
      </c>
    </row>
    <row r="33" spans="1:41" ht="27" customHeight="1" x14ac:dyDescent="0.2">
      <c r="A33" s="191" t="s">
        <v>54</v>
      </c>
      <c r="B33" s="192" t="s">
        <v>148</v>
      </c>
      <c r="C33" s="193" t="e">
        <f>+#REF!</f>
        <v>#REF!</v>
      </c>
      <c r="D33" s="194">
        <v>11.743287299666072</v>
      </c>
      <c r="E33" s="194">
        <v>19.50758927675589</v>
      </c>
      <c r="F33" s="194" t="e">
        <f>+#REF!</f>
        <v>#REF!</v>
      </c>
      <c r="G33" s="194">
        <v>9.27</v>
      </c>
      <c r="H33" s="195">
        <v>7.51</v>
      </c>
      <c r="I33" s="194">
        <v>8.82</v>
      </c>
      <c r="J33" s="196" t="s">
        <v>50</v>
      </c>
      <c r="K33" s="196" t="s">
        <v>50</v>
      </c>
      <c r="L33" s="194" t="e">
        <f>+#REF!</f>
        <v>#REF!</v>
      </c>
      <c r="M33" s="194" t="e">
        <f>+#REF!</f>
        <v>#REF!</v>
      </c>
      <c r="N33" s="197" t="e">
        <f>+#REF!</f>
        <v>#REF!</v>
      </c>
      <c r="O33" s="194" t="e">
        <f>+#REF!</f>
        <v>#REF!</v>
      </c>
      <c r="P33" s="198" t="e">
        <f>+#REF!</f>
        <v>#REF!</v>
      </c>
      <c r="Q33" s="199" t="e">
        <f>+#REF!</f>
        <v>#REF!</v>
      </c>
      <c r="R33" s="194" t="e">
        <f>+#REF!</f>
        <v>#REF!</v>
      </c>
      <c r="S33" s="194" t="e">
        <f>+#REF!</f>
        <v>#REF!</v>
      </c>
      <c r="T33" s="194" t="e">
        <f>+#REF!</f>
        <v>#REF!</v>
      </c>
      <c r="U33" s="194" t="e">
        <f>+#REF!</f>
        <v>#REF!</v>
      </c>
      <c r="V33" s="198" t="e">
        <f>+#REF!</f>
        <v>#REF!</v>
      </c>
      <c r="W33" s="191" t="s">
        <v>54</v>
      </c>
      <c r="X33" s="192" t="s">
        <v>114</v>
      </c>
      <c r="Y33" s="194" t="e">
        <f>+#REF!</f>
        <v>#REF!</v>
      </c>
      <c r="Z33" s="194" t="e">
        <f>+#REF!</f>
        <v>#REF!</v>
      </c>
      <c r="AA33" s="194" t="e">
        <f>+#REF!</f>
        <v>#REF!</v>
      </c>
      <c r="AB33" s="194" t="e">
        <f>+#REF!</f>
        <v>#REF!</v>
      </c>
      <c r="AC33" s="194" t="e">
        <f>+#REF!</f>
        <v>#REF!</v>
      </c>
      <c r="AD33" s="194" t="e">
        <f>+#REF!</f>
        <v>#REF!</v>
      </c>
      <c r="AE33" s="194" t="e">
        <f>+#REF!</f>
        <v>#REF!</v>
      </c>
      <c r="AF33" s="194" t="e">
        <f>+#REF!</f>
        <v>#REF!</v>
      </c>
      <c r="AG33" s="194" t="e">
        <f>+#REF!</f>
        <v>#REF!</v>
      </c>
      <c r="AH33" s="194" t="e">
        <f>+#REF!</f>
        <v>#REF!</v>
      </c>
      <c r="AI33" s="194" t="e">
        <f>+#REF!</f>
        <v>#REF!</v>
      </c>
      <c r="AJ33" s="194" t="e">
        <f>+#REF!</f>
        <v>#REF!</v>
      </c>
      <c r="AK33" s="194" t="e">
        <f>+#REF!</f>
        <v>#REF!</v>
      </c>
      <c r="AL33" s="194" t="e">
        <f>+#REF!</f>
        <v>#REF!</v>
      </c>
      <c r="AM33" s="194" t="e">
        <f>+#REF!</f>
        <v>#REF!</v>
      </c>
    </row>
    <row r="34" spans="1:41" ht="28.5" customHeight="1" x14ac:dyDescent="0.2">
      <c r="A34" s="181" t="s">
        <v>30</v>
      </c>
      <c r="B34" s="200" t="s">
        <v>149</v>
      </c>
      <c r="C34" s="201"/>
      <c r="D34" s="202" t="s">
        <v>117</v>
      </c>
      <c r="E34" s="202" t="s">
        <v>117</v>
      </c>
      <c r="F34" s="202" t="s">
        <v>117</v>
      </c>
      <c r="G34" s="202" t="s">
        <v>117</v>
      </c>
      <c r="H34" s="203" t="s">
        <v>117</v>
      </c>
      <c r="I34" s="202" t="s">
        <v>117</v>
      </c>
      <c r="J34" s="204" t="s">
        <v>50</v>
      </c>
      <c r="K34" s="204" t="s">
        <v>50</v>
      </c>
      <c r="L34" s="202" t="s">
        <v>117</v>
      </c>
      <c r="M34" s="202" t="s">
        <v>117</v>
      </c>
      <c r="N34" s="205" t="s">
        <v>127</v>
      </c>
      <c r="O34" s="202" t="s">
        <v>117</v>
      </c>
      <c r="P34" s="206" t="s">
        <v>117</v>
      </c>
      <c r="Q34" s="207" t="s">
        <v>117</v>
      </c>
      <c r="R34" s="202" t="s">
        <v>117</v>
      </c>
      <c r="S34" s="202" t="s">
        <v>117</v>
      </c>
      <c r="T34" s="202" t="s">
        <v>117</v>
      </c>
      <c r="U34" s="202" t="s">
        <v>117</v>
      </c>
      <c r="V34" s="206" t="s">
        <v>117</v>
      </c>
      <c r="W34" s="181" t="s">
        <v>30</v>
      </c>
      <c r="X34" s="200" t="s">
        <v>115</v>
      </c>
      <c r="Y34" s="202" t="s">
        <v>117</v>
      </c>
      <c r="Z34" s="202" t="s">
        <v>117</v>
      </c>
      <c r="AA34" s="202" t="s">
        <v>117</v>
      </c>
      <c r="AB34" s="202" t="s">
        <v>117</v>
      </c>
      <c r="AC34" s="202" t="s">
        <v>117</v>
      </c>
      <c r="AD34" s="202" t="s">
        <v>117</v>
      </c>
      <c r="AE34" s="202" t="s">
        <v>117</v>
      </c>
      <c r="AF34" s="202" t="s">
        <v>117</v>
      </c>
      <c r="AG34" s="202" t="s">
        <v>117</v>
      </c>
      <c r="AH34" s="202" t="s">
        <v>117</v>
      </c>
      <c r="AI34" s="202" t="s">
        <v>117</v>
      </c>
      <c r="AJ34" s="202" t="s">
        <v>117</v>
      </c>
      <c r="AK34" s="202" t="s">
        <v>117</v>
      </c>
      <c r="AL34" s="202" t="s">
        <v>117</v>
      </c>
      <c r="AM34" s="202" t="s">
        <v>117</v>
      </c>
    </row>
    <row r="35" spans="1:41" s="215" customFormat="1" ht="26.25" customHeight="1" thickBot="1" x14ac:dyDescent="0.25">
      <c r="A35" s="208" t="s">
        <v>31</v>
      </c>
      <c r="B35" s="209" t="s">
        <v>150</v>
      </c>
      <c r="C35" s="210" t="e">
        <f t="shared" ref="C35:AL35" si="30">+C29/C6*100</f>
        <v>#REF!</v>
      </c>
      <c r="D35" s="210">
        <v>6.8804222323667767</v>
      </c>
      <c r="E35" s="210">
        <v>4.9992808348306399</v>
      </c>
      <c r="F35" s="210">
        <f t="shared" si="30"/>
        <v>21.030923259322989</v>
      </c>
      <c r="G35" s="210">
        <f>+G29/G6*100</f>
        <v>34.029339517801155</v>
      </c>
      <c r="H35" s="211">
        <f>+H29/H6*100</f>
        <v>42.240355130748355</v>
      </c>
      <c r="I35" s="210">
        <f t="shared" si="30"/>
        <v>35.280592680953362</v>
      </c>
      <c r="J35" s="210">
        <f>+J29/I6*100</f>
        <v>30.842764719337197</v>
      </c>
      <c r="K35" s="212" t="s">
        <v>129</v>
      </c>
      <c r="L35" s="213">
        <f t="shared" si="30"/>
        <v>60.125855223413595</v>
      </c>
      <c r="M35" s="210">
        <f t="shared" si="30"/>
        <v>74.733769937058852</v>
      </c>
      <c r="N35" s="210">
        <f t="shared" si="30"/>
        <v>84.058888301846935</v>
      </c>
      <c r="O35" s="210">
        <f t="shared" si="30"/>
        <v>74.489175563172751</v>
      </c>
      <c r="P35" s="214">
        <f t="shared" si="30"/>
        <v>79.783940104970199</v>
      </c>
      <c r="Q35" s="213">
        <f t="shared" si="30"/>
        <v>73.724268840662859</v>
      </c>
      <c r="R35" s="210">
        <f t="shared" si="30"/>
        <v>67.963258027737311</v>
      </c>
      <c r="S35" s="210">
        <f t="shared" si="30"/>
        <v>62.958457149587474</v>
      </c>
      <c r="T35" s="210">
        <f t="shared" si="30"/>
        <v>58.150922979944085</v>
      </c>
      <c r="U35" s="210">
        <f t="shared" si="30"/>
        <v>53.534157861078256</v>
      </c>
      <c r="V35" s="214">
        <f t="shared" si="30"/>
        <v>49.101860351127819</v>
      </c>
      <c r="W35" s="208" t="s">
        <v>31</v>
      </c>
      <c r="X35" s="209" t="s">
        <v>150</v>
      </c>
      <c r="Y35" s="210">
        <f t="shared" si="30"/>
        <v>44.913231221502912</v>
      </c>
      <c r="Z35" s="210">
        <f t="shared" si="30"/>
        <v>41.453291894045698</v>
      </c>
      <c r="AA35" s="210">
        <f t="shared" si="30"/>
        <v>38.126228698597529</v>
      </c>
      <c r="AB35" s="210">
        <f t="shared" si="30"/>
        <v>34.927815687176235</v>
      </c>
      <c r="AC35" s="210">
        <f t="shared" si="30"/>
        <v>31.853949768582655</v>
      </c>
      <c r="AD35" s="210">
        <f t="shared" si="30"/>
        <v>28.928925840065844</v>
      </c>
      <c r="AE35" s="210">
        <f t="shared" si="30"/>
        <v>26.115071794792382</v>
      </c>
      <c r="AF35" s="210">
        <f t="shared" si="30"/>
        <v>23.408956871038516</v>
      </c>
      <c r="AG35" s="210">
        <f t="shared" si="30"/>
        <v>20.807246496461737</v>
      </c>
      <c r="AH35" s="210">
        <f t="shared" si="30"/>
        <v>18.306699736644386</v>
      </c>
      <c r="AI35" s="210">
        <f t="shared" si="30"/>
        <v>15.919743857696201</v>
      </c>
      <c r="AJ35" s="210">
        <f t="shared" si="30"/>
        <v>13.623233565037495</v>
      </c>
      <c r="AK35" s="210">
        <f t="shared" si="30"/>
        <v>11.844550408178128</v>
      </c>
      <c r="AL35" s="210">
        <f t="shared" si="30"/>
        <v>10.438156476889436</v>
      </c>
      <c r="AM35" s="210">
        <f>+AM29/AM6*100</f>
        <v>9.4997337907944992</v>
      </c>
    </row>
    <row r="36" spans="1:41" s="215" customFormat="1" ht="28.5" customHeight="1" thickBot="1" x14ac:dyDescent="0.25">
      <c r="A36" s="216" t="s">
        <v>116</v>
      </c>
      <c r="B36" s="217" t="s">
        <v>151</v>
      </c>
      <c r="C36" s="218" t="e">
        <f t="shared" ref="C36:AL36" si="31">+SUM(C29-C30)/C6*100</f>
        <v>#REF!</v>
      </c>
      <c r="D36" s="218">
        <v>6.8804222323667767</v>
      </c>
      <c r="E36" s="218">
        <v>4.9992808348306399</v>
      </c>
      <c r="F36" s="218">
        <f t="shared" si="31"/>
        <v>16.848956890802707</v>
      </c>
      <c r="G36" s="218">
        <f>+SUM(G29-G30)/G6*100</f>
        <v>22.645983876390968</v>
      </c>
      <c r="H36" s="219">
        <f>+SUM(H29-H30)/H6*100</f>
        <v>42.240355130748355</v>
      </c>
      <c r="I36" s="218">
        <f t="shared" si="31"/>
        <v>35.280592680953362</v>
      </c>
      <c r="J36" s="218">
        <f>+SUM(J29-J30)/I6*100</f>
        <v>30.842764719337197</v>
      </c>
      <c r="K36" s="220" t="s">
        <v>129</v>
      </c>
      <c r="L36" s="221">
        <f t="shared" si="31"/>
        <v>49.914309906165563</v>
      </c>
      <c r="M36" s="218">
        <f t="shared" si="31"/>
        <v>60.895434236876156</v>
      </c>
      <c r="N36" s="218">
        <f t="shared" si="31"/>
        <v>69.130575379082401</v>
      </c>
      <c r="O36" s="218">
        <f t="shared" si="31"/>
        <v>61.881279231400107</v>
      </c>
      <c r="P36" s="222">
        <f t="shared" si="31"/>
        <v>67.015187318577617</v>
      </c>
      <c r="Q36" s="221">
        <f t="shared" si="31"/>
        <v>62.68062030319134</v>
      </c>
      <c r="R36" s="218">
        <f t="shared" si="31"/>
        <v>67.963258027737311</v>
      </c>
      <c r="S36" s="218">
        <f t="shared" si="31"/>
        <v>62.958457149587474</v>
      </c>
      <c r="T36" s="218">
        <f t="shared" si="31"/>
        <v>58.150922979944085</v>
      </c>
      <c r="U36" s="218">
        <f t="shared" si="31"/>
        <v>53.534157861078256</v>
      </c>
      <c r="V36" s="222">
        <f t="shared" si="31"/>
        <v>49.101860351127819</v>
      </c>
      <c r="W36" s="216" t="s">
        <v>116</v>
      </c>
      <c r="X36" s="217" t="s">
        <v>151</v>
      </c>
      <c r="Y36" s="218">
        <f t="shared" si="31"/>
        <v>44.913231221502912</v>
      </c>
      <c r="Z36" s="218">
        <f t="shared" si="31"/>
        <v>41.453291894045698</v>
      </c>
      <c r="AA36" s="218">
        <f t="shared" si="31"/>
        <v>38.126228698597529</v>
      </c>
      <c r="AB36" s="218">
        <f t="shared" si="31"/>
        <v>34.927815687176235</v>
      </c>
      <c r="AC36" s="218">
        <f t="shared" si="31"/>
        <v>31.853949768582655</v>
      </c>
      <c r="AD36" s="218">
        <f t="shared" si="31"/>
        <v>28.928925840065844</v>
      </c>
      <c r="AE36" s="218">
        <f t="shared" si="31"/>
        <v>26.115071794792382</v>
      </c>
      <c r="AF36" s="218">
        <f t="shared" si="31"/>
        <v>23.408956871038516</v>
      </c>
      <c r="AG36" s="218">
        <f t="shared" si="31"/>
        <v>20.807246496461737</v>
      </c>
      <c r="AH36" s="218">
        <f t="shared" si="31"/>
        <v>18.306699736644386</v>
      </c>
      <c r="AI36" s="218">
        <f t="shared" si="31"/>
        <v>15.919743857696201</v>
      </c>
      <c r="AJ36" s="218">
        <f t="shared" si="31"/>
        <v>13.623233565037495</v>
      </c>
      <c r="AK36" s="218">
        <f t="shared" si="31"/>
        <v>11.844550408178128</v>
      </c>
      <c r="AL36" s="218">
        <f t="shared" si="31"/>
        <v>10.438156476889436</v>
      </c>
      <c r="AM36" s="218">
        <f>+SUM(AM29-AM30)/AM6*100</f>
        <v>9.4997337907944992</v>
      </c>
    </row>
    <row r="37" spans="1:41" s="215" customFormat="1" ht="26.25" customHeight="1" thickBot="1" x14ac:dyDescent="0.25">
      <c r="A37" s="216" t="s">
        <v>32</v>
      </c>
      <c r="B37" s="223" t="s">
        <v>152</v>
      </c>
      <c r="C37" s="224" t="e">
        <f t="shared" ref="C37:AL37" si="32">+C20/C6*100</f>
        <v>#REF!</v>
      </c>
      <c r="D37" s="224">
        <v>10.830073840647639</v>
      </c>
      <c r="E37" s="224">
        <v>1.0660244596781543</v>
      </c>
      <c r="F37" s="224">
        <f t="shared" si="32"/>
        <v>1.2134225271287638</v>
      </c>
      <c r="G37" s="224">
        <f>+G20/G6*100</f>
        <v>3.1811266919929979</v>
      </c>
      <c r="H37" s="225">
        <f>+(H20+1339284)/H6*100</f>
        <v>3.9267131548940943</v>
      </c>
      <c r="I37" s="224">
        <f t="shared" si="32"/>
        <v>3.6301539343272382</v>
      </c>
      <c r="J37" s="224">
        <f>+J20/I6*100</f>
        <v>1.3806081820917744</v>
      </c>
      <c r="K37" s="226" t="s">
        <v>129</v>
      </c>
      <c r="L37" s="227">
        <f t="shared" si="32"/>
        <v>3.7834754373945199</v>
      </c>
      <c r="M37" s="224">
        <f t="shared" si="32"/>
        <v>5.8469219310549558</v>
      </c>
      <c r="N37" s="224">
        <f t="shared" si="32"/>
        <v>7.7170679029909417</v>
      </c>
      <c r="O37" s="224">
        <f t="shared" si="32"/>
        <v>6.9891027788226259</v>
      </c>
      <c r="P37" s="228">
        <f t="shared" si="32"/>
        <v>7.6642345081902468</v>
      </c>
      <c r="Q37" s="227">
        <f t="shared" si="32"/>
        <v>7.2653130556413581</v>
      </c>
      <c r="R37" s="224">
        <f t="shared" si="32"/>
        <v>6.9038039713701593</v>
      </c>
      <c r="S37" s="224">
        <f t="shared" si="32"/>
        <v>6.0248124400113374</v>
      </c>
      <c r="T37" s="224">
        <f t="shared" si="32"/>
        <v>5.7127362860675603</v>
      </c>
      <c r="U37" s="224">
        <f t="shared" si="32"/>
        <v>5.4119791735220204</v>
      </c>
      <c r="V37" s="228">
        <f t="shared" si="32"/>
        <v>5.1221819508605373</v>
      </c>
      <c r="W37" s="216" t="s">
        <v>32</v>
      </c>
      <c r="X37" s="223" t="s">
        <v>152</v>
      </c>
      <c r="Y37" s="224">
        <f t="shared" si="32"/>
        <v>4.8269493089758777</v>
      </c>
      <c r="Z37" s="224">
        <f t="shared" si="32"/>
        <v>4.0095474069614987</v>
      </c>
      <c r="AA37" s="224">
        <f t="shared" si="32"/>
        <v>3.79670123661551</v>
      </c>
      <c r="AB37" s="224">
        <f t="shared" si="32"/>
        <v>3.5913991137883752</v>
      </c>
      <c r="AC37" s="224">
        <f t="shared" si="32"/>
        <v>3.3934094040351548</v>
      </c>
      <c r="AD37" s="224">
        <f t="shared" si="32"/>
        <v>3.2056406437338003</v>
      </c>
      <c r="AE37" s="224">
        <f t="shared" si="32"/>
        <v>3.0243834005659571</v>
      </c>
      <c r="AF37" s="224">
        <f t="shared" si="32"/>
        <v>2.8494443447894042</v>
      </c>
      <c r="AG37" s="224">
        <f t="shared" si="32"/>
        <v>2.6806354527054368</v>
      </c>
      <c r="AH37" s="224">
        <f t="shared" si="32"/>
        <v>2.5177738678050683</v>
      </c>
      <c r="AI37" s="224">
        <f t="shared" si="32"/>
        <v>2.3629938925309424</v>
      </c>
      <c r="AJ37" s="224">
        <f t="shared" si="32"/>
        <v>2.2135158351821507</v>
      </c>
      <c r="AK37" s="224">
        <f t="shared" si="32"/>
        <v>1.645201817354609</v>
      </c>
      <c r="AL37" s="224">
        <f t="shared" si="32"/>
        <v>1.2387452262157272</v>
      </c>
      <c r="AM37" s="224">
        <f>+AM20/AM6*100</f>
        <v>0.75737062437245506</v>
      </c>
    </row>
    <row r="38" spans="1:41" s="190" customFormat="1" ht="19.5" customHeight="1" x14ac:dyDescent="0.2">
      <c r="A38" s="229" t="s">
        <v>33</v>
      </c>
      <c r="B38" s="230" t="s">
        <v>81</v>
      </c>
      <c r="C38" s="231" t="e">
        <f t="shared" ref="C38:AL38" si="33">+C10+C22</f>
        <v>#REF!</v>
      </c>
      <c r="D38" s="231">
        <v>350315849</v>
      </c>
      <c r="E38" s="231">
        <v>465986892</v>
      </c>
      <c r="F38" s="231">
        <f t="shared" si="33"/>
        <v>436970060</v>
      </c>
      <c r="G38" s="231">
        <f>+G10+G22</f>
        <v>433547805</v>
      </c>
      <c r="H38" s="232">
        <f t="shared" si="33"/>
        <v>482096198</v>
      </c>
      <c r="I38" s="231">
        <f t="shared" si="33"/>
        <v>511223091</v>
      </c>
      <c r="J38" s="231">
        <f t="shared" si="33"/>
        <v>229133782</v>
      </c>
      <c r="K38" s="233">
        <f t="shared" ref="K38:K43" si="34">+J38/I38</f>
        <v>0.44820702748734015</v>
      </c>
      <c r="L38" s="234">
        <f t="shared" si="33"/>
        <v>432806622.7903676</v>
      </c>
      <c r="M38" s="231">
        <f t="shared" si="33"/>
        <v>436513711.97258878</v>
      </c>
      <c r="N38" s="231">
        <f t="shared" si="33"/>
        <v>392296130.84500068</v>
      </c>
      <c r="O38" s="231">
        <f t="shared" si="33"/>
        <v>395625619.82288712</v>
      </c>
      <c r="P38" s="235">
        <f t="shared" si="33"/>
        <v>385641992.45815766</v>
      </c>
      <c r="Q38" s="234">
        <f t="shared" si="33"/>
        <v>393818314.96024698</v>
      </c>
      <c r="R38" s="231">
        <f t="shared" si="33"/>
        <v>402225263.74282551</v>
      </c>
      <c r="S38" s="231">
        <f t="shared" si="33"/>
        <v>410929013.06290543</v>
      </c>
      <c r="T38" s="231">
        <f t="shared" si="33"/>
        <v>419955741.91892433</v>
      </c>
      <c r="U38" s="231">
        <f t="shared" si="33"/>
        <v>429230830.05428064</v>
      </c>
      <c r="V38" s="235">
        <f t="shared" si="33"/>
        <v>438760486.45095783</v>
      </c>
      <c r="W38" s="229" t="s">
        <v>33</v>
      </c>
      <c r="X38" s="230" t="s">
        <v>81</v>
      </c>
      <c r="Y38" s="231">
        <f t="shared" si="33"/>
        <v>448555013.40461397</v>
      </c>
      <c r="Z38" s="231">
        <f t="shared" si="33"/>
        <v>458682982.07391405</v>
      </c>
      <c r="AA38" s="231">
        <f t="shared" si="33"/>
        <v>469191131.38828439</v>
      </c>
      <c r="AB38" s="231">
        <f t="shared" si="33"/>
        <v>479980276.43104476</v>
      </c>
      <c r="AC38" s="231">
        <f t="shared" si="33"/>
        <v>491057442.0954048</v>
      </c>
      <c r="AD38" s="231">
        <f t="shared" si="33"/>
        <v>502429828.89690459</v>
      </c>
      <c r="AE38" s="231">
        <f t="shared" si="33"/>
        <v>514104817.36397254</v>
      </c>
      <c r="AF38" s="231">
        <f t="shared" si="33"/>
        <v>526089972.538248</v>
      </c>
      <c r="AG38" s="231">
        <f t="shared" si="33"/>
        <v>538393048.58741105</v>
      </c>
      <c r="AH38" s="231">
        <f t="shared" si="33"/>
        <v>551021993.53333378</v>
      </c>
      <c r="AI38" s="231">
        <f t="shared" si="33"/>
        <v>563984954.0984354</v>
      </c>
      <c r="AJ38" s="231">
        <f t="shared" si="33"/>
        <v>577290280.67319512</v>
      </c>
      <c r="AK38" s="231">
        <f t="shared" si="33"/>
        <v>590991758.97035468</v>
      </c>
      <c r="AL38" s="231">
        <f t="shared" si="33"/>
        <v>605227247.37110448</v>
      </c>
      <c r="AM38" s="231">
        <f>+AM10+AM22</f>
        <v>619951291.51543963</v>
      </c>
    </row>
    <row r="39" spans="1:41" s="190" customFormat="1" ht="13.5" customHeight="1" x14ac:dyDescent="0.2">
      <c r="A39" s="236" t="s">
        <v>124</v>
      </c>
      <c r="B39" s="237" t="s">
        <v>125</v>
      </c>
      <c r="C39" s="238"/>
      <c r="D39" s="238">
        <v>115062351</v>
      </c>
      <c r="E39" s="238">
        <v>101234344</v>
      </c>
      <c r="F39" s="238">
        <f t="shared" ref="F39:P39" si="35">+F7-F38</f>
        <v>9942145</v>
      </c>
      <c r="G39" s="238">
        <f t="shared" si="35"/>
        <v>63522979</v>
      </c>
      <c r="H39" s="239">
        <f t="shared" si="35"/>
        <v>42404707</v>
      </c>
      <c r="I39" s="238">
        <f t="shared" si="35"/>
        <v>36702130</v>
      </c>
      <c r="J39" s="238">
        <f t="shared" si="35"/>
        <v>29152047</v>
      </c>
      <c r="K39" s="240">
        <f t="shared" si="34"/>
        <v>0.79428760674108012</v>
      </c>
      <c r="L39" s="238">
        <f t="shared" si="35"/>
        <v>38254411.209632397</v>
      </c>
      <c r="M39" s="238">
        <f t="shared" si="35"/>
        <v>53181911.427411199</v>
      </c>
      <c r="N39" s="238">
        <f t="shared" si="35"/>
        <v>71855889.722599328</v>
      </c>
      <c r="O39" s="238">
        <f t="shared" si="35"/>
        <v>92286895.37309289</v>
      </c>
      <c r="P39" s="241">
        <f t="shared" si="35"/>
        <v>93634580.447621346</v>
      </c>
      <c r="Q39" s="242">
        <f t="shared" ref="Q39:V39" si="36">+Q7-Q38</f>
        <v>97440172.268176436</v>
      </c>
      <c r="R39" s="238">
        <f t="shared" si="36"/>
        <v>100823427.17908007</v>
      </c>
      <c r="S39" s="238">
        <f t="shared" si="36"/>
        <v>104192846.44112587</v>
      </c>
      <c r="T39" s="238">
        <f t="shared" si="36"/>
        <v>107529042.21320373</v>
      </c>
      <c r="U39" s="238">
        <f t="shared" si="36"/>
        <v>110913588.89701855</v>
      </c>
      <c r="V39" s="241">
        <f t="shared" si="36"/>
        <v>114347398.5551725</v>
      </c>
      <c r="W39" s="236" t="s">
        <v>124</v>
      </c>
      <c r="X39" s="237" t="s">
        <v>46</v>
      </c>
      <c r="Y39" s="238">
        <f t="shared" ref="Y39:AM39" si="37">+Y7-Y38</f>
        <v>117274352.95665729</v>
      </c>
      <c r="Z39" s="238">
        <f t="shared" si="37"/>
        <v>120160459.71366644</v>
      </c>
      <c r="AA39" s="238">
        <f t="shared" si="37"/>
        <v>122965709.56041044</v>
      </c>
      <c r="AB39" s="238">
        <f t="shared" si="37"/>
        <v>125796171.85946995</v>
      </c>
      <c r="AC39" s="238">
        <f t="shared" si="37"/>
        <v>128651864.50579172</v>
      </c>
      <c r="AD39" s="238">
        <f t="shared" si="37"/>
        <v>130913082.44951832</v>
      </c>
      <c r="AE39" s="238">
        <f t="shared" si="37"/>
        <v>133171638.03207171</v>
      </c>
      <c r="AF39" s="238">
        <f t="shared" si="37"/>
        <v>135426564.87650925</v>
      </c>
      <c r="AG39" s="238">
        <f t="shared" si="37"/>
        <v>137676852.65047085</v>
      </c>
      <c r="AH39" s="238">
        <f t="shared" si="37"/>
        <v>139921445.53178155</v>
      </c>
      <c r="AI39" s="238">
        <f t="shared" si="37"/>
        <v>141468297.18704724</v>
      </c>
      <c r="AJ39" s="238">
        <f t="shared" si="37"/>
        <v>142977488.88928258</v>
      </c>
      <c r="AK39" s="238">
        <f t="shared" si="37"/>
        <v>144401633.75293505</v>
      </c>
      <c r="AL39" s="238">
        <f t="shared" si="37"/>
        <v>145609406.59937429</v>
      </c>
      <c r="AM39" s="238">
        <f t="shared" si="37"/>
        <v>145902095.53444874</v>
      </c>
    </row>
    <row r="40" spans="1:41" s="190" customFormat="1" ht="16.5" customHeight="1" x14ac:dyDescent="0.2">
      <c r="A40" s="243" t="s">
        <v>22</v>
      </c>
      <c r="B40" s="244" t="s">
        <v>122</v>
      </c>
      <c r="C40" s="245" t="e">
        <f t="shared" ref="C40:AM40" si="38">+C25+C38</f>
        <v>#REF!</v>
      </c>
      <c r="D40" s="245">
        <v>536042557</v>
      </c>
      <c r="E40" s="245">
        <v>1091426732</v>
      </c>
      <c r="F40" s="245">
        <f t="shared" si="38"/>
        <v>863612969</v>
      </c>
      <c r="G40" s="245">
        <f t="shared" si="38"/>
        <v>822675555</v>
      </c>
      <c r="H40" s="246">
        <f t="shared" si="38"/>
        <v>846197454</v>
      </c>
      <c r="I40" s="245">
        <f t="shared" si="38"/>
        <v>929222655</v>
      </c>
      <c r="J40" s="245">
        <f t="shared" si="38"/>
        <v>282524800</v>
      </c>
      <c r="K40" s="247">
        <f t="shared" si="34"/>
        <v>0.30404424437972832</v>
      </c>
      <c r="L40" s="248">
        <f t="shared" si="38"/>
        <v>793906546.7903676</v>
      </c>
      <c r="M40" s="245">
        <f t="shared" si="38"/>
        <v>632753328.97258878</v>
      </c>
      <c r="N40" s="245">
        <f t="shared" si="38"/>
        <v>486167349.84500068</v>
      </c>
      <c r="O40" s="245">
        <f t="shared" si="38"/>
        <v>475966944.82288712</v>
      </c>
      <c r="P40" s="249">
        <f t="shared" si="38"/>
        <v>439322732.45815766</v>
      </c>
      <c r="Q40" s="248">
        <f t="shared" si="38"/>
        <v>545280485.96024704</v>
      </c>
      <c r="R40" s="245">
        <f t="shared" si="38"/>
        <v>486151312.74282551</v>
      </c>
      <c r="S40" s="245">
        <f t="shared" si="38"/>
        <v>501041287.06290543</v>
      </c>
      <c r="T40" s="245">
        <f t="shared" si="38"/>
        <v>513491052.91892433</v>
      </c>
      <c r="U40" s="245">
        <f t="shared" si="38"/>
        <v>526239613.05428064</v>
      </c>
      <c r="V40" s="250">
        <f t="shared" si="38"/>
        <v>539294139.45095778</v>
      </c>
      <c r="W40" s="243" t="s">
        <v>22</v>
      </c>
      <c r="X40" s="244" t="s">
        <v>122</v>
      </c>
      <c r="Y40" s="245">
        <f t="shared" si="38"/>
        <v>552227329.004614</v>
      </c>
      <c r="Z40" s="245">
        <f t="shared" si="38"/>
        <v>568627218.07391405</v>
      </c>
      <c r="AA40" s="245">
        <f t="shared" si="38"/>
        <v>582034135.78828442</v>
      </c>
      <c r="AB40" s="245">
        <f t="shared" si="38"/>
        <v>595749411.43104482</v>
      </c>
      <c r="AC40" s="245">
        <f t="shared" si="38"/>
        <v>609780138.49540484</v>
      </c>
      <c r="AD40" s="245">
        <f t="shared" si="38"/>
        <v>623509510.89690459</v>
      </c>
      <c r="AE40" s="245">
        <f t="shared" si="38"/>
        <v>637540928.36397254</v>
      </c>
      <c r="AF40" s="245">
        <f t="shared" si="38"/>
        <v>651881037.33824801</v>
      </c>
      <c r="AG40" s="245">
        <f t="shared" si="38"/>
        <v>666536628.98741102</v>
      </c>
      <c r="AH40" s="245">
        <f t="shared" si="38"/>
        <v>681514643.53333378</v>
      </c>
      <c r="AI40" s="245">
        <f t="shared" si="38"/>
        <v>696126377.0984354</v>
      </c>
      <c r="AJ40" s="245">
        <f t="shared" si="38"/>
        <v>711044957.67319512</v>
      </c>
      <c r="AK40" s="245">
        <f t="shared" si="38"/>
        <v>729461915.97035468</v>
      </c>
      <c r="AL40" s="245">
        <f t="shared" si="38"/>
        <v>747318918.9711045</v>
      </c>
      <c r="AM40" s="245">
        <f t="shared" si="38"/>
        <v>765574052.51543963</v>
      </c>
    </row>
    <row r="41" spans="1:41" s="190" customFormat="1" ht="16.5" customHeight="1" x14ac:dyDescent="0.2">
      <c r="A41" s="251" t="s">
        <v>23</v>
      </c>
      <c r="B41" s="252" t="s">
        <v>123</v>
      </c>
      <c r="C41" s="253" t="e">
        <f t="shared" ref="C41:AM41" si="39">+C6-C40</f>
        <v>#REF!</v>
      </c>
      <c r="D41" s="253">
        <v>5018380</v>
      </c>
      <c r="E41" s="253">
        <v>-16312095</v>
      </c>
      <c r="F41" s="253">
        <f t="shared" si="39"/>
        <v>-132457926</v>
      </c>
      <c r="G41" s="253">
        <f t="shared" si="39"/>
        <v>-35993369</v>
      </c>
      <c r="H41" s="254">
        <f t="shared" si="39"/>
        <v>-63086216</v>
      </c>
      <c r="I41" s="253">
        <f t="shared" si="39"/>
        <v>-82136483</v>
      </c>
      <c r="J41" s="253">
        <f t="shared" si="39"/>
        <v>16061493</v>
      </c>
      <c r="K41" s="255">
        <f t="shared" si="34"/>
        <v>-0.19554639319046568</v>
      </c>
      <c r="L41" s="256">
        <f t="shared" si="39"/>
        <v>-111466120.7903676</v>
      </c>
      <c r="M41" s="253">
        <f t="shared" si="39"/>
        <v>-35801479.572588801</v>
      </c>
      <c r="N41" s="253">
        <f t="shared" si="39"/>
        <v>20350960.722599328</v>
      </c>
      <c r="O41" s="253">
        <f t="shared" si="39"/>
        <v>68303678.373092949</v>
      </c>
      <c r="P41" s="257">
        <f t="shared" si="39"/>
        <v>43320439.447621346</v>
      </c>
      <c r="Q41" s="256">
        <f t="shared" si="39"/>
        <v>-50571234.756823599</v>
      </c>
      <c r="R41" s="253">
        <f>+R6-R40+0.5</f>
        <v>20430960.989480078</v>
      </c>
      <c r="S41" s="253">
        <f t="shared" si="39"/>
        <v>17698960.726975441</v>
      </c>
      <c r="T41" s="253">
        <f t="shared" si="39"/>
        <v>17698960.817913711</v>
      </c>
      <c r="U41" s="253">
        <f t="shared" si="39"/>
        <v>17698961.012241602</v>
      </c>
      <c r="V41" s="257">
        <f>+V6-V40+0.5</f>
        <v>17698960.893160939</v>
      </c>
      <c r="W41" s="251" t="s">
        <v>23</v>
      </c>
      <c r="X41" s="252" t="s">
        <v>123</v>
      </c>
      <c r="Y41" s="253">
        <f t="shared" si="39"/>
        <v>17576612.135919333</v>
      </c>
      <c r="Z41" s="253">
        <f>+Z6-Z40-0.5</f>
        <v>14282213.212851524</v>
      </c>
      <c r="AA41" s="253">
        <f t="shared" si="39"/>
        <v>14282212.929576755</v>
      </c>
      <c r="AB41" s="253">
        <f t="shared" si="39"/>
        <v>14282213.307327151</v>
      </c>
      <c r="AC41" s="253">
        <f t="shared" si="39"/>
        <v>14282213.611949682</v>
      </c>
      <c r="AD41" s="253">
        <f t="shared" si="39"/>
        <v>14282212.956811786</v>
      </c>
      <c r="AE41" s="253">
        <f t="shared" si="39"/>
        <v>14282213.414525628</v>
      </c>
      <c r="AF41" s="253">
        <f>+AF6-AF40-0.5</f>
        <v>14282213.059377074</v>
      </c>
      <c r="AG41" s="253">
        <f t="shared" si="39"/>
        <v>14282213.429961801</v>
      </c>
      <c r="AH41" s="253">
        <f t="shared" si="39"/>
        <v>14282213.417221308</v>
      </c>
      <c r="AI41" s="253">
        <f>+AI6-AI40-0.5</f>
        <v>14282213.348081231</v>
      </c>
      <c r="AJ41" s="253">
        <f>+AJ6-AJ40-0.5</f>
        <v>14282213.183198333</v>
      </c>
      <c r="AK41" s="253">
        <f t="shared" si="39"/>
        <v>11097125.984522939</v>
      </c>
      <c r="AL41" s="253">
        <f>+AL6-AL40-0.5</f>
        <v>8791862.3648256063</v>
      </c>
      <c r="AM41" s="253">
        <f t="shared" si="39"/>
        <v>5658944.9572089911</v>
      </c>
      <c r="AO41" s="3"/>
    </row>
    <row r="42" spans="1:41" s="190" customFormat="1" ht="17.25" customHeight="1" x14ac:dyDescent="0.2">
      <c r="A42" s="229" t="s">
        <v>24</v>
      </c>
      <c r="B42" s="230" t="s">
        <v>82</v>
      </c>
      <c r="C42" s="231"/>
      <c r="D42" s="231">
        <v>84786863</v>
      </c>
      <c r="E42" s="231">
        <v>58755340</v>
      </c>
      <c r="F42" s="231">
        <f t="shared" ref="F42:M42" si="40">+F27+F16+F18</f>
        <v>138349926</v>
      </c>
      <c r="G42" s="231">
        <f t="shared" si="40"/>
        <v>99300163</v>
      </c>
      <c r="H42" s="232">
        <f t="shared" si="40"/>
        <v>77397464</v>
      </c>
      <c r="I42" s="231">
        <f t="shared" si="40"/>
        <v>96447731</v>
      </c>
      <c r="J42" s="231">
        <f t="shared" si="40"/>
        <v>50982213</v>
      </c>
      <c r="K42" s="258">
        <f t="shared" si="34"/>
        <v>0.52859940271689754</v>
      </c>
      <c r="L42" s="231">
        <f t="shared" si="40"/>
        <v>122783056</v>
      </c>
      <c r="M42" s="231">
        <f t="shared" si="40"/>
        <v>52061479</v>
      </c>
      <c r="N42" s="231">
        <f t="shared" ref="N42:V42" si="41">+N27+N16+N18</f>
        <v>0</v>
      </c>
      <c r="O42" s="231">
        <f t="shared" si="41"/>
        <v>0</v>
      </c>
      <c r="P42" s="235">
        <f t="shared" si="41"/>
        <v>47952717.515899986</v>
      </c>
      <c r="Q42" s="234">
        <f t="shared" si="41"/>
        <v>70922196.106328338</v>
      </c>
      <c r="R42" s="231">
        <f t="shared" si="41"/>
        <v>0.49231183528900146</v>
      </c>
      <c r="S42" s="231">
        <f t="shared" si="41"/>
        <v>0.12459895014762878</v>
      </c>
      <c r="T42" s="231">
        <f t="shared" si="41"/>
        <v>-5.6185871362686157E-3</v>
      </c>
      <c r="U42" s="231">
        <f t="shared" si="41"/>
        <v>-4.4897854328155518E-2</v>
      </c>
      <c r="V42" s="235">
        <f t="shared" si="41"/>
        <v>0.1101507693529129</v>
      </c>
      <c r="W42" s="229" t="s">
        <v>23</v>
      </c>
      <c r="X42" s="230" t="s">
        <v>82</v>
      </c>
      <c r="Y42" s="231">
        <f t="shared" ref="Y42:AM42" si="42">+Y27+Y16+Y18</f>
        <v>0</v>
      </c>
      <c r="Z42" s="231">
        <f t="shared" si="42"/>
        <v>0</v>
      </c>
      <c r="AA42" s="231">
        <f t="shared" si="42"/>
        <v>0</v>
      </c>
      <c r="AB42" s="231">
        <f t="shared" si="42"/>
        <v>0</v>
      </c>
      <c r="AC42" s="231">
        <f t="shared" si="42"/>
        <v>0</v>
      </c>
      <c r="AD42" s="231">
        <f t="shared" si="42"/>
        <v>0</v>
      </c>
      <c r="AE42" s="231">
        <f t="shared" si="42"/>
        <v>0</v>
      </c>
      <c r="AF42" s="231">
        <f t="shared" si="42"/>
        <v>0</v>
      </c>
      <c r="AG42" s="231">
        <f t="shared" si="42"/>
        <v>0</v>
      </c>
      <c r="AH42" s="231">
        <f t="shared" si="42"/>
        <v>0</v>
      </c>
      <c r="AI42" s="231">
        <f t="shared" si="42"/>
        <v>0</v>
      </c>
      <c r="AJ42" s="231">
        <f t="shared" si="42"/>
        <v>0</v>
      </c>
      <c r="AK42" s="231">
        <f t="shared" si="42"/>
        <v>0</v>
      </c>
      <c r="AL42" s="231">
        <f t="shared" si="42"/>
        <v>0</v>
      </c>
      <c r="AM42" s="231">
        <f t="shared" si="42"/>
        <v>0</v>
      </c>
    </row>
    <row r="43" spans="1:41" s="190" customFormat="1" ht="18" customHeight="1" thickBot="1" x14ac:dyDescent="0.25">
      <c r="A43" s="259" t="s">
        <v>25</v>
      </c>
      <c r="B43" s="260" t="s">
        <v>83</v>
      </c>
      <c r="C43" s="261" t="e">
        <f>+C21+C23</f>
        <v>#REF!</v>
      </c>
      <c r="D43" s="261">
        <v>57576604</v>
      </c>
      <c r="E43" s="261">
        <v>10005975</v>
      </c>
      <c r="F43" s="261">
        <f t="shared" ref="F43:T43" si="43">+F21+F23</f>
        <v>5892000</v>
      </c>
      <c r="G43" s="261">
        <f t="shared" si="43"/>
        <v>12324581</v>
      </c>
      <c r="H43" s="262">
        <f t="shared" si="43"/>
        <v>14311248</v>
      </c>
      <c r="I43" s="261">
        <f>+I21+I23</f>
        <v>14311248</v>
      </c>
      <c r="J43" s="261">
        <f>+J21+J23</f>
        <v>6437957</v>
      </c>
      <c r="K43" s="263">
        <f t="shared" si="34"/>
        <v>0.44985294084764654</v>
      </c>
      <c r="L43" s="264">
        <f t="shared" si="43"/>
        <v>11316935.477192983</v>
      </c>
      <c r="M43" s="261">
        <f t="shared" si="43"/>
        <v>16259999.757192982</v>
      </c>
      <c r="N43" s="261">
        <f t="shared" si="43"/>
        <v>20350960.857192982</v>
      </c>
      <c r="O43" s="261">
        <f t="shared" si="43"/>
        <v>20350960.857192982</v>
      </c>
      <c r="P43" s="265">
        <f t="shared" si="43"/>
        <v>20350960.857192982</v>
      </c>
      <c r="Q43" s="264">
        <f t="shared" si="43"/>
        <v>20350960.857192982</v>
      </c>
      <c r="R43" s="261">
        <f t="shared" si="43"/>
        <v>20430960.857192982</v>
      </c>
      <c r="S43" s="261">
        <f t="shared" si="43"/>
        <v>17698960.857192982</v>
      </c>
      <c r="T43" s="261">
        <f t="shared" si="43"/>
        <v>17698960.857192982</v>
      </c>
      <c r="U43" s="261">
        <f>+U21+U23</f>
        <v>17698960.857192982</v>
      </c>
      <c r="V43" s="265">
        <f>+V21+V23</f>
        <v>17698960.857192982</v>
      </c>
      <c r="W43" s="259" t="s">
        <v>24</v>
      </c>
      <c r="X43" s="260" t="s">
        <v>83</v>
      </c>
      <c r="Y43" s="261">
        <f t="shared" ref="Y43:AD43" si="44">+Y21+Y23</f>
        <v>17576612.457192983</v>
      </c>
      <c r="Z43" s="261">
        <f t="shared" si="44"/>
        <v>14282213.357192982</v>
      </c>
      <c r="AA43" s="261">
        <f t="shared" si="44"/>
        <v>14282213.357192982</v>
      </c>
      <c r="AB43" s="261">
        <f t="shared" si="44"/>
        <v>14282213.357192982</v>
      </c>
      <c r="AC43" s="261">
        <f t="shared" si="44"/>
        <v>14282213.357192982</v>
      </c>
      <c r="AD43" s="261">
        <f t="shared" si="44"/>
        <v>14282213.357192982</v>
      </c>
      <c r="AE43" s="261">
        <f t="shared" ref="AE43:AL43" si="45">+AE21+AE23</f>
        <v>14282213.357192982</v>
      </c>
      <c r="AF43" s="261">
        <f t="shared" si="45"/>
        <v>14282213.357192982</v>
      </c>
      <c r="AG43" s="261">
        <f t="shared" si="45"/>
        <v>14282213.357192982</v>
      </c>
      <c r="AH43" s="261">
        <f t="shared" si="45"/>
        <v>14282213.357192982</v>
      </c>
      <c r="AI43" s="261">
        <f t="shared" si="45"/>
        <v>14282213.357192982</v>
      </c>
      <c r="AJ43" s="261">
        <f t="shared" si="45"/>
        <v>14282213.357192982</v>
      </c>
      <c r="AK43" s="261">
        <f t="shared" si="45"/>
        <v>11097125.637894737</v>
      </c>
      <c r="AL43" s="261">
        <f t="shared" si="45"/>
        <v>8791862.4800000004</v>
      </c>
      <c r="AM43" s="261">
        <f>+AM21+AM23</f>
        <v>5658944.8799999999</v>
      </c>
      <c r="AO43" s="3"/>
    </row>
    <row r="44" spans="1:41" s="215" customFormat="1" ht="25.5" hidden="1" customHeight="1" x14ac:dyDescent="0.2">
      <c r="A44" s="266"/>
      <c r="B44" s="267"/>
      <c r="C44" s="268"/>
      <c r="D44" s="269">
        <f>+D42-D43</f>
        <v>27210259</v>
      </c>
      <c r="E44" s="269">
        <f>+E42-E43</f>
        <v>48749365</v>
      </c>
      <c r="F44" s="269">
        <f>+F42-F43</f>
        <v>132457926</v>
      </c>
      <c r="G44" s="269">
        <f t="shared" ref="G44:P44" si="46">+G42-G43</f>
        <v>86975582</v>
      </c>
      <c r="H44" s="269"/>
      <c r="I44" s="269">
        <f t="shared" si="46"/>
        <v>82136483</v>
      </c>
      <c r="J44" s="269"/>
      <c r="K44" s="269"/>
      <c r="L44" s="269">
        <f t="shared" si="46"/>
        <v>111466120.52280702</v>
      </c>
      <c r="M44" s="269">
        <f t="shared" si="46"/>
        <v>35801479.242807016</v>
      </c>
      <c r="N44" s="269">
        <f t="shared" si="46"/>
        <v>-20350960.857192982</v>
      </c>
      <c r="O44" s="269">
        <f t="shared" si="46"/>
        <v>-20350960.857192982</v>
      </c>
      <c r="P44" s="269">
        <f t="shared" si="46"/>
        <v>27601756.658707004</v>
      </c>
      <c r="Q44" s="269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</row>
    <row r="45" spans="1:41" s="215" customFormat="1" ht="25.5" hidden="1" customHeight="1" x14ac:dyDescent="0.2">
      <c r="A45" s="266"/>
      <c r="B45" s="267"/>
      <c r="C45" s="268"/>
      <c r="D45" s="268"/>
      <c r="E45" s="268"/>
      <c r="F45" s="270" t="s">
        <v>119</v>
      </c>
      <c r="G45" s="269">
        <f>+'[17]WPF wydatki 2011-2016'!J10</f>
        <v>792829053</v>
      </c>
      <c r="H45" s="269"/>
      <c r="I45" s="269">
        <f>+'[6]WPF wydatki 2011-2016'!J10</f>
        <v>937864723</v>
      </c>
      <c r="J45" s="269"/>
      <c r="K45" s="269"/>
      <c r="L45" s="269">
        <f>+'[6]WPF wydatki 2011-2016'!K10</f>
        <v>793906546.7903676</v>
      </c>
      <c r="M45" s="269">
        <f>+'[6]WPF wydatki 2011-2016'!L10</f>
        <v>632753328.97258878</v>
      </c>
      <c r="N45" s="269">
        <f>+'[6]WPF wydatki 2011-2016'!M10</f>
        <v>486167349.84500068</v>
      </c>
      <c r="O45" s="269">
        <f>+'[6]WPF wydatki 2011-2016'!N10</f>
        <v>475966944.82288712</v>
      </c>
      <c r="P45" s="269">
        <f>+'[6]WPF wydatki 2011-2016'!O10</f>
        <v>439322732.45815766</v>
      </c>
      <c r="Q45" s="269"/>
      <c r="R45" s="268"/>
      <c r="S45" s="268"/>
      <c r="T45" s="268"/>
      <c r="U45" s="268"/>
      <c r="AF45" s="271">
        <f t="shared" ref="AF45:AL45" si="47">+AF28+AF43</f>
        <v>14282213.559377078</v>
      </c>
      <c r="AG45" s="271">
        <f t="shared" si="47"/>
        <v>14282213.429961804</v>
      </c>
      <c r="AH45" s="271">
        <f t="shared" si="47"/>
        <v>14282213.417221311</v>
      </c>
      <c r="AI45" s="271">
        <f t="shared" si="47"/>
        <v>14282213.848081265</v>
      </c>
      <c r="AJ45" s="271">
        <f t="shared" si="47"/>
        <v>14282213.683198277</v>
      </c>
      <c r="AK45" s="271">
        <f t="shared" si="47"/>
        <v>11097125.984522896</v>
      </c>
      <c r="AL45" s="271">
        <f t="shared" si="47"/>
        <v>8791862.8648256175</v>
      </c>
      <c r="AM45" s="271">
        <f>+AM28+AM43</f>
        <v>5658944.9572089361</v>
      </c>
    </row>
    <row r="46" spans="1:41" s="215" customFormat="1" ht="25.5" hidden="1" customHeight="1" x14ac:dyDescent="0.2">
      <c r="A46" s="266"/>
      <c r="B46" s="267"/>
      <c r="C46" s="268"/>
      <c r="D46" s="268"/>
      <c r="E46" s="268"/>
      <c r="F46" s="268"/>
      <c r="G46" s="272">
        <f t="shared" ref="G46:P46" si="48">+G40-G45</f>
        <v>29846502</v>
      </c>
      <c r="H46" s="272"/>
      <c r="I46" s="272">
        <f t="shared" si="48"/>
        <v>-8642068</v>
      </c>
      <c r="J46" s="272"/>
      <c r="K46" s="272"/>
      <c r="L46" s="272">
        <f t="shared" si="48"/>
        <v>0</v>
      </c>
      <c r="M46" s="272">
        <f t="shared" si="48"/>
        <v>0</v>
      </c>
      <c r="N46" s="272">
        <f t="shared" si="48"/>
        <v>0</v>
      </c>
      <c r="O46" s="272">
        <f t="shared" si="48"/>
        <v>0</v>
      </c>
      <c r="P46" s="272">
        <f t="shared" si="48"/>
        <v>0</v>
      </c>
      <c r="Q46" s="268"/>
      <c r="R46" s="268"/>
      <c r="S46" s="268"/>
      <c r="T46" s="268"/>
      <c r="U46" s="268"/>
    </row>
    <row r="47" spans="1:41" s="215" customFormat="1" ht="11.25" hidden="1" customHeight="1" x14ac:dyDescent="0.2">
      <c r="A47" s="266"/>
      <c r="B47" s="273"/>
      <c r="C47" s="268"/>
      <c r="D47" s="268"/>
      <c r="E47" s="268"/>
      <c r="F47" s="269">
        <f>+F31+I31+L31+M31</f>
        <v>122660217</v>
      </c>
      <c r="G47" s="269"/>
      <c r="H47" s="269"/>
      <c r="I47" s="268"/>
      <c r="J47" s="268"/>
      <c r="K47" s="268"/>
      <c r="L47" s="274"/>
      <c r="M47" s="268"/>
      <c r="N47" s="268"/>
      <c r="O47" s="268"/>
      <c r="P47" s="268"/>
      <c r="Q47" s="268"/>
      <c r="R47" s="268"/>
      <c r="S47" s="268"/>
      <c r="T47" s="268"/>
      <c r="U47" s="268"/>
    </row>
    <row r="48" spans="1:41" s="215" customFormat="1" ht="27" hidden="1" customHeight="1" x14ac:dyDescent="0.2">
      <c r="A48" s="266"/>
      <c r="B48" s="273"/>
      <c r="C48" s="268"/>
      <c r="D48" s="268"/>
      <c r="E48" s="268"/>
      <c r="F48" s="269">
        <f>+F16+F27</f>
        <v>138349926</v>
      </c>
      <c r="G48" s="269"/>
      <c r="H48" s="269"/>
      <c r="I48" s="269"/>
      <c r="J48" s="269"/>
      <c r="K48" s="269"/>
      <c r="L48" s="275"/>
      <c r="M48" s="269"/>
      <c r="N48" s="269"/>
      <c r="O48" s="269"/>
      <c r="P48" s="269"/>
      <c r="Q48" s="269"/>
      <c r="R48" s="269"/>
      <c r="S48" s="269"/>
      <c r="T48" s="269"/>
      <c r="U48" s="268"/>
      <c r="AL48" s="271">
        <f>+AL45-AK30</f>
        <v>8791862.8648256175</v>
      </c>
    </row>
    <row r="49" spans="1:38" s="277" customFormat="1" hidden="1" x14ac:dyDescent="0.2">
      <c r="A49" s="276"/>
      <c r="L49" s="278">
        <f>+L41+L42-L43</f>
        <v>-0.26756058633327484</v>
      </c>
      <c r="M49" s="278">
        <f>+M41+M42-M43</f>
        <v>-0.3297817837446928</v>
      </c>
      <c r="N49" s="278">
        <f>+N41+N42-N43</f>
        <v>-0.1345936544239521</v>
      </c>
      <c r="O49" s="278">
        <f t="shared" ref="O49:T49" si="49">+O41+O42-O43</f>
        <v>47952717.515899971</v>
      </c>
      <c r="P49" s="278">
        <f t="shared" si="49"/>
        <v>70922196.106328353</v>
      </c>
      <c r="Q49" s="278">
        <f t="shared" si="49"/>
        <v>0.4923117570579052</v>
      </c>
      <c r="R49" s="278">
        <f t="shared" si="49"/>
        <v>0.62459893152117729</v>
      </c>
      <c r="S49" s="278">
        <f t="shared" si="49"/>
        <v>-5.6185908615589142E-3</v>
      </c>
      <c r="T49" s="278">
        <f t="shared" si="49"/>
        <v>-4.4897858053445816E-2</v>
      </c>
      <c r="AL49" s="278">
        <f>+AL48-AL29</f>
        <v>-70132163.681840867</v>
      </c>
    </row>
    <row r="50" spans="1:38" hidden="1" x14ac:dyDescent="0.2">
      <c r="I50" s="3"/>
      <c r="J50" s="3"/>
      <c r="K50" s="3"/>
      <c r="L50" s="275"/>
      <c r="P50" s="3"/>
      <c r="Q50" s="3"/>
    </row>
    <row r="51" spans="1:38" hidden="1" x14ac:dyDescent="0.2">
      <c r="I51" s="3">
        <f>+G31+I31+L31+M31</f>
        <v>92083559</v>
      </c>
      <c r="J51" s="3"/>
      <c r="K51" s="3"/>
      <c r="L51" s="275"/>
      <c r="P51" s="3"/>
    </row>
    <row r="52" spans="1:38" x14ac:dyDescent="0.2">
      <c r="L52" s="275"/>
    </row>
    <row r="53" spans="1:38" x14ac:dyDescent="0.2">
      <c r="B53" s="190" t="s">
        <v>128</v>
      </c>
      <c r="C53" s="279">
        <f t="shared" ref="C53:P53" si="50">+C39/C22</f>
        <v>0</v>
      </c>
      <c r="D53" s="279">
        <f t="shared" si="50"/>
        <v>112.72941574123514</v>
      </c>
      <c r="E53" s="279">
        <f t="shared" si="50"/>
        <v>69.576390540271206</v>
      </c>
      <c r="F53" s="279">
        <f t="shared" si="50"/>
        <v>3.3362902684563758</v>
      </c>
      <c r="G53" s="279">
        <f t="shared" si="50"/>
        <v>5.0015037663840385</v>
      </c>
      <c r="H53" s="279">
        <f t="shared" si="50"/>
        <v>2.8082587417218545</v>
      </c>
      <c r="I53" s="279">
        <f t="shared" si="50"/>
        <v>2.2325868936870972</v>
      </c>
      <c r="J53" s="279">
        <f t="shared" si="50"/>
        <v>5.5453938988591176</v>
      </c>
      <c r="K53" s="279"/>
      <c r="L53" s="279">
        <f t="shared" si="50"/>
        <v>2.63768399527713</v>
      </c>
      <c r="M53" s="279">
        <f t="shared" si="50"/>
        <v>2.8526004624318393</v>
      </c>
      <c r="N53" s="279">
        <f t="shared" si="50"/>
        <v>3.8348909381434981</v>
      </c>
      <c r="O53" s="279">
        <f t="shared" si="50"/>
        <v>5.2172878395368167</v>
      </c>
      <c r="P53" s="279">
        <f t="shared" si="50"/>
        <v>5.6270971990042398</v>
      </c>
    </row>
  </sheetData>
  <mergeCells count="3">
    <mergeCell ref="Y2:AM2"/>
    <mergeCell ref="A2:V2"/>
    <mergeCell ref="J1:K1"/>
  </mergeCells>
  <phoneticPr fontId="2" type="noConversion"/>
  <printOptions horizontalCentered="1" verticalCentered="1"/>
  <pageMargins left="0.31496062992125984" right="0.15748031496062992" top="0.39370078740157483" bottom="0.31496062992125984" header="0.15748031496062992" footer="0.15748031496062992"/>
  <pageSetup paperSize="9" scale="75" firstPageNumber="13" orientation="portrait" useFirstPageNumber="1" r:id="rId1"/>
  <headerFooter alignWithMargins="0">
    <oddHeader>&amp;C&amp;"Arial CE,Kursywa"&amp;11Informacja o kształtowaniu się Wieloletaniej prognozy finansowej Województwa Zachodniopomorskiego na lata  2013-2036 
w I półroczu 2013 r.&amp;"Arial CE,Standardowy"&amp;10
__________________________________________________________________</oddHead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1 prognoza</vt:lpstr>
      <vt:lpstr>'zał. 1 prognoza'!Obszar_wydruku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Sejmik Samorządowy</dc:creator>
  <cp:lastModifiedBy>Monika Tomaszewska</cp:lastModifiedBy>
  <cp:lastPrinted>2013-08-19T06:12:34Z</cp:lastPrinted>
  <dcterms:created xsi:type="dcterms:W3CDTF">2002-06-19T09:34:27Z</dcterms:created>
  <dcterms:modified xsi:type="dcterms:W3CDTF">2013-08-19T08:26:53Z</dcterms:modified>
</cp:coreProperties>
</file>