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" windowWidth="19230" windowHeight="12090" tabRatio="976"/>
  </bookViews>
  <sheets>
    <sheet name="zał. nr 2" sheetId="1" r:id="rId1"/>
    <sheet name="Drogi" sheetId="2" r:id="rId2"/>
    <sheet name="Polityka społeczna i rozwój prz" sheetId="3" r:id="rId3"/>
    <sheet name="Ochrona zdrowia" sheetId="4" r:id="rId4"/>
    <sheet name="Oświata" sheetId="5" r:id="rId5"/>
    <sheet name="Administracja" sheetId="6" r:id="rId6"/>
    <sheet name="Kultura" sheetId="7" r:id="rId7"/>
    <sheet name="Rolnictwo i Ochrona środowiska" sheetId="8" r:id="rId8"/>
    <sheet name="Kultura fizyczna i turystyka" sheetId="9" r:id="rId9"/>
    <sheet name="Planowanie przestrzenne" sheetId="10" r:id="rId10"/>
    <sheet name="Arkusz1" sheetId="14" r:id="rId11"/>
  </sheets>
  <definedNames>
    <definedName name="_xlnm._FilterDatabase" localSheetId="1" hidden="1">Drogi!$A$9:$DT$510</definedName>
    <definedName name="_xlnm._FilterDatabase" localSheetId="7" hidden="1">'Rolnictwo i Ochrona środowiska'!$A$3:$N$156</definedName>
    <definedName name="_xlnm.Print_Area" localSheetId="5">Administracja!$A$1:$N$136</definedName>
    <definedName name="_xlnm.Print_Area" localSheetId="1">Drogi!$A$1:$N$562</definedName>
    <definedName name="_xlnm.Print_Area" localSheetId="6">Kultura!$A$1:$N$85</definedName>
    <definedName name="_xlnm.Print_Area" localSheetId="8">'Kultura fizyczna i turystyka'!$A$1:$N$71</definedName>
    <definedName name="_xlnm.Print_Area" localSheetId="3">'Ochrona zdrowia'!$A$1:$N$75</definedName>
    <definedName name="_xlnm.Print_Area" localSheetId="4">Oświata!$A$1:$N$80</definedName>
    <definedName name="_xlnm.Print_Area" localSheetId="9">'Planowanie przestrzenne'!$A$1:$N$30</definedName>
    <definedName name="_xlnm.Print_Area" localSheetId="2">'Polityka społeczna i rozwój prz'!$A$1:$N$202</definedName>
    <definedName name="_xlnm.Print_Area" localSheetId="7">'Rolnictwo i Ochrona środowiska'!$A$1:$N$256</definedName>
    <definedName name="_xlnm.Print_Area" localSheetId="0">'zał. nr 2'!$A$1:$L$80</definedName>
    <definedName name="_xlnm.Print_Titles" localSheetId="5">Administracja!$5:$9</definedName>
    <definedName name="_xlnm.Print_Titles" localSheetId="1">Drogi!$6:$10</definedName>
    <definedName name="_xlnm.Print_Titles" localSheetId="6">Kultura!$4:$8</definedName>
    <definedName name="_xlnm.Print_Titles" localSheetId="8">'Kultura fizyczna i turystyka'!$6:$10</definedName>
    <definedName name="_xlnm.Print_Titles" localSheetId="3">'Ochrona zdrowia'!$4:$8</definedName>
    <definedName name="_xlnm.Print_Titles" localSheetId="4">Oświata!$6:$9</definedName>
    <definedName name="_xlnm.Print_Titles" localSheetId="9">'Planowanie przestrzenne'!$6:$10</definedName>
    <definedName name="_xlnm.Print_Titles" localSheetId="2">'Polityka społeczna i rozwój prz'!$4:$8</definedName>
    <definedName name="_xlnm.Print_Titles" localSheetId="7">'Rolnictwo i Ochrona środowiska'!$4:$8</definedName>
  </definedNames>
  <calcPr calcId="145621"/>
</workbook>
</file>

<file path=xl/calcChain.xml><?xml version="1.0" encoding="utf-8"?>
<calcChain xmlns="http://schemas.openxmlformats.org/spreadsheetml/2006/main">
  <c r="D84" i="6" l="1"/>
  <c r="I506" i="2" l="1"/>
  <c r="F505" i="2" l="1"/>
  <c r="F504" i="2"/>
  <c r="E504" i="2"/>
  <c r="F472" i="2"/>
  <c r="I92" i="6" l="1"/>
  <c r="I90" i="6"/>
  <c r="I87" i="6"/>
  <c r="I85" i="6"/>
  <c r="L43" i="8" l="1"/>
  <c r="L45" i="8"/>
  <c r="L45" i="7"/>
  <c r="L47" i="6"/>
  <c r="L45" i="4"/>
  <c r="L44" i="4"/>
  <c r="L47" i="3"/>
  <c r="L47" i="7"/>
  <c r="H47" i="5" l="1"/>
  <c r="G47" i="5"/>
  <c r="G10" i="4"/>
  <c r="E10" i="4"/>
  <c r="F10" i="4"/>
  <c r="G20" i="5" l="1"/>
  <c r="K20" i="5"/>
  <c r="L106" i="3" l="1"/>
  <c r="L104" i="3"/>
  <c r="M70" i="5" l="1"/>
  <c r="M67" i="5"/>
  <c r="E50" i="4" l="1"/>
  <c r="F50" i="4"/>
  <c r="F52" i="4"/>
  <c r="I136" i="6" l="1"/>
  <c r="K14" i="7" l="1"/>
  <c r="H14" i="7"/>
  <c r="G14" i="7"/>
  <c r="F14" i="7"/>
  <c r="M35" i="7"/>
  <c r="D41" i="7"/>
  <c r="D43" i="7"/>
  <c r="M26" i="7"/>
  <c r="K165" i="3" l="1"/>
  <c r="K162" i="3" s="1"/>
  <c r="K157" i="3"/>
  <c r="K160" i="3"/>
  <c r="K97" i="3"/>
  <c r="K156" i="3" l="1"/>
  <c r="I64" i="3"/>
  <c r="I66" i="3"/>
  <c r="I71" i="3"/>
  <c r="M83" i="3" l="1"/>
  <c r="M81" i="3"/>
  <c r="M78" i="3"/>
  <c r="M76" i="3"/>
  <c r="M71" i="3"/>
  <c r="M69" i="3"/>
  <c r="M66" i="3"/>
  <c r="M64" i="3"/>
  <c r="M69" i="4"/>
  <c r="M73" i="4"/>
  <c r="K63" i="4"/>
  <c r="M63" i="4" s="1"/>
  <c r="I63" i="4"/>
  <c r="M64" i="4"/>
  <c r="M59" i="4"/>
  <c r="M58" i="4"/>
  <c r="M53" i="4"/>
  <c r="M52" i="4"/>
  <c r="M51" i="4"/>
  <c r="M50" i="4"/>
  <c r="M46" i="4"/>
  <c r="M43" i="4"/>
  <c r="M41" i="4"/>
  <c r="M40" i="4"/>
  <c r="M36" i="4"/>
  <c r="M33" i="4"/>
  <c r="M31" i="4"/>
  <c r="M30" i="4"/>
  <c r="L74" i="6" l="1"/>
  <c r="L71" i="6"/>
  <c r="H81" i="6" l="1"/>
  <c r="E81" i="6"/>
  <c r="I81" i="6" s="1"/>
  <c r="H78" i="6"/>
  <c r="E78" i="6"/>
  <c r="H74" i="6"/>
  <c r="E74" i="6"/>
  <c r="H71" i="6"/>
  <c r="E71" i="6"/>
  <c r="I185" i="3"/>
  <c r="E173" i="3"/>
  <c r="M170" i="3"/>
  <c r="M171" i="3"/>
  <c r="M173" i="3"/>
  <c r="M176" i="3"/>
  <c r="M178" i="3"/>
  <c r="M182" i="3"/>
  <c r="M183" i="3"/>
  <c r="M185" i="3"/>
  <c r="M188" i="3"/>
  <c r="M190" i="3"/>
  <c r="M194" i="3"/>
  <c r="M195" i="3"/>
  <c r="M197" i="3"/>
  <c r="M200" i="3"/>
  <c r="M202" i="3"/>
  <c r="I486" i="2"/>
  <c r="I439" i="2"/>
  <c r="I323" i="2"/>
  <c r="K288" i="2"/>
  <c r="M67" i="2"/>
  <c r="M68" i="2"/>
  <c r="M69" i="2"/>
  <c r="M71" i="2"/>
  <c r="M72" i="2"/>
  <c r="M75" i="2"/>
  <c r="M76" i="2"/>
  <c r="M78" i="2"/>
  <c r="M79" i="2"/>
  <c r="M83" i="2"/>
  <c r="M84" i="2"/>
  <c r="M86" i="2"/>
  <c r="M87" i="2"/>
  <c r="M90" i="2"/>
  <c r="M92" i="2"/>
  <c r="M93" i="2"/>
  <c r="M97" i="2"/>
  <c r="M98" i="2"/>
  <c r="M99" i="2"/>
  <c r="M101" i="2"/>
  <c r="M102" i="2"/>
  <c r="M105" i="2"/>
  <c r="M106" i="2"/>
  <c r="M108" i="2"/>
  <c r="M109" i="2"/>
  <c r="M113" i="2"/>
  <c r="M114" i="2"/>
  <c r="M115" i="2"/>
  <c r="M117" i="2"/>
  <c r="M118" i="2"/>
  <c r="M121" i="2"/>
  <c r="M122" i="2"/>
  <c r="M124" i="2"/>
  <c r="M125" i="2"/>
  <c r="M129" i="2"/>
  <c r="M130" i="2"/>
  <c r="M132" i="2"/>
  <c r="M133" i="2"/>
  <c r="M136" i="2"/>
  <c r="M138" i="2"/>
  <c r="M139" i="2"/>
  <c r="M143" i="2"/>
  <c r="M144" i="2"/>
  <c r="M146" i="2"/>
  <c r="M149" i="2"/>
  <c r="M151" i="2"/>
  <c r="M155" i="2"/>
  <c r="M157" i="2"/>
  <c r="M160" i="2"/>
  <c r="M164" i="2"/>
  <c r="M165" i="2"/>
  <c r="M167" i="2"/>
  <c r="M170" i="2"/>
  <c r="M172" i="2"/>
  <c r="M176" i="2"/>
  <c r="M178" i="2"/>
  <c r="M181" i="2"/>
  <c r="M185" i="2"/>
  <c r="M187" i="2"/>
  <c r="M190" i="2"/>
  <c r="M194" i="2"/>
  <c r="M195" i="2"/>
  <c r="M197" i="2"/>
  <c r="M200" i="2"/>
  <c r="M202" i="2"/>
  <c r="M206" i="2"/>
  <c r="M207" i="2"/>
  <c r="M209" i="2"/>
  <c r="M212" i="2"/>
  <c r="M214" i="2"/>
  <c r="M218" i="2"/>
  <c r="M220" i="2"/>
  <c r="M223" i="2"/>
  <c r="M227" i="2"/>
  <c r="M228" i="2"/>
  <c r="M230" i="2"/>
  <c r="M233" i="2"/>
  <c r="M235" i="2"/>
  <c r="M239" i="2"/>
  <c r="M241" i="2"/>
  <c r="M244" i="2"/>
  <c r="M248" i="2"/>
  <c r="M249" i="2"/>
  <c r="M251" i="2"/>
  <c r="M254" i="2"/>
  <c r="M256" i="2"/>
  <c r="M260" i="2"/>
  <c r="M262" i="2"/>
  <c r="M265" i="2"/>
  <c r="M269" i="2"/>
  <c r="M271" i="2"/>
  <c r="M274" i="2"/>
  <c r="M278" i="2"/>
  <c r="M280" i="2"/>
  <c r="M283" i="2"/>
  <c r="M287" i="2"/>
  <c r="M289" i="2"/>
  <c r="M292" i="2"/>
  <c r="M296" i="2"/>
  <c r="M298" i="2"/>
  <c r="M301" i="2"/>
  <c r="M305" i="2"/>
  <c r="M307" i="2"/>
  <c r="M310" i="2"/>
  <c r="M314" i="2"/>
  <c r="M316" i="2"/>
  <c r="M319" i="2"/>
  <c r="M323" i="2"/>
  <c r="M325" i="2"/>
  <c r="M328" i="2"/>
  <c r="M332" i="2"/>
  <c r="M334" i="2"/>
  <c r="M337" i="2"/>
  <c r="M341" i="2"/>
  <c r="M343" i="2"/>
  <c r="M346" i="2"/>
  <c r="M350" i="2"/>
  <c r="M351" i="2"/>
  <c r="M353" i="2"/>
  <c r="M356" i="2"/>
  <c r="M358" i="2"/>
  <c r="M362" i="2"/>
  <c r="M365" i="2"/>
  <c r="M375" i="2"/>
  <c r="M376" i="2"/>
  <c r="M377" i="2"/>
  <c r="M378" i="2"/>
  <c r="M379" i="2"/>
  <c r="M380" i="2"/>
  <c r="M381" i="2"/>
  <c r="M382" i="2"/>
  <c r="M383" i="2"/>
  <c r="M387" i="2"/>
  <c r="M389" i="2"/>
  <c r="M392" i="2"/>
  <c r="M396" i="2"/>
  <c r="M398" i="2"/>
  <c r="M401" i="2"/>
  <c r="M405" i="2"/>
  <c r="M407" i="2"/>
  <c r="M410" i="2"/>
  <c r="M411" i="2"/>
  <c r="M412" i="2"/>
  <c r="M413" i="2"/>
  <c r="M414" i="2"/>
  <c r="M415" i="2"/>
  <c r="M416" i="2"/>
  <c r="M417" i="2"/>
  <c r="M418" i="2"/>
  <c r="M419" i="2"/>
  <c r="M437" i="2"/>
  <c r="M438" i="2"/>
  <c r="M439" i="2"/>
  <c r="M441" i="2"/>
  <c r="M444" i="2"/>
  <c r="M445" i="2"/>
  <c r="M447" i="2"/>
  <c r="M460" i="2"/>
  <c r="M462" i="2"/>
  <c r="M465" i="2"/>
  <c r="M484" i="2"/>
  <c r="M485" i="2"/>
  <c r="M486" i="2"/>
  <c r="M489" i="2"/>
  <c r="M490" i="2"/>
  <c r="M494" i="2"/>
  <c r="M498" i="2"/>
  <c r="M499" i="2"/>
  <c r="M502" i="2"/>
  <c r="M506" i="2"/>
  <c r="M510" i="2"/>
  <c r="M514" i="2"/>
  <c r="M518" i="2"/>
  <c r="M519" i="2"/>
  <c r="M522" i="2"/>
  <c r="M526" i="2"/>
  <c r="M530" i="2"/>
  <c r="M531" i="2"/>
  <c r="M534" i="2"/>
  <c r="M538" i="2"/>
  <c r="M542" i="2"/>
  <c r="M543" i="2"/>
  <c r="M546" i="2"/>
  <c r="M550" i="2"/>
  <c r="M554" i="2"/>
  <c r="M558" i="2"/>
  <c r="M562" i="2"/>
  <c r="M53" i="2"/>
  <c r="M54" i="2"/>
  <c r="M56" i="2"/>
  <c r="M57" i="2"/>
  <c r="M60" i="2"/>
  <c r="M62" i="2"/>
  <c r="M63" i="2"/>
  <c r="I53" i="2"/>
  <c r="K472" i="2"/>
  <c r="G472" i="2"/>
  <c r="H562" i="2"/>
  <c r="L562" i="2"/>
  <c r="I562" i="2"/>
  <c r="I561" i="2" s="1"/>
  <c r="K561" i="2"/>
  <c r="K560" i="2" s="1"/>
  <c r="M560" i="2" s="1"/>
  <c r="G561" i="2"/>
  <c r="G560" i="2" s="1"/>
  <c r="F561" i="2"/>
  <c r="F560" i="2" s="1"/>
  <c r="E561" i="2"/>
  <c r="E560" i="2"/>
  <c r="H554" i="2"/>
  <c r="I546" i="2"/>
  <c r="I542" i="2"/>
  <c r="G541" i="2"/>
  <c r="K474" i="2"/>
  <c r="K479" i="2"/>
  <c r="F474" i="2"/>
  <c r="G474" i="2"/>
  <c r="H474" i="2"/>
  <c r="F479" i="2"/>
  <c r="G479" i="2"/>
  <c r="H479" i="2"/>
  <c r="L543" i="2"/>
  <c r="L546" i="2"/>
  <c r="D546" i="2"/>
  <c r="K545" i="2"/>
  <c r="H545" i="2"/>
  <c r="H544" i="2" s="1"/>
  <c r="G545" i="2"/>
  <c r="F545" i="2"/>
  <c r="F544" i="2" s="1"/>
  <c r="E545" i="2"/>
  <c r="K544" i="2"/>
  <c r="G544" i="2"/>
  <c r="E544" i="2"/>
  <c r="I543" i="2"/>
  <c r="D543" i="2"/>
  <c r="J543" i="2" s="1"/>
  <c r="H506" i="2"/>
  <c r="D506" i="2" s="1"/>
  <c r="E502" i="2"/>
  <c r="I502" i="2" s="1"/>
  <c r="E494" i="2"/>
  <c r="M545" i="2" l="1"/>
  <c r="M544" i="2"/>
  <c r="M474" i="2"/>
  <c r="M479" i="2"/>
  <c r="E479" i="2"/>
  <c r="E501" i="2"/>
  <c r="E500" i="2" s="1"/>
  <c r="M561" i="2"/>
  <c r="J546" i="2"/>
  <c r="D562" i="2"/>
  <c r="D561" i="2" s="1"/>
  <c r="D560" i="2" s="1"/>
  <c r="H561" i="2"/>
  <c r="H560" i="2" s="1"/>
  <c r="L544" i="2"/>
  <c r="M472" i="2"/>
  <c r="J561" i="2"/>
  <c r="I560" i="2"/>
  <c r="J560" i="2" s="1"/>
  <c r="J562" i="2"/>
  <c r="L560" i="2"/>
  <c r="L561" i="2"/>
  <c r="D545" i="2"/>
  <c r="L545" i="2"/>
  <c r="I545" i="2"/>
  <c r="M41" i="5"/>
  <c r="F52" i="5"/>
  <c r="K46" i="5"/>
  <c r="E46" i="5"/>
  <c r="F46" i="5"/>
  <c r="G46" i="5"/>
  <c r="H46" i="5"/>
  <c r="M80" i="5"/>
  <c r="L80" i="5"/>
  <c r="I80" i="5"/>
  <c r="D80" i="5"/>
  <c r="K79" i="5"/>
  <c r="H79" i="5"/>
  <c r="G79" i="5"/>
  <c r="F79" i="5"/>
  <c r="E79" i="5"/>
  <c r="D79" i="5"/>
  <c r="K78" i="5"/>
  <c r="H78" i="5"/>
  <c r="G78" i="5"/>
  <c r="L78" i="5" s="1"/>
  <c r="F78" i="5"/>
  <c r="E78" i="5"/>
  <c r="D78" i="5"/>
  <c r="M68" i="5"/>
  <c r="M30" i="10"/>
  <c r="M27" i="10"/>
  <c r="M25" i="10"/>
  <c r="L25" i="10"/>
  <c r="L27" i="10"/>
  <c r="L30" i="10"/>
  <c r="L46" i="5" l="1"/>
  <c r="I78" i="5"/>
  <c r="I79" i="5"/>
  <c r="J79" i="5" s="1"/>
  <c r="D544" i="2"/>
  <c r="J545" i="2"/>
  <c r="I544" i="2"/>
  <c r="J78" i="5"/>
  <c r="J80" i="5"/>
  <c r="M78" i="5"/>
  <c r="L79" i="5"/>
  <c r="M79" i="5"/>
  <c r="F62" i="4"/>
  <c r="G62" i="4"/>
  <c r="E63" i="4"/>
  <c r="E62" i="4" s="1"/>
  <c r="F67" i="4"/>
  <c r="F15" i="4" s="1"/>
  <c r="G67" i="4"/>
  <c r="E68" i="4"/>
  <c r="E67" i="4" s="1"/>
  <c r="K62" i="4"/>
  <c r="M62" i="4" s="1"/>
  <c r="H64" i="4"/>
  <c r="I64" i="4"/>
  <c r="I62" i="4" s="1"/>
  <c r="E46" i="4"/>
  <c r="E45" i="4" s="1"/>
  <c r="E44" i="4" s="1"/>
  <c r="G45" i="4"/>
  <c r="G44" i="4" s="1"/>
  <c r="F45" i="4"/>
  <c r="F44" i="4" s="1"/>
  <c r="E43" i="4"/>
  <c r="E42" i="4" s="1"/>
  <c r="G42" i="4"/>
  <c r="F42" i="4"/>
  <c r="E41" i="4"/>
  <c r="E40" i="4"/>
  <c r="G39" i="4"/>
  <c r="G38" i="4" s="1"/>
  <c r="F39" i="4"/>
  <c r="E39" i="4"/>
  <c r="F38" i="4" l="1"/>
  <c r="D63" i="4"/>
  <c r="J63" i="4" s="1"/>
  <c r="E38" i="4"/>
  <c r="J544" i="2"/>
  <c r="D68" i="4"/>
  <c r="H62" i="4"/>
  <c r="E30" i="4"/>
  <c r="L69" i="4" l="1"/>
  <c r="L64" i="4"/>
  <c r="L59" i="4"/>
  <c r="L58" i="4"/>
  <c r="L55" i="4"/>
  <c r="L54" i="4"/>
  <c r="L53" i="4"/>
  <c r="L52" i="4"/>
  <c r="L51" i="4"/>
  <c r="L50" i="4"/>
  <c r="L41" i="4"/>
  <c r="L36" i="4"/>
  <c r="L33" i="4"/>
  <c r="L31" i="4"/>
  <c r="L30" i="4"/>
  <c r="L202" i="3"/>
  <c r="L197" i="3"/>
  <c r="L190" i="3"/>
  <c r="L185" i="3"/>
  <c r="L178" i="3"/>
  <c r="L176" i="3"/>
  <c r="L173" i="3"/>
  <c r="L171" i="3"/>
  <c r="L83" i="3"/>
  <c r="L81" i="3"/>
  <c r="L78" i="3"/>
  <c r="L76" i="3"/>
  <c r="L71" i="3"/>
  <c r="L69" i="3"/>
  <c r="L66" i="3"/>
  <c r="L64" i="3"/>
  <c r="K21" i="9" l="1"/>
  <c r="E21" i="9"/>
  <c r="F21" i="9"/>
  <c r="G21" i="9"/>
  <c r="I46" i="9"/>
  <c r="M22" i="9"/>
  <c r="M25" i="9"/>
  <c r="M27" i="9"/>
  <c r="M30" i="9"/>
  <c r="M34" i="9"/>
  <c r="M36" i="9"/>
  <c r="M39" i="9"/>
  <c r="M40" i="9"/>
  <c r="M43" i="9"/>
  <c r="M46" i="9"/>
  <c r="M50" i="9"/>
  <c r="M53" i="9"/>
  <c r="M57" i="9"/>
  <c r="M60" i="9"/>
  <c r="L57" i="9"/>
  <c r="L60" i="9"/>
  <c r="I57" i="9"/>
  <c r="I56" i="9" s="1"/>
  <c r="I55" i="9" s="1"/>
  <c r="I60" i="9"/>
  <c r="D60" i="9"/>
  <c r="H59" i="9"/>
  <c r="G59" i="9"/>
  <c r="F59" i="9"/>
  <c r="E59" i="9"/>
  <c r="H58" i="9"/>
  <c r="G58" i="9"/>
  <c r="F58" i="9"/>
  <c r="E58" i="9"/>
  <c r="H53" i="9"/>
  <c r="H46" i="9"/>
  <c r="I34" i="9"/>
  <c r="I27" i="9"/>
  <c r="I25" i="9"/>
  <c r="I53" i="9"/>
  <c r="I50" i="9"/>
  <c r="I49" i="9" s="1"/>
  <c r="I48" i="9" s="1"/>
  <c r="I43" i="9"/>
  <c r="I42" i="9" s="1"/>
  <c r="I41" i="9" s="1"/>
  <c r="I39" i="9"/>
  <c r="I36" i="9"/>
  <c r="I30" i="9"/>
  <c r="F29" i="9"/>
  <c r="F28" i="9" s="1"/>
  <c r="F26" i="9"/>
  <c r="F24" i="9"/>
  <c r="F56" i="8"/>
  <c r="F55" i="8" s="1"/>
  <c r="F51" i="8"/>
  <c r="F49" i="8" s="1"/>
  <c r="F42" i="8"/>
  <c r="F37" i="8"/>
  <c r="M230" i="8"/>
  <c r="M234" i="8"/>
  <c r="M244" i="8"/>
  <c r="M247" i="8"/>
  <c r="M251" i="8"/>
  <c r="M252" i="8"/>
  <c r="M255" i="8"/>
  <c r="M256" i="8"/>
  <c r="M36" i="8"/>
  <c r="M37" i="8"/>
  <c r="M39" i="8"/>
  <c r="M42" i="8"/>
  <c r="M43" i="8"/>
  <c r="M45" i="8"/>
  <c r="M46" i="8"/>
  <c r="M50" i="8"/>
  <c r="M51" i="8"/>
  <c r="M53" i="8"/>
  <c r="M56" i="8"/>
  <c r="M57" i="8"/>
  <c r="M59" i="8"/>
  <c r="M63" i="8"/>
  <c r="M64" i="8"/>
  <c r="M66" i="8"/>
  <c r="M69" i="8"/>
  <c r="M70" i="8"/>
  <c r="M72" i="8"/>
  <c r="M76" i="8"/>
  <c r="M78" i="8"/>
  <c r="M80" i="8"/>
  <c r="M81" i="8"/>
  <c r="M84" i="8"/>
  <c r="M85" i="8"/>
  <c r="M86" i="8"/>
  <c r="M88" i="8"/>
  <c r="M89" i="8"/>
  <c r="M90" i="8"/>
  <c r="M94" i="8"/>
  <c r="M95" i="8"/>
  <c r="M96" i="8"/>
  <c r="M98" i="8"/>
  <c r="M99" i="8"/>
  <c r="M102" i="8"/>
  <c r="M103" i="8"/>
  <c r="M105" i="8"/>
  <c r="M106" i="8"/>
  <c r="M110" i="8"/>
  <c r="M112" i="8"/>
  <c r="M115" i="8"/>
  <c r="M117" i="8"/>
  <c r="M121" i="8"/>
  <c r="M123" i="8"/>
  <c r="M126" i="8"/>
  <c r="M128" i="8"/>
  <c r="M132" i="8"/>
  <c r="M134" i="8"/>
  <c r="M135" i="8"/>
  <c r="M138" i="8"/>
  <c r="M139" i="8"/>
  <c r="M141" i="8"/>
  <c r="M142" i="8"/>
  <c r="M143" i="8"/>
  <c r="M146" i="8"/>
  <c r="M147" i="8"/>
  <c r="M149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92" i="8"/>
  <c r="M193" i="8"/>
  <c r="M195" i="8"/>
  <c r="M196" i="8"/>
  <c r="M199" i="8"/>
  <c r="M200" i="8"/>
  <c r="M202" i="8"/>
  <c r="M203" i="8"/>
  <c r="M207" i="8"/>
  <c r="M208" i="8"/>
  <c r="M210" i="8"/>
  <c r="M211" i="8"/>
  <c r="M214" i="8"/>
  <c r="M215" i="8"/>
  <c r="M217" i="8"/>
  <c r="M218" i="8"/>
  <c r="M222" i="8"/>
  <c r="M224" i="8"/>
  <c r="M227" i="8"/>
  <c r="L256" i="8"/>
  <c r="I256" i="8"/>
  <c r="I255" i="8"/>
  <c r="I252" i="8"/>
  <c r="I251" i="8"/>
  <c r="H226" i="8"/>
  <c r="H225" i="8" s="1"/>
  <c r="G226" i="8"/>
  <c r="G225" i="8" s="1"/>
  <c r="F226" i="8"/>
  <c r="F225" i="8" s="1"/>
  <c r="H223" i="8"/>
  <c r="G223" i="8"/>
  <c r="F223" i="8"/>
  <c r="H221" i="8"/>
  <c r="H220" i="8" s="1"/>
  <c r="G221" i="8"/>
  <c r="F221" i="8"/>
  <c r="I227" i="8"/>
  <c r="I224" i="8"/>
  <c r="I222" i="8"/>
  <c r="I217" i="8"/>
  <c r="I214" i="8"/>
  <c r="I211" i="8"/>
  <c r="I208" i="8"/>
  <c r="I207" i="8"/>
  <c r="H202" i="8"/>
  <c r="H201" i="8" s="1"/>
  <c r="E200" i="8"/>
  <c r="I200" i="8" s="1"/>
  <c r="H199" i="8"/>
  <c r="H196" i="8"/>
  <c r="E196" i="8"/>
  <c r="I196" i="8" s="1"/>
  <c r="I195" i="8"/>
  <c r="H193" i="8"/>
  <c r="H192" i="8"/>
  <c r="G201" i="8"/>
  <c r="F201" i="8"/>
  <c r="H198" i="8"/>
  <c r="G198" i="8"/>
  <c r="F198" i="8"/>
  <c r="H194" i="8"/>
  <c r="G194" i="8"/>
  <c r="F194" i="8"/>
  <c r="G191" i="8"/>
  <c r="G190" i="8" s="1"/>
  <c r="F191" i="8"/>
  <c r="H138" i="8"/>
  <c r="H132" i="8"/>
  <c r="H131" i="8" s="1"/>
  <c r="I141" i="8"/>
  <c r="I134" i="8"/>
  <c r="I123" i="8"/>
  <c r="H140" i="8"/>
  <c r="G140" i="8"/>
  <c r="F140" i="8"/>
  <c r="H137" i="8"/>
  <c r="G137" i="8"/>
  <c r="F137" i="8"/>
  <c r="H133" i="8"/>
  <c r="G133" i="8"/>
  <c r="F133" i="8"/>
  <c r="G131" i="8"/>
  <c r="F131" i="8"/>
  <c r="G130" i="8"/>
  <c r="F130" i="8"/>
  <c r="L121" i="8"/>
  <c r="H123" i="8"/>
  <c r="I128" i="8"/>
  <c r="I126" i="8"/>
  <c r="I121" i="8"/>
  <c r="H128" i="8"/>
  <c r="H127" i="8" s="1"/>
  <c r="G127" i="8"/>
  <c r="F127" i="8"/>
  <c r="H126" i="8"/>
  <c r="H125" i="8" s="1"/>
  <c r="G125" i="8"/>
  <c r="F125" i="8"/>
  <c r="H122" i="8"/>
  <c r="G122" i="8"/>
  <c r="F122" i="8"/>
  <c r="H121" i="8"/>
  <c r="H120" i="8" s="1"/>
  <c r="G120" i="8"/>
  <c r="F120" i="8"/>
  <c r="G119" i="8"/>
  <c r="I117" i="8"/>
  <c r="I115" i="8"/>
  <c r="I112" i="8"/>
  <c r="I110" i="8"/>
  <c r="H112" i="8"/>
  <c r="H111" i="8" s="1"/>
  <c r="H117" i="8"/>
  <c r="H116" i="8" s="1"/>
  <c r="G116" i="8"/>
  <c r="F116" i="8"/>
  <c r="H115" i="8"/>
  <c r="H114" i="8" s="1"/>
  <c r="G114" i="8"/>
  <c r="F114" i="8"/>
  <c r="F113" i="8" s="1"/>
  <c r="G111" i="8"/>
  <c r="F111" i="8"/>
  <c r="H110" i="8"/>
  <c r="D110" i="8" s="1"/>
  <c r="G109" i="8"/>
  <c r="F109" i="8"/>
  <c r="I106" i="8"/>
  <c r="I105" i="8"/>
  <c r="I103" i="8"/>
  <c r="I99" i="8"/>
  <c r="I98" i="8"/>
  <c r="I96" i="8"/>
  <c r="F104" i="8"/>
  <c r="E104" i="8"/>
  <c r="F101" i="8"/>
  <c r="F100" i="8" s="1"/>
  <c r="E101" i="8"/>
  <c r="F97" i="8"/>
  <c r="E97" i="8"/>
  <c r="I95" i="8"/>
  <c r="F93" i="8"/>
  <c r="E93" i="8"/>
  <c r="K32" i="8"/>
  <c r="F32" i="8"/>
  <c r="G32" i="8"/>
  <c r="K28" i="8"/>
  <c r="F28" i="8"/>
  <c r="E33" i="1" s="1"/>
  <c r="G28" i="8"/>
  <c r="F33" i="1" s="1"/>
  <c r="H28" i="8"/>
  <c r="G33" i="1" s="1"/>
  <c r="K87" i="8"/>
  <c r="K83" i="8"/>
  <c r="I90" i="8"/>
  <c r="I86" i="8"/>
  <c r="G83" i="8"/>
  <c r="D86" i="8"/>
  <c r="D90" i="8"/>
  <c r="G87" i="8"/>
  <c r="E76" i="8"/>
  <c r="I76" i="8" s="1"/>
  <c r="H88" i="8"/>
  <c r="H87" i="8" s="1"/>
  <c r="F87" i="8"/>
  <c r="H84" i="8"/>
  <c r="H83" i="8" s="1"/>
  <c r="F83" i="8"/>
  <c r="F82" i="8" s="1"/>
  <c r="H80" i="8"/>
  <c r="I80" i="8"/>
  <c r="H79" i="8"/>
  <c r="G79" i="8"/>
  <c r="H77" i="8"/>
  <c r="H75" i="8" s="1"/>
  <c r="H74" i="8" s="1"/>
  <c r="G77" i="8"/>
  <c r="G75" i="8" s="1"/>
  <c r="G74" i="8" s="1"/>
  <c r="I77" i="8"/>
  <c r="F75" i="8"/>
  <c r="I72" i="8"/>
  <c r="I69" i="8"/>
  <c r="I66" i="8"/>
  <c r="I64" i="8"/>
  <c r="G58" i="8"/>
  <c r="F58" i="8"/>
  <c r="G55" i="8"/>
  <c r="G54" i="8" s="1"/>
  <c r="G52" i="8"/>
  <c r="F52" i="8"/>
  <c r="G49" i="8"/>
  <c r="E42" i="8"/>
  <c r="I42" i="8" s="1"/>
  <c r="G113" i="8" l="1"/>
  <c r="F119" i="8"/>
  <c r="F48" i="8"/>
  <c r="E28" i="8"/>
  <c r="D33" i="1" s="1"/>
  <c r="H32" i="8"/>
  <c r="F136" i="8"/>
  <c r="G48" i="8"/>
  <c r="H191" i="8"/>
  <c r="G136" i="8"/>
  <c r="F54" i="8"/>
  <c r="F220" i="8"/>
  <c r="J60" i="9"/>
  <c r="M77" i="8"/>
  <c r="G82" i="8"/>
  <c r="D59" i="9"/>
  <c r="F108" i="8"/>
  <c r="G108" i="8"/>
  <c r="F92" i="8"/>
  <c r="E92" i="8"/>
  <c r="F124" i="8"/>
  <c r="G124" i="8"/>
  <c r="F190" i="8"/>
  <c r="F197" i="8"/>
  <c r="G197" i="8"/>
  <c r="M32" i="8"/>
  <c r="E100" i="8"/>
  <c r="I21" i="9"/>
  <c r="M28" i="8"/>
  <c r="M87" i="8"/>
  <c r="M83" i="8"/>
  <c r="D58" i="9"/>
  <c r="F23" i="9"/>
  <c r="H109" i="8"/>
  <c r="H108" i="8" s="1"/>
  <c r="I102" i="8"/>
  <c r="H124" i="8"/>
  <c r="F79" i="8"/>
  <c r="F74" i="8" s="1"/>
  <c r="I84" i="8"/>
  <c r="I88" i="8"/>
  <c r="H113" i="8"/>
  <c r="H119" i="8"/>
  <c r="G220" i="8"/>
  <c r="H197" i="8"/>
  <c r="H190" i="8"/>
  <c r="H136" i="8"/>
  <c r="H130" i="8"/>
  <c r="H82" i="8"/>
  <c r="J86" i="8"/>
  <c r="J90" i="8"/>
  <c r="K22" i="3"/>
  <c r="F22" i="3"/>
  <c r="G22" i="3"/>
  <c r="L22" i="3" s="1"/>
  <c r="K20" i="3"/>
  <c r="F20" i="3"/>
  <c r="G20" i="3"/>
  <c r="L20" i="3" s="1"/>
  <c r="K17" i="3"/>
  <c r="F17" i="3"/>
  <c r="G17" i="3"/>
  <c r="L17" i="3" s="1"/>
  <c r="K15" i="3"/>
  <c r="K14" i="3"/>
  <c r="G15" i="3"/>
  <c r="F14" i="3"/>
  <c r="G14" i="3"/>
  <c r="M158" i="3"/>
  <c r="M159" i="3"/>
  <c r="M161" i="3"/>
  <c r="M164" i="3"/>
  <c r="M166" i="3"/>
  <c r="L158" i="3"/>
  <c r="L159" i="3"/>
  <c r="L161" i="3"/>
  <c r="L164" i="3"/>
  <c r="L166" i="3"/>
  <c r="M146" i="3"/>
  <c r="M147" i="3"/>
  <c r="M149" i="3"/>
  <c r="M152" i="3"/>
  <c r="M154" i="3"/>
  <c r="L154" i="3"/>
  <c r="L149" i="3"/>
  <c r="L146" i="3"/>
  <c r="M134" i="3"/>
  <c r="M135" i="3"/>
  <c r="M137" i="3"/>
  <c r="M140" i="3"/>
  <c r="M142" i="3"/>
  <c r="L134" i="3"/>
  <c r="L135" i="3"/>
  <c r="L137" i="3"/>
  <c r="L140" i="3"/>
  <c r="L142" i="3"/>
  <c r="H130" i="3"/>
  <c r="H128" i="3"/>
  <c r="H127" i="3" s="1"/>
  <c r="H125" i="3"/>
  <c r="H123" i="3"/>
  <c r="H122" i="3"/>
  <c r="F129" i="3"/>
  <c r="F127" i="3"/>
  <c r="E129" i="3"/>
  <c r="E127" i="3"/>
  <c r="F123" i="3"/>
  <c r="E123" i="3"/>
  <c r="F121" i="3"/>
  <c r="E121" i="3"/>
  <c r="F120" i="3"/>
  <c r="E120" i="3"/>
  <c r="G121" i="3"/>
  <c r="K121" i="3"/>
  <c r="D122" i="3"/>
  <c r="I122" i="3"/>
  <c r="L122" i="3"/>
  <c r="M122" i="3"/>
  <c r="I123" i="3"/>
  <c r="L123" i="3"/>
  <c r="M123" i="3"/>
  <c r="G124" i="3"/>
  <c r="H124" i="3"/>
  <c r="K124" i="3"/>
  <c r="L124" i="3" s="1"/>
  <c r="D125" i="3"/>
  <c r="D124" i="3" s="1"/>
  <c r="I125" i="3"/>
  <c r="I124" i="3" s="1"/>
  <c r="L125" i="3"/>
  <c r="M125" i="3"/>
  <c r="G127" i="3"/>
  <c r="K127" i="3"/>
  <c r="I128" i="3"/>
  <c r="I127" i="3" s="1"/>
  <c r="L128" i="3"/>
  <c r="M128" i="3"/>
  <c r="G129" i="3"/>
  <c r="H129" i="3"/>
  <c r="K129" i="3"/>
  <c r="L129" i="3" s="1"/>
  <c r="D130" i="3"/>
  <c r="D129" i="3" s="1"/>
  <c r="I130" i="3"/>
  <c r="I129" i="3" s="1"/>
  <c r="L130" i="3"/>
  <c r="M130" i="3"/>
  <c r="M110" i="3"/>
  <c r="M111" i="3"/>
  <c r="M113" i="3"/>
  <c r="M116" i="3"/>
  <c r="M118" i="3"/>
  <c r="L116" i="3"/>
  <c r="L118" i="3"/>
  <c r="L110" i="3"/>
  <c r="L111" i="3"/>
  <c r="L113" i="3"/>
  <c r="M98" i="3"/>
  <c r="M99" i="3"/>
  <c r="M101" i="3"/>
  <c r="M104" i="3"/>
  <c r="M106" i="3"/>
  <c r="L101" i="3"/>
  <c r="L99" i="3"/>
  <c r="L98" i="3"/>
  <c r="M47" i="3"/>
  <c r="M42" i="3"/>
  <c r="L42" i="3"/>
  <c r="K46" i="3"/>
  <c r="K43" i="3" s="1"/>
  <c r="K41" i="3"/>
  <c r="K38" i="3" s="1"/>
  <c r="M33" i="3"/>
  <c r="L33" i="3"/>
  <c r="I33" i="3"/>
  <c r="I32" i="3" s="1"/>
  <c r="I31" i="3" s="1"/>
  <c r="D123" i="3" l="1"/>
  <c r="H121" i="3"/>
  <c r="M127" i="3"/>
  <c r="L14" i="3"/>
  <c r="F15" i="3"/>
  <c r="M17" i="3"/>
  <c r="E126" i="3"/>
  <c r="F126" i="3"/>
  <c r="M20" i="3"/>
  <c r="M129" i="3"/>
  <c r="L127" i="3"/>
  <c r="M124" i="3"/>
  <c r="M121" i="3"/>
  <c r="M14" i="3"/>
  <c r="L15" i="3"/>
  <c r="M22" i="3"/>
  <c r="M15" i="3"/>
  <c r="J124" i="3"/>
  <c r="K126" i="3"/>
  <c r="G126" i="3"/>
  <c r="M126" i="3" s="1"/>
  <c r="I121" i="3"/>
  <c r="K120" i="3"/>
  <c r="M120" i="3" s="1"/>
  <c r="G120" i="3"/>
  <c r="D128" i="3"/>
  <c r="D127" i="3" s="1"/>
  <c r="J127" i="3" s="1"/>
  <c r="H126" i="3"/>
  <c r="L121" i="3"/>
  <c r="H120" i="3"/>
  <c r="L126" i="3"/>
  <c r="J123" i="3"/>
  <c r="I120" i="3"/>
  <c r="J129" i="3"/>
  <c r="I126" i="3"/>
  <c r="D121" i="3"/>
  <c r="D120" i="3" s="1"/>
  <c r="J130" i="3"/>
  <c r="J125" i="3"/>
  <c r="J122" i="3"/>
  <c r="E462" i="2"/>
  <c r="E460" i="2"/>
  <c r="H445" i="2"/>
  <c r="E407" i="2"/>
  <c r="E405" i="2"/>
  <c r="E389" i="2"/>
  <c r="E387" i="2"/>
  <c r="E343" i="2"/>
  <c r="E341" i="2"/>
  <c r="E305" i="2"/>
  <c r="E298" i="2"/>
  <c r="H292" i="2"/>
  <c r="L292" i="2"/>
  <c r="L289" i="2"/>
  <c r="E289" i="2"/>
  <c r="E280" i="2"/>
  <c r="E271" i="2"/>
  <c r="E269" i="2"/>
  <c r="E262" i="2"/>
  <c r="E251" i="2"/>
  <c r="E230" i="2"/>
  <c r="E227" i="2"/>
  <c r="E218" i="2"/>
  <c r="E209" i="2"/>
  <c r="E206" i="2"/>
  <c r="E178" i="2"/>
  <c r="E176" i="2"/>
  <c r="E146" i="2"/>
  <c r="E144" i="2"/>
  <c r="E143" i="2"/>
  <c r="E61" i="2"/>
  <c r="I57" i="2"/>
  <c r="L256" i="2"/>
  <c r="L155" i="2"/>
  <c r="L160" i="2"/>
  <c r="L164" i="2"/>
  <c r="L194" i="2"/>
  <c r="L206" i="2"/>
  <c r="L214" i="2"/>
  <c r="L218" i="2"/>
  <c r="L220" i="2"/>
  <c r="L223" i="2"/>
  <c r="L227" i="2"/>
  <c r="L239" i="2"/>
  <c r="L241" i="2"/>
  <c r="L244" i="2"/>
  <c r="L248" i="2"/>
  <c r="L254" i="2"/>
  <c r="L260" i="2"/>
  <c r="L262" i="2"/>
  <c r="L265" i="2"/>
  <c r="L269" i="2"/>
  <c r="L271" i="2"/>
  <c r="L274" i="2"/>
  <c r="L283" i="2"/>
  <c r="L287" i="2"/>
  <c r="L296" i="2"/>
  <c r="L301" i="2"/>
  <c r="L305" i="2"/>
  <c r="L314" i="2"/>
  <c r="L323" i="2"/>
  <c r="L337" i="2"/>
  <c r="L346" i="2"/>
  <c r="L362" i="2"/>
  <c r="L365" i="2"/>
  <c r="L375" i="2"/>
  <c r="L376" i="2"/>
  <c r="L377" i="2"/>
  <c r="L378" i="2"/>
  <c r="L379" i="2"/>
  <c r="L380" i="2"/>
  <c r="L381" i="2"/>
  <c r="L382" i="2"/>
  <c r="L383" i="2"/>
  <c r="L392" i="2"/>
  <c r="L396" i="2"/>
  <c r="L401" i="2"/>
  <c r="L405" i="2"/>
  <c r="L410" i="2"/>
  <c r="L411" i="2"/>
  <c r="L412" i="2"/>
  <c r="L413" i="2"/>
  <c r="L414" i="2"/>
  <c r="L415" i="2"/>
  <c r="L416" i="2"/>
  <c r="L417" i="2"/>
  <c r="L418" i="2"/>
  <c r="L419" i="2"/>
  <c r="L439" i="2"/>
  <c r="L441" i="2"/>
  <c r="L445" i="2"/>
  <c r="L447" i="2"/>
  <c r="L465" i="2"/>
  <c r="L484" i="2"/>
  <c r="L485" i="2"/>
  <c r="L486" i="2"/>
  <c r="L489" i="2"/>
  <c r="L506" i="2"/>
  <c r="L510" i="2"/>
  <c r="L514" i="2"/>
  <c r="L526" i="2"/>
  <c r="L530" i="2"/>
  <c r="L538" i="2"/>
  <c r="L542" i="2"/>
  <c r="L550" i="2"/>
  <c r="L558" i="2"/>
  <c r="L53" i="2"/>
  <c r="L56" i="2"/>
  <c r="L60" i="2"/>
  <c r="L62" i="2"/>
  <c r="L63" i="2"/>
  <c r="L67" i="2"/>
  <c r="L71" i="2"/>
  <c r="L76" i="2"/>
  <c r="L78" i="2"/>
  <c r="L79" i="2"/>
  <c r="L83" i="2"/>
  <c r="L86" i="2"/>
  <c r="L90" i="2"/>
  <c r="L92" i="2"/>
  <c r="L93" i="2"/>
  <c r="L97" i="2"/>
  <c r="L101" i="2"/>
  <c r="L106" i="2"/>
  <c r="L108" i="2"/>
  <c r="L109" i="2"/>
  <c r="L113" i="2"/>
  <c r="L117" i="2"/>
  <c r="L122" i="2"/>
  <c r="L124" i="2"/>
  <c r="L125" i="2"/>
  <c r="L129" i="2"/>
  <c r="L132" i="2"/>
  <c r="L136" i="2"/>
  <c r="L138" i="2"/>
  <c r="L139" i="2"/>
  <c r="L143" i="2"/>
  <c r="L144" i="2"/>
  <c r="L146" i="2"/>
  <c r="L149" i="2"/>
  <c r="L151" i="2"/>
  <c r="D126" i="3" l="1"/>
  <c r="J126" i="3" s="1"/>
  <c r="L120" i="3"/>
  <c r="J128" i="3"/>
  <c r="J120" i="3"/>
  <c r="J121" i="3"/>
  <c r="J411" i="2"/>
  <c r="J414" i="2"/>
  <c r="J416" i="2"/>
  <c r="J419" i="2"/>
  <c r="J375" i="2"/>
  <c r="J376" i="2"/>
  <c r="J377" i="2"/>
  <c r="J378" i="2"/>
  <c r="J379" i="2"/>
  <c r="J380" i="2"/>
  <c r="J381" i="2"/>
  <c r="J382" i="2"/>
  <c r="J383" i="2"/>
  <c r="J56" i="2"/>
  <c r="J62" i="2"/>
  <c r="I114" i="2"/>
  <c r="I254" i="2"/>
  <c r="I398" i="2"/>
  <c r="I485" i="2"/>
  <c r="I60" i="2"/>
  <c r="E39" i="6"/>
  <c r="I132" i="6" l="1"/>
  <c r="I116" i="6"/>
  <c r="I101" i="6"/>
  <c r="I98" i="6"/>
  <c r="I96" i="6"/>
  <c r="I78" i="6"/>
  <c r="I74" i="6"/>
  <c r="I71" i="6"/>
  <c r="I67" i="6"/>
  <c r="I65" i="6"/>
  <c r="I62" i="6"/>
  <c r="I60" i="6"/>
  <c r="I45" i="6"/>
  <c r="I43" i="6"/>
  <c r="I40" i="6"/>
  <c r="I38" i="6"/>
  <c r="M136" i="6"/>
  <c r="M132" i="6"/>
  <c r="M128" i="6"/>
  <c r="M124" i="6"/>
  <c r="M120" i="6"/>
  <c r="M116" i="6"/>
  <c r="M101" i="6"/>
  <c r="M98" i="6"/>
  <c r="M96" i="6"/>
  <c r="M92" i="6"/>
  <c r="M90" i="6"/>
  <c r="M87" i="6"/>
  <c r="M85" i="6"/>
  <c r="M81" i="6"/>
  <c r="M78" i="6"/>
  <c r="M74" i="6"/>
  <c r="M71" i="6"/>
  <c r="M67" i="6"/>
  <c r="M65" i="6"/>
  <c r="M62" i="6"/>
  <c r="M60" i="6"/>
  <c r="M56" i="6"/>
  <c r="M54" i="6"/>
  <c r="M51" i="6"/>
  <c r="M49" i="6"/>
  <c r="M45" i="6"/>
  <c r="M43" i="6"/>
  <c r="M40" i="6"/>
  <c r="M38" i="6"/>
  <c r="M32" i="6"/>
  <c r="M27" i="6"/>
  <c r="M12" i="5"/>
  <c r="I76" i="5"/>
  <c r="I55" i="5" s="1"/>
  <c r="I54" i="5" s="1"/>
  <c r="I74" i="5"/>
  <c r="I53" i="5" s="1"/>
  <c r="I73" i="5"/>
  <c r="I52" i="5" s="1"/>
  <c r="I70" i="5"/>
  <c r="I49" i="5" s="1"/>
  <c r="I48" i="5" s="1"/>
  <c r="I68" i="5"/>
  <c r="I46" i="5" s="1"/>
  <c r="I67" i="5"/>
  <c r="I45" i="5" s="1"/>
  <c r="I63" i="5"/>
  <c r="I38" i="5"/>
  <c r="I35" i="5"/>
  <c r="I33" i="5"/>
  <c r="I29" i="5"/>
  <c r="I26" i="5"/>
  <c r="I24" i="5"/>
  <c r="K39" i="4"/>
  <c r="M39" i="4" s="1"/>
  <c r="D61" i="7"/>
  <c r="K11" i="7"/>
  <c r="H11" i="7"/>
  <c r="G11" i="7"/>
  <c r="F11" i="7"/>
  <c r="K15" i="7"/>
  <c r="H15" i="7"/>
  <c r="G15" i="7"/>
  <c r="F15" i="7"/>
  <c r="M66" i="7"/>
  <c r="E47" i="7"/>
  <c r="I26" i="7"/>
  <c r="M85" i="7"/>
  <c r="M83" i="7"/>
  <c r="M80" i="7"/>
  <c r="M78" i="7"/>
  <c r="M77" i="7"/>
  <c r="M73" i="7"/>
  <c r="M71" i="7"/>
  <c r="M68" i="7"/>
  <c r="M65" i="7"/>
  <c r="M14" i="7" s="1"/>
  <c r="M61" i="7"/>
  <c r="M58" i="7"/>
  <c r="M54" i="7"/>
  <c r="M52" i="7"/>
  <c r="M49" i="7"/>
  <c r="M47" i="7"/>
  <c r="M43" i="7"/>
  <c r="M41" i="7"/>
  <c r="M38" i="7"/>
  <c r="M36" i="7"/>
  <c r="M31" i="7"/>
  <c r="M28" i="7"/>
  <c r="M10" i="7"/>
  <c r="L26" i="7"/>
  <c r="I85" i="7"/>
  <c r="I83" i="7"/>
  <c r="I80" i="7"/>
  <c r="I78" i="7"/>
  <c r="I77" i="7"/>
  <c r="I73" i="7"/>
  <c r="I71" i="7"/>
  <c r="I66" i="7"/>
  <c r="I61" i="7"/>
  <c r="I58" i="7"/>
  <c r="I54" i="7"/>
  <c r="I49" i="7"/>
  <c r="I47" i="7"/>
  <c r="I43" i="7"/>
  <c r="I41" i="7"/>
  <c r="I38" i="7"/>
  <c r="L36" i="7"/>
  <c r="E36" i="7"/>
  <c r="E11" i="7" s="1"/>
  <c r="E35" i="7"/>
  <c r="I35" i="7" s="1"/>
  <c r="K112" i="6"/>
  <c r="G112" i="6"/>
  <c r="F112" i="6"/>
  <c r="L136" i="6"/>
  <c r="H136" i="6"/>
  <c r="H112" i="6" s="1"/>
  <c r="G17" i="5"/>
  <c r="G15" i="5"/>
  <c r="M29" i="5"/>
  <c r="M26" i="5"/>
  <c r="M24" i="5"/>
  <c r="M35" i="5"/>
  <c r="M33" i="5"/>
  <c r="M38" i="5"/>
  <c r="H33" i="5"/>
  <c r="H15" i="5" s="1"/>
  <c r="H38" i="5"/>
  <c r="H20" i="5" s="1"/>
  <c r="H35" i="5"/>
  <c r="H17" i="5" s="1"/>
  <c r="L38" i="5"/>
  <c r="K37" i="5"/>
  <c r="H37" i="5"/>
  <c r="H36" i="5" s="1"/>
  <c r="G37" i="5"/>
  <c r="K36" i="5"/>
  <c r="G36" i="5"/>
  <c r="L35" i="5"/>
  <c r="K34" i="5"/>
  <c r="I34" i="5" s="1"/>
  <c r="H34" i="5"/>
  <c r="G34" i="5"/>
  <c r="L33" i="5"/>
  <c r="K32" i="5"/>
  <c r="I32" i="5" s="1"/>
  <c r="H32" i="5"/>
  <c r="H31" i="5" s="1"/>
  <c r="G32" i="5"/>
  <c r="L32" i="5" s="1"/>
  <c r="K31" i="5"/>
  <c r="G31" i="5"/>
  <c r="D38" i="5"/>
  <c r="D37" i="5" s="1"/>
  <c r="D36" i="5" s="1"/>
  <c r="D35" i="5"/>
  <c r="D34" i="5" s="1"/>
  <c r="D33" i="5"/>
  <c r="D32" i="5" s="1"/>
  <c r="M31" i="5" l="1"/>
  <c r="M36" i="5"/>
  <c r="I17" i="5"/>
  <c r="M112" i="6"/>
  <c r="I36" i="7"/>
  <c r="I15" i="7" s="1"/>
  <c r="E15" i="7"/>
  <c r="I51" i="5"/>
  <c r="I50" i="5" s="1"/>
  <c r="I20" i="5"/>
  <c r="I11" i="7"/>
  <c r="I36" i="5"/>
  <c r="J36" i="5" s="1"/>
  <c r="J32" i="5"/>
  <c r="L31" i="5"/>
  <c r="M32" i="5"/>
  <c r="M34" i="5"/>
  <c r="M37" i="5"/>
  <c r="I31" i="5"/>
  <c r="I37" i="5"/>
  <c r="J37" i="5" s="1"/>
  <c r="D136" i="6"/>
  <c r="I22" i="7"/>
  <c r="L34" i="5"/>
  <c r="J35" i="5"/>
  <c r="J34" i="5"/>
  <c r="J33" i="5"/>
  <c r="L36" i="5"/>
  <c r="L37" i="5"/>
  <c r="J38" i="5"/>
  <c r="D31" i="5"/>
  <c r="J31" i="5" l="1"/>
  <c r="L27" i="9"/>
  <c r="L25" i="9"/>
  <c r="L30" i="9"/>
  <c r="L34" i="9"/>
  <c r="L36" i="9"/>
  <c r="L39" i="9"/>
  <c r="L43" i="9"/>
  <c r="L50" i="9"/>
  <c r="L53" i="9"/>
  <c r="L252" i="8"/>
  <c r="L85" i="7"/>
  <c r="K240" i="8" l="1"/>
  <c r="K239" i="8"/>
  <c r="K236" i="8"/>
  <c r="K235" i="8"/>
  <c r="J234" i="8"/>
  <c r="L234" i="8"/>
  <c r="L251" i="8"/>
  <c r="L255" i="8"/>
  <c r="J143" i="8"/>
  <c r="J147" i="8"/>
  <c r="J149" i="8"/>
  <c r="J154" i="8"/>
  <c r="J155" i="8"/>
  <c r="J156" i="8"/>
  <c r="J157" i="8"/>
  <c r="J160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L36" i="8"/>
  <c r="L37" i="8"/>
  <c r="L39" i="8"/>
  <c r="L42" i="8"/>
  <c r="L50" i="8"/>
  <c r="L51" i="8"/>
  <c r="L53" i="8"/>
  <c r="L56" i="8"/>
  <c r="L57" i="8"/>
  <c r="L59" i="8"/>
  <c r="L63" i="8"/>
  <c r="L70" i="8"/>
  <c r="L80" i="8"/>
  <c r="L84" i="8"/>
  <c r="L88" i="8"/>
  <c r="L110" i="8"/>
  <c r="L112" i="8"/>
  <c r="L115" i="8"/>
  <c r="L123" i="8"/>
  <c r="L126" i="8"/>
  <c r="L134" i="8"/>
  <c r="L138" i="8"/>
  <c r="L139" i="8"/>
  <c r="L141" i="8"/>
  <c r="L143" i="8"/>
  <c r="L146" i="8"/>
  <c r="L147" i="8"/>
  <c r="L149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92" i="8"/>
  <c r="L193" i="8"/>
  <c r="L196" i="8"/>
  <c r="L199" i="8"/>
  <c r="L202" i="8"/>
  <c r="L207" i="8"/>
  <c r="L208" i="8"/>
  <c r="L211" i="8"/>
  <c r="L214" i="8"/>
  <c r="L215" i="8"/>
  <c r="L217" i="8"/>
  <c r="L222" i="8"/>
  <c r="L224" i="8"/>
  <c r="L227" i="8"/>
  <c r="L43" i="7"/>
  <c r="L38" i="7"/>
  <c r="L41" i="7"/>
  <c r="L49" i="7"/>
  <c r="L52" i="7"/>
  <c r="L54" i="7"/>
  <c r="L58" i="7"/>
  <c r="L71" i="7"/>
  <c r="L78" i="7"/>
  <c r="L80" i="7"/>
  <c r="L83" i="7"/>
  <c r="L27" i="6"/>
  <c r="L32" i="6"/>
  <c r="L78" i="6"/>
  <c r="L81" i="6"/>
  <c r="L85" i="6"/>
  <c r="L87" i="6"/>
  <c r="L90" i="6"/>
  <c r="L92" i="6"/>
  <c r="L96" i="6"/>
  <c r="L98" i="6"/>
  <c r="L101" i="6"/>
  <c r="L128" i="6"/>
  <c r="L67" i="5"/>
  <c r="L68" i="5"/>
  <c r="L70" i="5"/>
  <c r="L73" i="5"/>
  <c r="L74" i="5"/>
  <c r="L76" i="5"/>
  <c r="L24" i="5"/>
  <c r="L26" i="5"/>
  <c r="L29" i="5"/>
  <c r="F465" i="2" l="1"/>
  <c r="I465" i="2" s="1"/>
  <c r="E538" i="2" l="1"/>
  <c r="I538" i="2" s="1"/>
  <c r="J23" i="3" l="1"/>
  <c r="J24" i="3"/>
  <c r="J25" i="3"/>
  <c r="J26" i="3"/>
  <c r="J27" i="3"/>
  <c r="J28" i="3"/>
  <c r="J29" i="3"/>
  <c r="J51" i="3"/>
  <c r="J63" i="3"/>
  <c r="J75" i="3"/>
  <c r="J183" i="3"/>
  <c r="J195" i="3"/>
  <c r="L23" i="3"/>
  <c r="L24" i="3"/>
  <c r="L25" i="3"/>
  <c r="L26" i="3"/>
  <c r="L27" i="3"/>
  <c r="L28" i="3"/>
  <c r="L29" i="3"/>
  <c r="L40" i="3"/>
  <c r="L51" i="3"/>
  <c r="L63" i="3"/>
  <c r="L75" i="3"/>
  <c r="L170" i="3"/>
  <c r="L182" i="3"/>
  <c r="L183" i="3"/>
  <c r="L188" i="3"/>
  <c r="L194" i="3"/>
  <c r="L195" i="3"/>
  <c r="L200" i="3"/>
  <c r="K76" i="7" l="1"/>
  <c r="K82" i="7"/>
  <c r="I558" i="2" l="1"/>
  <c r="I223" i="2" l="1"/>
  <c r="F345" i="2" l="1"/>
  <c r="F344" i="2" s="1"/>
  <c r="F342" i="2"/>
  <c r="F340" i="2"/>
  <c r="F336" i="2"/>
  <c r="F335" i="2" s="1"/>
  <c r="F333" i="2"/>
  <c r="F331" i="2"/>
  <c r="F300" i="2"/>
  <c r="F299" i="2" s="1"/>
  <c r="F297" i="2"/>
  <c r="F295" i="2"/>
  <c r="F286" i="2"/>
  <c r="F282" i="2"/>
  <c r="F279" i="2"/>
  <c r="F277" i="2"/>
  <c r="F273" i="2"/>
  <c r="F272" i="2" s="1"/>
  <c r="F270" i="2"/>
  <c r="F268" i="2"/>
  <c r="F264" i="2"/>
  <c r="F263" i="2" s="1"/>
  <c r="F261" i="2"/>
  <c r="F259" i="2"/>
  <c r="F255" i="2"/>
  <c r="F253" i="2"/>
  <c r="F250" i="2"/>
  <c r="F247" i="2"/>
  <c r="F243" i="2"/>
  <c r="F242" i="2" s="1"/>
  <c r="F240" i="2"/>
  <c r="F238" i="2"/>
  <c r="F222" i="2"/>
  <c r="F221" i="2" s="1"/>
  <c r="F219" i="2"/>
  <c r="F217" i="2"/>
  <c r="F213" i="2"/>
  <c r="F211" i="2"/>
  <c r="F208" i="2"/>
  <c r="F205" i="2"/>
  <c r="F201" i="2"/>
  <c r="F199" i="2"/>
  <c r="F196" i="2"/>
  <c r="F193" i="2"/>
  <c r="F189" i="2"/>
  <c r="F188" i="2" s="1"/>
  <c r="F186" i="2"/>
  <c r="F184" i="2"/>
  <c r="F180" i="2"/>
  <c r="F179" i="2" s="1"/>
  <c r="F177" i="2"/>
  <c r="F175" i="2"/>
  <c r="F159" i="2"/>
  <c r="F158" i="2" s="1"/>
  <c r="F156" i="2"/>
  <c r="F154" i="2"/>
  <c r="F150" i="2"/>
  <c r="F147" i="2" s="1"/>
  <c r="F145" i="2"/>
  <c r="F142" i="2"/>
  <c r="F137" i="2"/>
  <c r="F135" i="2"/>
  <c r="F131" i="2"/>
  <c r="F130" i="2"/>
  <c r="F128" i="2" s="1"/>
  <c r="F123" i="2"/>
  <c r="F120" i="2"/>
  <c r="F116" i="2"/>
  <c r="F115" i="2"/>
  <c r="F112" i="2" s="1"/>
  <c r="F107" i="2"/>
  <c r="F105" i="2"/>
  <c r="F104" i="2" s="1"/>
  <c r="F100" i="2"/>
  <c r="F99" i="2"/>
  <c r="F97" i="2"/>
  <c r="F91" i="2"/>
  <c r="F89" i="2"/>
  <c r="F85" i="2"/>
  <c r="F84" i="2"/>
  <c r="F82" i="2" s="1"/>
  <c r="F77" i="2"/>
  <c r="F74" i="2"/>
  <c r="F72" i="2"/>
  <c r="F70" i="2" s="1"/>
  <c r="F69" i="2"/>
  <c r="F66" i="2" s="1"/>
  <c r="F61" i="2"/>
  <c r="F59" i="2"/>
  <c r="F55" i="2"/>
  <c r="F52" i="2"/>
  <c r="F388" i="2"/>
  <c r="F153" i="2" l="1"/>
  <c r="F183" i="2"/>
  <c r="F134" i="2"/>
  <c r="F252" i="2"/>
  <c r="F216" i="2"/>
  <c r="F237" i="2"/>
  <c r="F174" i="2"/>
  <c r="F192" i="2"/>
  <c r="F198" i="2"/>
  <c r="F210" i="2"/>
  <c r="F246" i="2"/>
  <c r="F267" i="2"/>
  <c r="F276" i="2"/>
  <c r="F339" i="2"/>
  <c r="F281" i="2"/>
  <c r="F127" i="2"/>
  <c r="F119" i="2"/>
  <c r="F111" i="2"/>
  <c r="F65" i="2"/>
  <c r="F58" i="2"/>
  <c r="F73" i="2"/>
  <c r="F81" i="2"/>
  <c r="F88" i="2"/>
  <c r="F330" i="2"/>
  <c r="F51" i="2"/>
  <c r="F96" i="2"/>
  <c r="F95" i="2" s="1"/>
  <c r="F141" i="2"/>
  <c r="F204" i="2"/>
  <c r="F258" i="2"/>
  <c r="F294" i="2"/>
  <c r="F103" i="2"/>
  <c r="L132" i="8"/>
  <c r="E74" i="2" l="1"/>
  <c r="I75" i="2"/>
  <c r="E142" i="8"/>
  <c r="I142" i="8" s="1"/>
  <c r="D141" i="8"/>
  <c r="E203" i="8"/>
  <c r="E202" i="8"/>
  <c r="D200" i="8"/>
  <c r="D28" i="8" s="1"/>
  <c r="C33" i="1" s="1"/>
  <c r="E199" i="8"/>
  <c r="E198" i="8" s="1"/>
  <c r="D195" i="8"/>
  <c r="E193" i="8"/>
  <c r="E192" i="8"/>
  <c r="I192" i="8" s="1"/>
  <c r="D139" i="8"/>
  <c r="E138" i="8"/>
  <c r="I138" i="8" s="1"/>
  <c r="E135" i="8"/>
  <c r="D134" i="8"/>
  <c r="E132" i="8"/>
  <c r="I132" i="8" s="1"/>
  <c r="D101" i="6"/>
  <c r="D100" i="6" s="1"/>
  <c r="D99" i="6" s="1"/>
  <c r="H100" i="6"/>
  <c r="G100" i="6"/>
  <c r="G99" i="6" s="1"/>
  <c r="F100" i="6"/>
  <c r="E100" i="6"/>
  <c r="E99" i="6" s="1"/>
  <c r="H99" i="6"/>
  <c r="F99" i="6"/>
  <c r="D98" i="6"/>
  <c r="D97" i="6" s="1"/>
  <c r="H97" i="6"/>
  <c r="G97" i="6"/>
  <c r="F97" i="6"/>
  <c r="E97" i="6"/>
  <c r="D96" i="6"/>
  <c r="D95" i="6" s="1"/>
  <c r="H95" i="6"/>
  <c r="G95" i="6"/>
  <c r="F95" i="6"/>
  <c r="F94" i="6" s="1"/>
  <c r="E95" i="6"/>
  <c r="H94" i="6"/>
  <c r="D91" i="6"/>
  <c r="H91" i="6"/>
  <c r="G91" i="6"/>
  <c r="F91" i="6"/>
  <c r="E91" i="6"/>
  <c r="D89" i="6"/>
  <c r="H89" i="6"/>
  <c r="G89" i="6"/>
  <c r="F89" i="6"/>
  <c r="E89" i="6"/>
  <c r="H88" i="6"/>
  <c r="J87" i="6"/>
  <c r="H86" i="6"/>
  <c r="G86" i="6"/>
  <c r="F86" i="6"/>
  <c r="E86" i="6"/>
  <c r="H84" i="6"/>
  <c r="G84" i="6"/>
  <c r="F84" i="6"/>
  <c r="E84" i="6"/>
  <c r="H83" i="6"/>
  <c r="H80" i="6"/>
  <c r="H79" i="6" s="1"/>
  <c r="G80" i="6"/>
  <c r="F80" i="6"/>
  <c r="G79" i="6"/>
  <c r="H77" i="6"/>
  <c r="G77" i="6"/>
  <c r="F77" i="6"/>
  <c r="E77" i="6"/>
  <c r="H76" i="6"/>
  <c r="G76" i="6"/>
  <c r="F76" i="6"/>
  <c r="E76" i="6"/>
  <c r="H73" i="6"/>
  <c r="H72" i="6" s="1"/>
  <c r="D74" i="6"/>
  <c r="D73" i="6" s="1"/>
  <c r="D72" i="6" s="1"/>
  <c r="G73" i="6"/>
  <c r="G72" i="6" s="1"/>
  <c r="F73" i="6"/>
  <c r="E73" i="6"/>
  <c r="E72" i="6" s="1"/>
  <c r="F72" i="6"/>
  <c r="D71" i="6"/>
  <c r="H70" i="6"/>
  <c r="H69" i="6" s="1"/>
  <c r="G70" i="6"/>
  <c r="F70" i="6"/>
  <c r="F69" i="6" s="1"/>
  <c r="G69" i="6"/>
  <c r="D67" i="6"/>
  <c r="D66" i="6" s="1"/>
  <c r="H66" i="6"/>
  <c r="G66" i="6"/>
  <c r="F66" i="6"/>
  <c r="E66" i="6"/>
  <c r="D65" i="6"/>
  <c r="D64" i="6" s="1"/>
  <c r="H64" i="6"/>
  <c r="G64" i="6"/>
  <c r="F64" i="6"/>
  <c r="E64" i="6"/>
  <c r="D62" i="6"/>
  <c r="D61" i="6" s="1"/>
  <c r="H61" i="6"/>
  <c r="G61" i="6"/>
  <c r="F61" i="6"/>
  <c r="E61" i="6"/>
  <c r="D60" i="6"/>
  <c r="D59" i="6" s="1"/>
  <c r="H59" i="6"/>
  <c r="G59" i="6"/>
  <c r="F59" i="6"/>
  <c r="E59" i="6"/>
  <c r="E56" i="6"/>
  <c r="H55" i="6"/>
  <c r="G55" i="6"/>
  <c r="F55" i="6"/>
  <c r="E54" i="6"/>
  <c r="I54" i="6" s="1"/>
  <c r="H53" i="6"/>
  <c r="G53" i="6"/>
  <c r="F53" i="6"/>
  <c r="E51" i="6"/>
  <c r="I51" i="6" s="1"/>
  <c r="H50" i="6"/>
  <c r="G50" i="6"/>
  <c r="F50" i="6"/>
  <c r="E49" i="6"/>
  <c r="H48" i="6"/>
  <c r="H47" i="6" s="1"/>
  <c r="G48" i="6"/>
  <c r="F48" i="6"/>
  <c r="D45" i="6"/>
  <c r="D44" i="6" s="1"/>
  <c r="H44" i="6"/>
  <c r="G44" i="6"/>
  <c r="F44" i="6"/>
  <c r="E44" i="6"/>
  <c r="D43" i="6"/>
  <c r="D42" i="6" s="1"/>
  <c r="H42" i="6"/>
  <c r="G42" i="6"/>
  <c r="F42" i="6"/>
  <c r="E42" i="6"/>
  <c r="D40" i="6"/>
  <c r="D39" i="6" s="1"/>
  <c r="H39" i="6"/>
  <c r="G39" i="6"/>
  <c r="F39" i="6"/>
  <c r="D38" i="6"/>
  <c r="D37" i="6" s="1"/>
  <c r="H37" i="6"/>
  <c r="H36" i="6" s="1"/>
  <c r="G37" i="6"/>
  <c r="G36" i="6" s="1"/>
  <c r="F37" i="6"/>
  <c r="F36" i="6" s="1"/>
  <c r="E37" i="6"/>
  <c r="H34" i="6"/>
  <c r="H33" i="6" s="1"/>
  <c r="G34" i="6"/>
  <c r="E34" i="6"/>
  <c r="I34" i="6" s="1"/>
  <c r="G33" i="6"/>
  <c r="F33" i="6"/>
  <c r="H32" i="6"/>
  <c r="E32" i="6"/>
  <c r="I32" i="6" s="1"/>
  <c r="H31" i="6"/>
  <c r="G31" i="6"/>
  <c r="F31" i="6"/>
  <c r="H29" i="6"/>
  <c r="H28" i="6" s="1"/>
  <c r="G29" i="6"/>
  <c r="E29" i="6"/>
  <c r="I29" i="6" s="1"/>
  <c r="G28" i="6"/>
  <c r="F28" i="6"/>
  <c r="H27" i="6"/>
  <c r="E27" i="6"/>
  <c r="I27" i="6" s="1"/>
  <c r="H26" i="6"/>
  <c r="G26" i="6"/>
  <c r="F26" i="6"/>
  <c r="J70" i="1"/>
  <c r="J61" i="1"/>
  <c r="E94" i="6" l="1"/>
  <c r="F88" i="6"/>
  <c r="G58" i="6"/>
  <c r="E50" i="6"/>
  <c r="D51" i="6"/>
  <c r="D50" i="6" s="1"/>
  <c r="E63" i="6"/>
  <c r="G63" i="6"/>
  <c r="D63" i="6"/>
  <c r="D88" i="6"/>
  <c r="L29" i="6"/>
  <c r="M29" i="6"/>
  <c r="L34" i="6"/>
  <c r="M34" i="6"/>
  <c r="D70" i="6"/>
  <c r="D69" i="6" s="1"/>
  <c r="J71" i="6"/>
  <c r="E201" i="8"/>
  <c r="E197" i="8" s="1"/>
  <c r="D49" i="6"/>
  <c r="D48" i="6" s="1"/>
  <c r="I49" i="6"/>
  <c r="D56" i="6"/>
  <c r="D55" i="6" s="1"/>
  <c r="I56" i="6"/>
  <c r="F52" i="6"/>
  <c r="F47" i="6"/>
  <c r="G94" i="6"/>
  <c r="F79" i="6"/>
  <c r="F30" i="6"/>
  <c r="F25" i="6"/>
  <c r="D135" i="8"/>
  <c r="I135" i="8"/>
  <c r="D193" i="8"/>
  <c r="I193" i="8"/>
  <c r="D202" i="8"/>
  <c r="I202" i="8"/>
  <c r="D199" i="8"/>
  <c r="I199" i="8"/>
  <c r="D203" i="8"/>
  <c r="D201" i="8" s="1"/>
  <c r="E32" i="8"/>
  <c r="I203" i="8"/>
  <c r="D198" i="8"/>
  <c r="D132" i="8"/>
  <c r="D131" i="8" s="1"/>
  <c r="D133" i="8"/>
  <c r="E83" i="6"/>
  <c r="F63" i="6"/>
  <c r="G83" i="6"/>
  <c r="F58" i="6"/>
  <c r="H58" i="6"/>
  <c r="D86" i="6"/>
  <c r="D83" i="6" s="1"/>
  <c r="J85" i="6"/>
  <c r="E88" i="6"/>
  <c r="H41" i="6"/>
  <c r="G47" i="6"/>
  <c r="G88" i="6"/>
  <c r="E131" i="8"/>
  <c r="D192" i="8"/>
  <c r="D191" i="8" s="1"/>
  <c r="G25" i="6"/>
  <c r="G30" i="6"/>
  <c r="H63" i="6"/>
  <c r="F83" i="6"/>
  <c r="D142" i="8"/>
  <c r="D140" i="8" s="1"/>
  <c r="E140" i="8"/>
  <c r="D54" i="6"/>
  <c r="D53" i="6" s="1"/>
  <c r="D52" i="6" s="1"/>
  <c r="E53" i="6"/>
  <c r="E58" i="6"/>
  <c r="D58" i="6"/>
  <c r="E191" i="8"/>
  <c r="D196" i="8"/>
  <c r="D194" i="8" s="1"/>
  <c r="E194" i="8"/>
  <c r="D29" i="6"/>
  <c r="D28" i="6" s="1"/>
  <c r="D34" i="6"/>
  <c r="D33" i="6" s="1"/>
  <c r="E36" i="6"/>
  <c r="F41" i="6"/>
  <c r="G52" i="6"/>
  <c r="H52" i="6"/>
  <c r="D81" i="6"/>
  <c r="D80" i="6" s="1"/>
  <c r="D79" i="6" s="1"/>
  <c r="D94" i="6"/>
  <c r="D138" i="8"/>
  <c r="D137" i="8" s="1"/>
  <c r="D36" i="6"/>
  <c r="H25" i="6"/>
  <c r="H30" i="6"/>
  <c r="D27" i="6"/>
  <c r="D26" i="6" s="1"/>
  <c r="D25" i="6" s="1"/>
  <c r="D32" i="6"/>
  <c r="D31" i="6" s="1"/>
  <c r="D30" i="6" s="1"/>
  <c r="E41" i="6"/>
  <c r="G41" i="6"/>
  <c r="D78" i="6"/>
  <c r="D77" i="6" s="1"/>
  <c r="D76" i="6" s="1"/>
  <c r="E80" i="6"/>
  <c r="E79" i="6" s="1"/>
  <c r="E133" i="8"/>
  <c r="E130" i="8" s="1"/>
  <c r="E137" i="8"/>
  <c r="D41" i="6"/>
  <c r="D47" i="6"/>
  <c r="E26" i="6"/>
  <c r="E28" i="6"/>
  <c r="E31" i="6"/>
  <c r="E33" i="6"/>
  <c r="E48" i="6"/>
  <c r="E47" i="6" s="1"/>
  <c r="E55" i="6"/>
  <c r="E70" i="6"/>
  <c r="H178" i="3"/>
  <c r="E178" i="3"/>
  <c r="I178" i="3" s="1"/>
  <c r="E94" i="3"/>
  <c r="H71" i="3"/>
  <c r="H176" i="3"/>
  <c r="E176" i="3"/>
  <c r="E136" i="8" l="1"/>
  <c r="E69" i="6"/>
  <c r="D197" i="8"/>
  <c r="D190" i="8"/>
  <c r="D130" i="8"/>
  <c r="D136" i="8"/>
  <c r="E52" i="6"/>
  <c r="E190" i="8"/>
  <c r="E30" i="6"/>
  <c r="E25" i="6"/>
  <c r="J23" i="1"/>
  <c r="D76" i="5"/>
  <c r="D75" i="5" s="1"/>
  <c r="H75" i="5"/>
  <c r="G75" i="5"/>
  <c r="F75" i="5"/>
  <c r="E75" i="5"/>
  <c r="D74" i="5"/>
  <c r="J74" i="5" s="1"/>
  <c r="D73" i="5"/>
  <c r="H72" i="5"/>
  <c r="H71" i="5" s="1"/>
  <c r="G72" i="5"/>
  <c r="F72" i="5"/>
  <c r="F71" i="5" s="1"/>
  <c r="E72" i="5"/>
  <c r="D70" i="5"/>
  <c r="D69" i="5" s="1"/>
  <c r="H69" i="5"/>
  <c r="G69" i="5"/>
  <c r="F69" i="5"/>
  <c r="E69" i="5"/>
  <c r="D68" i="5"/>
  <c r="D46" i="5" s="1"/>
  <c r="D67" i="5"/>
  <c r="H66" i="5"/>
  <c r="H65" i="5" s="1"/>
  <c r="G66" i="5"/>
  <c r="G65" i="5" s="1"/>
  <c r="F66" i="5"/>
  <c r="F65" i="5" s="1"/>
  <c r="E66" i="5"/>
  <c r="D63" i="5"/>
  <c r="D62" i="5" s="1"/>
  <c r="H62" i="5"/>
  <c r="G62" i="5"/>
  <c r="G61" i="5" s="1"/>
  <c r="F62" i="5"/>
  <c r="E62" i="5"/>
  <c r="E61" i="5" s="1"/>
  <c r="H61" i="5"/>
  <c r="D61" i="5"/>
  <c r="E59" i="5"/>
  <c r="H58" i="5"/>
  <c r="G58" i="5"/>
  <c r="F58" i="5"/>
  <c r="E58" i="5"/>
  <c r="H57" i="5"/>
  <c r="G57" i="5"/>
  <c r="G42" i="5" s="1"/>
  <c r="F57" i="5"/>
  <c r="E57" i="5"/>
  <c r="H55" i="5"/>
  <c r="H54" i="5" s="1"/>
  <c r="G55" i="5"/>
  <c r="F55" i="5"/>
  <c r="F54" i="5" s="1"/>
  <c r="E55" i="5"/>
  <c r="E54" i="5" s="1"/>
  <c r="E50" i="5" s="1"/>
  <c r="D55" i="5"/>
  <c r="D54" i="5" s="1"/>
  <c r="G54" i="5"/>
  <c r="H53" i="5"/>
  <c r="G53" i="5"/>
  <c r="F53" i="5"/>
  <c r="E53" i="5"/>
  <c r="D53" i="5"/>
  <c r="D52" i="5"/>
  <c r="H51" i="5"/>
  <c r="G51" i="5"/>
  <c r="G50" i="5" s="1"/>
  <c r="F51" i="5"/>
  <c r="F50" i="5" s="1"/>
  <c r="E51" i="5"/>
  <c r="H49" i="5"/>
  <c r="H48" i="5" s="1"/>
  <c r="G49" i="5"/>
  <c r="G48" i="5" s="1"/>
  <c r="F49" i="5"/>
  <c r="F48" i="5" s="1"/>
  <c r="E49" i="5"/>
  <c r="E48" i="5" s="1"/>
  <c r="F47" i="5"/>
  <c r="E47" i="5"/>
  <c r="H45" i="5"/>
  <c r="G60" i="1" s="1"/>
  <c r="G45" i="5"/>
  <c r="F60" i="1" s="1"/>
  <c r="F45" i="5"/>
  <c r="E60" i="1" s="1"/>
  <c r="E45" i="5"/>
  <c r="D60" i="1" s="1"/>
  <c r="F44" i="5"/>
  <c r="F43" i="5" s="1"/>
  <c r="D29" i="5"/>
  <c r="D20" i="5" s="1"/>
  <c r="H28" i="5"/>
  <c r="G28" i="5"/>
  <c r="G27" i="5" s="1"/>
  <c r="F28" i="5"/>
  <c r="F27" i="5" s="1"/>
  <c r="E28" i="5"/>
  <c r="H27" i="5"/>
  <c r="D26" i="5"/>
  <c r="H25" i="5"/>
  <c r="G25" i="5"/>
  <c r="F25" i="5"/>
  <c r="E25" i="5"/>
  <c r="D24" i="5"/>
  <c r="H23" i="5"/>
  <c r="G23" i="5"/>
  <c r="G22" i="5" s="1"/>
  <c r="F23" i="5"/>
  <c r="E23" i="5"/>
  <c r="H19" i="5"/>
  <c r="H18" i="5" s="1"/>
  <c r="G19" i="5"/>
  <c r="G18" i="5" s="1"/>
  <c r="F20" i="5"/>
  <c r="F19" i="5" s="1"/>
  <c r="F18" i="5" s="1"/>
  <c r="E20" i="5"/>
  <c r="E19" i="5" s="1"/>
  <c r="E18" i="5" s="1"/>
  <c r="H16" i="5"/>
  <c r="F17" i="5"/>
  <c r="F16" i="5" s="1"/>
  <c r="E17" i="5"/>
  <c r="E16" i="5" s="1"/>
  <c r="G16" i="5"/>
  <c r="H14" i="5"/>
  <c r="H13" i="5" s="1"/>
  <c r="G14" i="5"/>
  <c r="F15" i="5"/>
  <c r="F14" i="5" s="1"/>
  <c r="E15" i="5"/>
  <c r="E14" i="5" s="1"/>
  <c r="G135" i="6"/>
  <c r="G134" i="6" s="1"/>
  <c r="G108" i="6" s="1"/>
  <c r="F135" i="6"/>
  <c r="E135" i="6"/>
  <c r="E134" i="6" s="1"/>
  <c r="E108" i="6" s="1"/>
  <c r="F134" i="6"/>
  <c r="F108" i="6" s="1"/>
  <c r="D132" i="6"/>
  <c r="G131" i="6"/>
  <c r="G130" i="6" s="1"/>
  <c r="F131" i="6"/>
  <c r="E131" i="6"/>
  <c r="E130" i="6" s="1"/>
  <c r="D131" i="6"/>
  <c r="D130" i="6" s="1"/>
  <c r="H130" i="6"/>
  <c r="F130" i="6"/>
  <c r="E128" i="6"/>
  <c r="H127" i="6"/>
  <c r="G127" i="6"/>
  <c r="F127" i="6"/>
  <c r="E127" i="6"/>
  <c r="H126" i="6"/>
  <c r="G126" i="6"/>
  <c r="F126" i="6"/>
  <c r="E126" i="6"/>
  <c r="E124" i="6"/>
  <c r="I124" i="6" s="1"/>
  <c r="H123" i="6"/>
  <c r="G123" i="6"/>
  <c r="F123" i="6"/>
  <c r="E123" i="6"/>
  <c r="H122" i="6"/>
  <c r="G122" i="6"/>
  <c r="F122" i="6"/>
  <c r="E122" i="6"/>
  <c r="E120" i="6"/>
  <c r="I120" i="6" s="1"/>
  <c r="H119" i="6"/>
  <c r="G119" i="6"/>
  <c r="G118" i="6" s="1"/>
  <c r="F119" i="6"/>
  <c r="F118" i="6" s="1"/>
  <c r="H118" i="6"/>
  <c r="D116" i="6"/>
  <c r="H115" i="6"/>
  <c r="G115" i="6"/>
  <c r="F115" i="6"/>
  <c r="D115" i="6"/>
  <c r="H114" i="6"/>
  <c r="H109" i="6" s="1"/>
  <c r="G114" i="6"/>
  <c r="F114" i="6"/>
  <c r="D114" i="6"/>
  <c r="G111" i="6"/>
  <c r="F111" i="6"/>
  <c r="G110" i="6"/>
  <c r="H23" i="6"/>
  <c r="G23" i="6"/>
  <c r="F23" i="6"/>
  <c r="E23" i="6"/>
  <c r="H22" i="6"/>
  <c r="G22" i="6"/>
  <c r="F22" i="6"/>
  <c r="E22" i="6"/>
  <c r="H21" i="6"/>
  <c r="G21" i="6"/>
  <c r="F21" i="6"/>
  <c r="E21" i="6"/>
  <c r="H20" i="6"/>
  <c r="G20" i="6"/>
  <c r="F20" i="6"/>
  <c r="E20" i="6"/>
  <c r="H19" i="6"/>
  <c r="G19" i="6"/>
  <c r="F19" i="6"/>
  <c r="E19" i="6"/>
  <c r="H18" i="6"/>
  <c r="G18" i="6"/>
  <c r="F18" i="6"/>
  <c r="E18" i="6"/>
  <c r="H17" i="6"/>
  <c r="G17" i="6"/>
  <c r="F17" i="6"/>
  <c r="E17" i="6"/>
  <c r="H16" i="6"/>
  <c r="G16" i="6"/>
  <c r="F16" i="6"/>
  <c r="E16" i="6"/>
  <c r="D16" i="6"/>
  <c r="H15" i="6"/>
  <c r="G15" i="6"/>
  <c r="F15" i="6"/>
  <c r="E15" i="6"/>
  <c r="E14" i="6" s="1"/>
  <c r="D15" i="6"/>
  <c r="H14" i="6"/>
  <c r="H13" i="6" s="1"/>
  <c r="H12" i="6"/>
  <c r="G12" i="6"/>
  <c r="F12" i="6"/>
  <c r="E12" i="6"/>
  <c r="D12" i="6"/>
  <c r="H11" i="6"/>
  <c r="G11" i="6"/>
  <c r="F11" i="6"/>
  <c r="H10" i="6"/>
  <c r="D85" i="7"/>
  <c r="D84" i="7" s="1"/>
  <c r="H84" i="7"/>
  <c r="G84" i="7"/>
  <c r="F84" i="7"/>
  <c r="E84" i="7"/>
  <c r="E81" i="7" s="1"/>
  <c r="D83" i="7"/>
  <c r="D82" i="7" s="1"/>
  <c r="D81" i="7" s="1"/>
  <c r="H82" i="7"/>
  <c r="G82" i="7"/>
  <c r="F82" i="7"/>
  <c r="E82" i="7"/>
  <c r="I82" i="7" s="1"/>
  <c r="D80" i="7"/>
  <c r="D79" i="7" s="1"/>
  <c r="H79" i="7"/>
  <c r="G79" i="7"/>
  <c r="F79" i="7"/>
  <c r="E79" i="7"/>
  <c r="D78" i="7"/>
  <c r="D77" i="7"/>
  <c r="H76" i="7"/>
  <c r="H75" i="7" s="1"/>
  <c r="G76" i="7"/>
  <c r="M76" i="7" s="1"/>
  <c r="F76" i="7"/>
  <c r="F75" i="7" s="1"/>
  <c r="E76" i="7"/>
  <c r="D73" i="7"/>
  <c r="D72" i="7" s="1"/>
  <c r="H72" i="7"/>
  <c r="G72" i="7"/>
  <c r="G69" i="7" s="1"/>
  <c r="F72" i="7"/>
  <c r="F69" i="7" s="1"/>
  <c r="E72" i="7"/>
  <c r="D71" i="7"/>
  <c r="D70" i="7" s="1"/>
  <c r="H70" i="7"/>
  <c r="G70" i="7"/>
  <c r="F70" i="7"/>
  <c r="E70" i="7"/>
  <c r="E69" i="7"/>
  <c r="E68" i="7"/>
  <c r="I68" i="7" s="1"/>
  <c r="H67" i="7"/>
  <c r="G67" i="7"/>
  <c r="F67" i="7"/>
  <c r="D66" i="7"/>
  <c r="E65" i="7"/>
  <c r="H64" i="7"/>
  <c r="H63" i="7" s="1"/>
  <c r="G64" i="7"/>
  <c r="F64" i="7"/>
  <c r="F63" i="7" s="1"/>
  <c r="G63" i="7"/>
  <c r="H60" i="7"/>
  <c r="H59" i="7" s="1"/>
  <c r="G60" i="7"/>
  <c r="F60" i="7"/>
  <c r="F59" i="7" s="1"/>
  <c r="E60" i="7"/>
  <c r="D60" i="7"/>
  <c r="D59" i="7" s="1"/>
  <c r="G59" i="7"/>
  <c r="E59" i="7"/>
  <c r="D58" i="7"/>
  <c r="D57" i="7" s="1"/>
  <c r="D56" i="7" s="1"/>
  <c r="H57" i="7"/>
  <c r="G57" i="7"/>
  <c r="G56" i="7" s="1"/>
  <c r="F57" i="7"/>
  <c r="F56" i="7" s="1"/>
  <c r="E57" i="7"/>
  <c r="H56" i="7"/>
  <c r="E56" i="7"/>
  <c r="D54" i="7"/>
  <c r="D53" i="7" s="1"/>
  <c r="H53" i="7"/>
  <c r="G53" i="7"/>
  <c r="F53" i="7"/>
  <c r="E53" i="7"/>
  <c r="E52" i="7"/>
  <c r="E20" i="7" s="1"/>
  <c r="D69" i="1" s="1"/>
  <c r="H51" i="7"/>
  <c r="G51" i="7"/>
  <c r="F51" i="7"/>
  <c r="E51" i="7"/>
  <c r="H50" i="7"/>
  <c r="G50" i="7"/>
  <c r="F50" i="7"/>
  <c r="E50" i="7"/>
  <c r="D49" i="7"/>
  <c r="H48" i="7"/>
  <c r="G48" i="7"/>
  <c r="F48" i="7"/>
  <c r="E48" i="7"/>
  <c r="D48" i="7"/>
  <c r="D47" i="7"/>
  <c r="D46" i="7" s="1"/>
  <c r="H46" i="7"/>
  <c r="G46" i="7"/>
  <c r="F46" i="7"/>
  <c r="E46" i="7"/>
  <c r="H45" i="7"/>
  <c r="G45" i="7"/>
  <c r="F45" i="7"/>
  <c r="E45" i="7"/>
  <c r="H42" i="7"/>
  <c r="G42" i="7"/>
  <c r="F42" i="7"/>
  <c r="E42" i="7"/>
  <c r="E39" i="7" s="1"/>
  <c r="D40" i="7"/>
  <c r="H40" i="7"/>
  <c r="G40" i="7"/>
  <c r="F40" i="7"/>
  <c r="E40" i="7"/>
  <c r="H39" i="7"/>
  <c r="D38" i="7"/>
  <c r="H37" i="7"/>
  <c r="G37" i="7"/>
  <c r="F37" i="7"/>
  <c r="E37" i="7"/>
  <c r="D36" i="7"/>
  <c r="D35" i="7"/>
  <c r="J35" i="7" s="1"/>
  <c r="H34" i="7"/>
  <c r="G34" i="7"/>
  <c r="F34" i="7"/>
  <c r="E34" i="7"/>
  <c r="E33" i="7" s="1"/>
  <c r="D31" i="7"/>
  <c r="D30" i="7" s="1"/>
  <c r="D29" i="7" s="1"/>
  <c r="H30" i="7"/>
  <c r="H29" i="7" s="1"/>
  <c r="G30" i="7"/>
  <c r="F30" i="7"/>
  <c r="F29" i="7" s="1"/>
  <c r="E30" i="7"/>
  <c r="E29" i="7" s="1"/>
  <c r="D28" i="7"/>
  <c r="H27" i="7"/>
  <c r="G27" i="7"/>
  <c r="M27" i="7" s="1"/>
  <c r="F27" i="7"/>
  <c r="E27" i="7"/>
  <c r="D26" i="7"/>
  <c r="H25" i="7"/>
  <c r="G25" i="7"/>
  <c r="F25" i="7"/>
  <c r="F24" i="7" s="1"/>
  <c r="E25" i="7"/>
  <c r="H24" i="7"/>
  <c r="H22" i="7"/>
  <c r="G22" i="7"/>
  <c r="F22" i="7"/>
  <c r="E22" i="7"/>
  <c r="H21" i="7"/>
  <c r="H20" i="7"/>
  <c r="G69" i="1" s="1"/>
  <c r="G20" i="7"/>
  <c r="F69" i="1" s="1"/>
  <c r="F20" i="7"/>
  <c r="E69" i="1" s="1"/>
  <c r="G19" i="7"/>
  <c r="E19" i="7"/>
  <c r="H17" i="7"/>
  <c r="G17" i="7"/>
  <c r="F17" i="7"/>
  <c r="F16" i="7" s="1"/>
  <c r="E17" i="7"/>
  <c r="E16" i="7" s="1"/>
  <c r="H16" i="7"/>
  <c r="G13" i="7"/>
  <c r="H9" i="7"/>
  <c r="G9" i="7"/>
  <c r="F9" i="7"/>
  <c r="E9" i="7"/>
  <c r="D256" i="8"/>
  <c r="J256" i="8" s="1"/>
  <c r="D255" i="8"/>
  <c r="H254" i="8"/>
  <c r="G254" i="8"/>
  <c r="G253" i="8" s="1"/>
  <c r="F254" i="8"/>
  <c r="F253" i="8" s="1"/>
  <c r="E254" i="8"/>
  <c r="H253" i="8"/>
  <c r="D252" i="8"/>
  <c r="J252" i="8" s="1"/>
  <c r="D251" i="8"/>
  <c r="J251" i="8" s="1"/>
  <c r="H250" i="8"/>
  <c r="G250" i="8"/>
  <c r="G249" i="8" s="1"/>
  <c r="F250" i="8"/>
  <c r="F249" i="8" s="1"/>
  <c r="E250" i="8"/>
  <c r="H249" i="8"/>
  <c r="E247" i="8"/>
  <c r="E240" i="8" s="1"/>
  <c r="H246" i="8"/>
  <c r="G246" i="8"/>
  <c r="F246" i="8"/>
  <c r="E246" i="8"/>
  <c r="H245" i="8"/>
  <c r="G245" i="8"/>
  <c r="F245" i="8"/>
  <c r="E245" i="8"/>
  <c r="E244" i="8"/>
  <c r="I244" i="8" s="1"/>
  <c r="H243" i="8"/>
  <c r="G243" i="8"/>
  <c r="F243" i="8"/>
  <c r="H242" i="8"/>
  <c r="H231" i="8" s="1"/>
  <c r="G242" i="8"/>
  <c r="F242" i="8"/>
  <c r="H240" i="8"/>
  <c r="G240" i="8"/>
  <c r="F240" i="8"/>
  <c r="H239" i="8"/>
  <c r="G70" i="1" s="1"/>
  <c r="G239" i="8"/>
  <c r="F239" i="8"/>
  <c r="E70" i="1" s="1"/>
  <c r="E239" i="8"/>
  <c r="D239" i="8"/>
  <c r="C70" i="1" s="1"/>
  <c r="H236" i="8"/>
  <c r="G236" i="8"/>
  <c r="F236" i="8"/>
  <c r="H235" i="8"/>
  <c r="G61" i="1" s="1"/>
  <c r="G235" i="8"/>
  <c r="F235" i="8"/>
  <c r="E61" i="1" s="1"/>
  <c r="E235" i="8"/>
  <c r="D235" i="8"/>
  <c r="C61" i="1" s="1"/>
  <c r="D227" i="8"/>
  <c r="D226" i="8" s="1"/>
  <c r="D225" i="8" s="1"/>
  <c r="E226" i="8"/>
  <c r="E225" i="8" s="1"/>
  <c r="D224" i="8"/>
  <c r="E223" i="8"/>
  <c r="D222" i="8"/>
  <c r="D221" i="8" s="1"/>
  <c r="E221" i="8"/>
  <c r="D218" i="8"/>
  <c r="D217" i="8"/>
  <c r="H216" i="8"/>
  <c r="G216" i="8"/>
  <c r="F216" i="8"/>
  <c r="E216" i="8"/>
  <c r="D215" i="8"/>
  <c r="D214" i="8"/>
  <c r="H213" i="8"/>
  <c r="G213" i="8"/>
  <c r="G212" i="8" s="1"/>
  <c r="F213" i="8"/>
  <c r="F212" i="8" s="1"/>
  <c r="E213" i="8"/>
  <c r="H212" i="8"/>
  <c r="D211" i="8"/>
  <c r="D210" i="8"/>
  <c r="H209" i="8"/>
  <c r="G209" i="8"/>
  <c r="F209" i="8"/>
  <c r="E209" i="8"/>
  <c r="D208" i="8"/>
  <c r="D207" i="8"/>
  <c r="H206" i="8"/>
  <c r="H205" i="8" s="1"/>
  <c r="G206" i="8"/>
  <c r="G205" i="8" s="1"/>
  <c r="F206" i="8"/>
  <c r="F205" i="8" s="1"/>
  <c r="E206" i="8"/>
  <c r="D162" i="8"/>
  <c r="D159" i="8"/>
  <c r="J159" i="8" s="1"/>
  <c r="D158" i="8"/>
  <c r="J158" i="8" s="1"/>
  <c r="D153" i="8"/>
  <c r="D151" i="8" s="1"/>
  <c r="D150" i="8" s="1"/>
  <c r="D152" i="8"/>
  <c r="J152" i="8" s="1"/>
  <c r="G151" i="8"/>
  <c r="F151" i="8"/>
  <c r="E151" i="8"/>
  <c r="H150" i="8"/>
  <c r="G150" i="8"/>
  <c r="F150" i="8"/>
  <c r="E150" i="8"/>
  <c r="G148" i="8"/>
  <c r="F148" i="8"/>
  <c r="E148" i="8"/>
  <c r="D148" i="8"/>
  <c r="J148" i="8" s="1"/>
  <c r="D146" i="8"/>
  <c r="G145" i="8"/>
  <c r="F145" i="8"/>
  <c r="E145" i="8"/>
  <c r="D145" i="8"/>
  <c r="H144" i="8"/>
  <c r="D128" i="8"/>
  <c r="E127" i="8"/>
  <c r="D126" i="8"/>
  <c r="D123" i="8"/>
  <c r="E122" i="8"/>
  <c r="D121" i="8"/>
  <c r="E119" i="8"/>
  <c r="D117" i="8"/>
  <c r="E116" i="8"/>
  <c r="D115" i="8"/>
  <c r="J115" i="8" s="1"/>
  <c r="E113" i="8"/>
  <c r="D112" i="8"/>
  <c r="J112" i="8" s="1"/>
  <c r="E111" i="8"/>
  <c r="J110" i="8"/>
  <c r="E108" i="8"/>
  <c r="D106" i="8"/>
  <c r="D105" i="8"/>
  <c r="H104" i="8"/>
  <c r="G104" i="8"/>
  <c r="D103" i="8"/>
  <c r="D102" i="8"/>
  <c r="H101" i="8"/>
  <c r="H100" i="8" s="1"/>
  <c r="G101" i="8"/>
  <c r="D99" i="8"/>
  <c r="D98" i="8"/>
  <c r="H97" i="8"/>
  <c r="G97" i="8"/>
  <c r="D96" i="8"/>
  <c r="D95" i="8"/>
  <c r="D94" i="8"/>
  <c r="H93" i="8"/>
  <c r="G93" i="8"/>
  <c r="E89" i="8"/>
  <c r="D88" i="8"/>
  <c r="E85" i="8"/>
  <c r="E26" i="8" s="1"/>
  <c r="D84" i="8"/>
  <c r="E81" i="8"/>
  <c r="D80" i="8"/>
  <c r="E78" i="8"/>
  <c r="E16" i="8" s="1"/>
  <c r="L77" i="8"/>
  <c r="D76" i="8"/>
  <c r="J76" i="8" s="1"/>
  <c r="D72" i="8"/>
  <c r="D71" i="8" s="1"/>
  <c r="H71" i="8"/>
  <c r="G71" i="8"/>
  <c r="F71" i="8"/>
  <c r="E71" i="8"/>
  <c r="D70" i="8"/>
  <c r="J70" i="8" s="1"/>
  <c r="D69" i="8"/>
  <c r="D68" i="8" s="1"/>
  <c r="H68" i="8"/>
  <c r="G68" i="8"/>
  <c r="G67" i="8" s="1"/>
  <c r="F68" i="8"/>
  <c r="E68" i="8"/>
  <c r="D66" i="8"/>
  <c r="D65" i="8" s="1"/>
  <c r="H65" i="8"/>
  <c r="G65" i="8"/>
  <c r="F65" i="8"/>
  <c r="E65" i="8"/>
  <c r="D64" i="8"/>
  <c r="D63" i="8"/>
  <c r="J63" i="8" s="1"/>
  <c r="H62" i="8"/>
  <c r="H61" i="8" s="1"/>
  <c r="G62" i="8"/>
  <c r="G61" i="8" s="1"/>
  <c r="F62" i="8"/>
  <c r="F61" i="8" s="1"/>
  <c r="E62" i="8"/>
  <c r="D62" i="8"/>
  <c r="E59" i="8"/>
  <c r="H58" i="8"/>
  <c r="D57" i="8"/>
  <c r="J57" i="8" s="1"/>
  <c r="E56" i="8"/>
  <c r="H55" i="8"/>
  <c r="E53" i="8"/>
  <c r="H52" i="8"/>
  <c r="E51" i="8"/>
  <c r="D50" i="8"/>
  <c r="J50" i="8" s="1"/>
  <c r="H49" i="8"/>
  <c r="D46" i="8"/>
  <c r="J46" i="8" s="1"/>
  <c r="E45" i="8"/>
  <c r="H44" i="8"/>
  <c r="G44" i="8"/>
  <c r="F44" i="8"/>
  <c r="D43" i="8"/>
  <c r="J43" i="8" s="1"/>
  <c r="D42" i="8"/>
  <c r="H41" i="8"/>
  <c r="G41" i="8"/>
  <c r="F41" i="8"/>
  <c r="E41" i="8"/>
  <c r="E39" i="8"/>
  <c r="H38" i="8"/>
  <c r="G38" i="8"/>
  <c r="F38" i="8"/>
  <c r="E38" i="8"/>
  <c r="E37" i="8"/>
  <c r="D36" i="8"/>
  <c r="J36" i="8" s="1"/>
  <c r="H35" i="8"/>
  <c r="H34" i="8" s="1"/>
  <c r="G35" i="8"/>
  <c r="G34" i="8" s="1"/>
  <c r="F35" i="8"/>
  <c r="F34" i="8" s="1"/>
  <c r="H31" i="8"/>
  <c r="G36" i="1" s="1"/>
  <c r="G31" i="8"/>
  <c r="F36" i="1" s="1"/>
  <c r="F31" i="8"/>
  <c r="E36" i="1" s="1"/>
  <c r="G30" i="8"/>
  <c r="F30" i="8"/>
  <c r="E30" i="8"/>
  <c r="G27" i="8"/>
  <c r="F27" i="8"/>
  <c r="E27" i="8"/>
  <c r="H26" i="8"/>
  <c r="G30" i="1" s="1"/>
  <c r="G26" i="8"/>
  <c r="F30" i="1" s="1"/>
  <c r="F26" i="8"/>
  <c r="E30" i="1" s="1"/>
  <c r="H25" i="8"/>
  <c r="G25" i="8"/>
  <c r="F25" i="8"/>
  <c r="E25" i="8"/>
  <c r="G22" i="8"/>
  <c r="F22" i="8"/>
  <c r="E22" i="8"/>
  <c r="H21" i="8"/>
  <c r="G25" i="1" s="1"/>
  <c r="G21" i="8"/>
  <c r="F25" i="1" s="1"/>
  <c r="F21" i="8"/>
  <c r="E25" i="1" s="1"/>
  <c r="E21" i="8"/>
  <c r="D25" i="1" s="1"/>
  <c r="G20" i="8"/>
  <c r="F20" i="8"/>
  <c r="E20" i="8"/>
  <c r="H19" i="8"/>
  <c r="G19" i="8"/>
  <c r="F19" i="8"/>
  <c r="E19" i="8"/>
  <c r="H17" i="8"/>
  <c r="G17" i="8"/>
  <c r="F17" i="8"/>
  <c r="E17" i="8"/>
  <c r="H16" i="8"/>
  <c r="G16" i="8"/>
  <c r="F16" i="8"/>
  <c r="H15" i="8"/>
  <c r="G15" i="8"/>
  <c r="F15" i="8"/>
  <c r="H14" i="8"/>
  <c r="G14" i="8"/>
  <c r="F14" i="8"/>
  <c r="E71" i="9"/>
  <c r="H70" i="9"/>
  <c r="G70" i="9"/>
  <c r="G69" i="9" s="1"/>
  <c r="F70" i="9"/>
  <c r="H69" i="9"/>
  <c r="F69" i="9"/>
  <c r="H67" i="9"/>
  <c r="H66" i="9" s="1"/>
  <c r="H65" i="9" s="1"/>
  <c r="G67" i="9"/>
  <c r="G66" i="9" s="1"/>
  <c r="G65" i="9" s="1"/>
  <c r="F67" i="9"/>
  <c r="F66" i="9" s="1"/>
  <c r="F65" i="9" s="1"/>
  <c r="H64" i="9"/>
  <c r="G64" i="9"/>
  <c r="F64" i="9"/>
  <c r="H63" i="9"/>
  <c r="H62" i="9" s="1"/>
  <c r="G63" i="9"/>
  <c r="F63" i="9"/>
  <c r="F62" i="9" s="1"/>
  <c r="E63" i="9"/>
  <c r="D63" i="9"/>
  <c r="D57" i="9"/>
  <c r="D56" i="9" s="1"/>
  <c r="D55" i="9" s="1"/>
  <c r="D13" i="9" s="1"/>
  <c r="H56" i="9"/>
  <c r="G56" i="9"/>
  <c r="G55" i="9" s="1"/>
  <c r="G13" i="9" s="1"/>
  <c r="F56" i="9"/>
  <c r="F55" i="9" s="1"/>
  <c r="F13" i="9" s="1"/>
  <c r="E56" i="9"/>
  <c r="E55" i="9" s="1"/>
  <c r="E13" i="9" s="1"/>
  <c r="H55" i="9"/>
  <c r="H13" i="9" s="1"/>
  <c r="D53" i="9"/>
  <c r="J53" i="9" s="1"/>
  <c r="H52" i="9"/>
  <c r="G52" i="9"/>
  <c r="F52" i="9"/>
  <c r="E52" i="9"/>
  <c r="H51" i="9"/>
  <c r="G51" i="9"/>
  <c r="F51" i="9"/>
  <c r="E51" i="9"/>
  <c r="D51" i="9" s="1"/>
  <c r="D50" i="9"/>
  <c r="H49" i="9"/>
  <c r="G49" i="9"/>
  <c r="F49" i="9"/>
  <c r="F48" i="9" s="1"/>
  <c r="E49" i="9"/>
  <c r="E48" i="9" s="1"/>
  <c r="H48" i="9"/>
  <c r="D46" i="9"/>
  <c r="J46" i="9" s="1"/>
  <c r="H45" i="9"/>
  <c r="G45" i="9"/>
  <c r="F45" i="9"/>
  <c r="E45" i="9"/>
  <c r="H44" i="9"/>
  <c r="G44" i="9"/>
  <c r="F44" i="9"/>
  <c r="E44" i="9"/>
  <c r="D43" i="9"/>
  <c r="H42" i="9"/>
  <c r="G42" i="9"/>
  <c r="F42" i="9"/>
  <c r="F41" i="9" s="1"/>
  <c r="E42" i="9"/>
  <c r="E41" i="9" s="1"/>
  <c r="H41" i="9"/>
  <c r="H39" i="9"/>
  <c r="G38" i="9"/>
  <c r="G37" i="9" s="1"/>
  <c r="F38" i="9"/>
  <c r="F37" i="9" s="1"/>
  <c r="D36" i="9"/>
  <c r="J36" i="9" s="1"/>
  <c r="H35" i="9"/>
  <c r="G35" i="9"/>
  <c r="F35" i="9"/>
  <c r="D34" i="9"/>
  <c r="J34" i="9" s="1"/>
  <c r="H33" i="9"/>
  <c r="H32" i="9" s="1"/>
  <c r="G33" i="9"/>
  <c r="G32" i="9" s="1"/>
  <c r="F33" i="9"/>
  <c r="F32" i="9" s="1"/>
  <c r="D30" i="9"/>
  <c r="J30" i="9" s="1"/>
  <c r="H29" i="9"/>
  <c r="H28" i="9" s="1"/>
  <c r="G29" i="9"/>
  <c r="E29" i="9"/>
  <c r="D29" i="9"/>
  <c r="E28" i="9"/>
  <c r="D27" i="9"/>
  <c r="H26" i="9"/>
  <c r="G26" i="9"/>
  <c r="E26" i="9"/>
  <c r="D25" i="9"/>
  <c r="D16" i="9" s="1"/>
  <c r="D15" i="9" s="1"/>
  <c r="H24" i="9"/>
  <c r="G24" i="9"/>
  <c r="E24" i="9"/>
  <c r="E23" i="9" s="1"/>
  <c r="E20" i="9"/>
  <c r="E19" i="9" s="1"/>
  <c r="F20" i="9"/>
  <c r="F19" i="9" s="1"/>
  <c r="H18" i="9"/>
  <c r="G18" i="9"/>
  <c r="G17" i="9" s="1"/>
  <c r="F18" i="9"/>
  <c r="F17" i="9" s="1"/>
  <c r="E18" i="9"/>
  <c r="E17" i="9" s="1"/>
  <c r="H17" i="9"/>
  <c r="H16" i="9"/>
  <c r="H15" i="9" s="1"/>
  <c r="G16" i="9"/>
  <c r="G15" i="9" s="1"/>
  <c r="F16" i="9"/>
  <c r="F15" i="9" s="1"/>
  <c r="E16" i="9"/>
  <c r="E15" i="9" s="1"/>
  <c r="K480" i="2"/>
  <c r="K478" i="2"/>
  <c r="E478" i="2"/>
  <c r="F478" i="2"/>
  <c r="G478" i="2"/>
  <c r="H478" i="2"/>
  <c r="E480" i="2"/>
  <c r="F480" i="2"/>
  <c r="G480" i="2"/>
  <c r="H480" i="2"/>
  <c r="K475" i="2"/>
  <c r="E475" i="2"/>
  <c r="F475" i="2"/>
  <c r="G475" i="2"/>
  <c r="H475" i="2"/>
  <c r="K473" i="2"/>
  <c r="E473" i="2"/>
  <c r="F473" i="2"/>
  <c r="G473" i="2"/>
  <c r="H473" i="2"/>
  <c r="H558" i="2"/>
  <c r="L554" i="2"/>
  <c r="H553" i="2"/>
  <c r="H552" i="2" s="1"/>
  <c r="F553" i="2"/>
  <c r="F552" i="2" s="1"/>
  <c r="E553" i="2"/>
  <c r="E552" i="2" s="1"/>
  <c r="H549" i="2"/>
  <c r="H548" i="2" s="1"/>
  <c r="H542" i="2"/>
  <c r="H538" i="2"/>
  <c r="D538" i="2" s="1"/>
  <c r="I557" i="2"/>
  <c r="D558" i="2"/>
  <c r="K557" i="2"/>
  <c r="H557" i="2"/>
  <c r="H556" i="2" s="1"/>
  <c r="F557" i="2"/>
  <c r="F556" i="2" s="1"/>
  <c r="E557" i="2"/>
  <c r="E556" i="2" s="1"/>
  <c r="I554" i="2"/>
  <c r="K553" i="2"/>
  <c r="I553" i="2"/>
  <c r="I550" i="2"/>
  <c r="D550" i="2"/>
  <c r="D549" i="2" s="1"/>
  <c r="K549" i="2"/>
  <c r="G549" i="2"/>
  <c r="F549" i="2"/>
  <c r="E549" i="2"/>
  <c r="E548" i="2" s="1"/>
  <c r="F548" i="2"/>
  <c r="K541" i="2"/>
  <c r="M541" i="2" s="1"/>
  <c r="G540" i="2"/>
  <c r="F541" i="2"/>
  <c r="F540" i="2" s="1"/>
  <c r="E541" i="2"/>
  <c r="E540" i="2" s="1"/>
  <c r="K537" i="2"/>
  <c r="G537" i="2"/>
  <c r="G536" i="2" s="1"/>
  <c r="F537" i="2"/>
  <c r="F536" i="2" s="1"/>
  <c r="E537" i="2"/>
  <c r="E536" i="2" s="1"/>
  <c r="D531" i="2"/>
  <c r="D534" i="2"/>
  <c r="D533" i="2" s="1"/>
  <c r="D532" i="2" s="1"/>
  <c r="F529" i="2"/>
  <c r="F528" i="2" s="1"/>
  <c r="E530" i="2"/>
  <c r="I530" i="2" s="1"/>
  <c r="F521" i="2"/>
  <c r="F520" i="2" s="1"/>
  <c r="E517" i="2"/>
  <c r="E516" i="2" s="1"/>
  <c r="E513" i="2"/>
  <c r="E512" i="2" s="1"/>
  <c r="H510" i="2"/>
  <c r="H472" i="2" s="1"/>
  <c r="E510" i="2"/>
  <c r="I510" i="2" s="1"/>
  <c r="E505" i="2"/>
  <c r="F501" i="2"/>
  <c r="F500" i="2" s="1"/>
  <c r="F497" i="2"/>
  <c r="F496" i="2" s="1"/>
  <c r="F483" i="2"/>
  <c r="F482" i="2" s="1"/>
  <c r="E482" i="2"/>
  <c r="K488" i="2"/>
  <c r="D465" i="2"/>
  <c r="D464" i="2" s="1"/>
  <c r="D463" i="2" s="1"/>
  <c r="E464" i="2"/>
  <c r="I441" i="2"/>
  <c r="I438" i="2"/>
  <c r="I437" i="2"/>
  <c r="K436" i="2"/>
  <c r="H446" i="2"/>
  <c r="G446" i="2"/>
  <c r="E445" i="2"/>
  <c r="I445" i="2" s="1"/>
  <c r="H439" i="2"/>
  <c r="G409" i="2"/>
  <c r="G408" i="2" s="1"/>
  <c r="E409" i="2"/>
  <c r="E408" i="2" s="1"/>
  <c r="D30" i="1" l="1"/>
  <c r="E24" i="8"/>
  <c r="F24" i="8"/>
  <c r="F231" i="8"/>
  <c r="F229" i="8" s="1"/>
  <c r="E11" i="6"/>
  <c r="J538" i="2"/>
  <c r="D537" i="2"/>
  <c r="D536" i="2" s="1"/>
  <c r="H537" i="2"/>
  <c r="H536" i="2" s="1"/>
  <c r="M475" i="2"/>
  <c r="F81" i="7"/>
  <c r="D542" i="2"/>
  <c r="H541" i="2"/>
  <c r="H540" i="2" s="1"/>
  <c r="J68" i="1"/>
  <c r="M480" i="2"/>
  <c r="D39" i="9"/>
  <c r="H21" i="9"/>
  <c r="E68" i="1"/>
  <c r="G68" i="1"/>
  <c r="F39" i="7"/>
  <c r="I65" i="7"/>
  <c r="I14" i="7" s="1"/>
  <c r="E14" i="7"/>
  <c r="D128" i="6"/>
  <c r="D127" i="6" s="1"/>
  <c r="D126" i="6" s="1"/>
  <c r="I128" i="6"/>
  <c r="G11" i="5"/>
  <c r="L446" i="2"/>
  <c r="M446" i="2"/>
  <c r="M537" i="2"/>
  <c r="L549" i="2"/>
  <c r="M549" i="2"/>
  <c r="J550" i="2"/>
  <c r="M473" i="2"/>
  <c r="L478" i="2"/>
  <c r="M478" i="2"/>
  <c r="D44" i="9"/>
  <c r="G62" i="9"/>
  <c r="F144" i="8"/>
  <c r="E55" i="1"/>
  <c r="G55" i="1"/>
  <c r="F19" i="7"/>
  <c r="H19" i="7"/>
  <c r="J26" i="7"/>
  <c r="D11" i="7"/>
  <c r="D15" i="7"/>
  <c r="G81" i="7"/>
  <c r="D51" i="5"/>
  <c r="H42" i="5"/>
  <c r="H40" i="5" s="1"/>
  <c r="E21" i="7"/>
  <c r="E18" i="7" s="1"/>
  <c r="F21" i="7"/>
  <c r="F238" i="8"/>
  <c r="F237" i="8" s="1"/>
  <c r="H40" i="8"/>
  <c r="H54" i="8"/>
  <c r="H92" i="8"/>
  <c r="H238" i="8"/>
  <c r="H237" i="8" s="1"/>
  <c r="D97" i="8"/>
  <c r="E23" i="1"/>
  <c r="G23" i="1"/>
  <c r="E61" i="8"/>
  <c r="E205" i="8"/>
  <c r="E212" i="8"/>
  <c r="D61" i="1"/>
  <c r="L235" i="8"/>
  <c r="F61" i="1"/>
  <c r="L61" i="1" s="1"/>
  <c r="M235" i="8"/>
  <c r="D70" i="1"/>
  <c r="L239" i="8"/>
  <c r="F70" i="1"/>
  <c r="L70" i="1" s="1"/>
  <c r="M239" i="8"/>
  <c r="D68" i="1"/>
  <c r="L240" i="8"/>
  <c r="F68" i="1"/>
  <c r="M240" i="8"/>
  <c r="H229" i="8"/>
  <c r="E249" i="8"/>
  <c r="H13" i="8"/>
  <c r="D23" i="1"/>
  <c r="F23" i="1"/>
  <c r="M19" i="8"/>
  <c r="E67" i="8"/>
  <c r="G92" i="8"/>
  <c r="D32" i="8"/>
  <c r="E124" i="8"/>
  <c r="D144" i="8"/>
  <c r="L236" i="8"/>
  <c r="F55" i="1"/>
  <c r="M236" i="8"/>
  <c r="E253" i="8"/>
  <c r="D18" i="1"/>
  <c r="F18" i="1"/>
  <c r="L148" i="8"/>
  <c r="M148" i="8"/>
  <c r="E18" i="1"/>
  <c r="G18" i="1"/>
  <c r="J39" i="9"/>
  <c r="D21" i="9"/>
  <c r="G14" i="6"/>
  <c r="G13" i="6" s="1"/>
  <c r="F10" i="6"/>
  <c r="D14" i="6"/>
  <c r="E13" i="6"/>
  <c r="D541" i="2"/>
  <c r="E22" i="5"/>
  <c r="F13" i="5"/>
  <c r="E27" i="5"/>
  <c r="D59" i="5"/>
  <c r="I59" i="5"/>
  <c r="I47" i="5" s="1"/>
  <c r="I44" i="5" s="1"/>
  <c r="I43" i="5" s="1"/>
  <c r="E65" i="5"/>
  <c r="E71" i="5"/>
  <c r="D72" i="5"/>
  <c r="D66" i="5"/>
  <c r="D65" i="5" s="1"/>
  <c r="F61" i="5"/>
  <c r="F110" i="6"/>
  <c r="H23" i="9"/>
  <c r="D71" i="9"/>
  <c r="D70" i="9" s="1"/>
  <c r="D69" i="9" s="1"/>
  <c r="D64" i="9" s="1"/>
  <c r="I71" i="9"/>
  <c r="H38" i="9"/>
  <c r="H37" i="9" s="1"/>
  <c r="D37" i="9" s="1"/>
  <c r="D45" i="9"/>
  <c r="G48" i="9"/>
  <c r="D49" i="9"/>
  <c r="J50" i="9"/>
  <c r="G41" i="9"/>
  <c r="D42" i="9"/>
  <c r="J43" i="9"/>
  <c r="H14" i="9"/>
  <c r="H12" i="9"/>
  <c r="G20" i="9"/>
  <c r="G28" i="9"/>
  <c r="G23" i="9"/>
  <c r="D24" i="9"/>
  <c r="J25" i="9"/>
  <c r="D26" i="9"/>
  <c r="D28" i="9"/>
  <c r="F13" i="8"/>
  <c r="E49" i="8"/>
  <c r="I51" i="8"/>
  <c r="F40" i="8"/>
  <c r="H48" i="8"/>
  <c r="D37" i="8"/>
  <c r="I37" i="8"/>
  <c r="D45" i="8"/>
  <c r="I45" i="8"/>
  <c r="D56" i="8"/>
  <c r="D55" i="8" s="1"/>
  <c r="I56" i="8"/>
  <c r="D39" i="8"/>
  <c r="I39" i="8"/>
  <c r="D51" i="8"/>
  <c r="D53" i="8"/>
  <c r="D52" i="8" s="1"/>
  <c r="I53" i="8"/>
  <c r="D59" i="8"/>
  <c r="D58" i="8" s="1"/>
  <c r="I59" i="8"/>
  <c r="D78" i="8"/>
  <c r="D16" i="8" s="1"/>
  <c r="C18" i="1" s="1"/>
  <c r="I78" i="8"/>
  <c r="D81" i="8"/>
  <c r="D79" i="8" s="1"/>
  <c r="I81" i="8"/>
  <c r="D85" i="8"/>
  <c r="D83" i="8" s="1"/>
  <c r="E83" i="8"/>
  <c r="I85" i="8"/>
  <c r="D89" i="8"/>
  <c r="D31" i="8" s="1"/>
  <c r="C36" i="1" s="1"/>
  <c r="E87" i="8"/>
  <c r="I89" i="8"/>
  <c r="D93" i="8"/>
  <c r="D247" i="8"/>
  <c r="I247" i="8"/>
  <c r="G13" i="8"/>
  <c r="F18" i="8"/>
  <c r="F12" i="8" s="1"/>
  <c r="E52" i="8"/>
  <c r="E48" i="8" s="1"/>
  <c r="E55" i="8"/>
  <c r="E144" i="8"/>
  <c r="G144" i="8"/>
  <c r="D67" i="8"/>
  <c r="D127" i="8"/>
  <c r="J128" i="8"/>
  <c r="F233" i="8"/>
  <c r="F232" i="8" s="1"/>
  <c r="H233" i="8"/>
  <c r="H232" i="8" s="1"/>
  <c r="D254" i="8"/>
  <c r="D253" i="8" s="1"/>
  <c r="J255" i="8"/>
  <c r="E35" i="8"/>
  <c r="J117" i="8"/>
  <c r="D120" i="8"/>
  <c r="J121" i="8"/>
  <c r="D122" i="8"/>
  <c r="J123" i="8"/>
  <c r="D125" i="8"/>
  <c r="J126" i="8"/>
  <c r="D161" i="8"/>
  <c r="J161" i="8" s="1"/>
  <c r="J162" i="8"/>
  <c r="D557" i="2"/>
  <c r="D556" i="2" s="1"/>
  <c r="J558" i="2"/>
  <c r="L473" i="2"/>
  <c r="L537" i="2"/>
  <c r="L541" i="2"/>
  <c r="D540" i="2"/>
  <c r="J542" i="2"/>
  <c r="L475" i="2"/>
  <c r="D120" i="6"/>
  <c r="D119" i="6" s="1"/>
  <c r="D118" i="6" s="1"/>
  <c r="E112" i="6"/>
  <c r="I112" i="6" s="1"/>
  <c r="E11" i="5"/>
  <c r="D23" i="5"/>
  <c r="D15" i="5"/>
  <c r="D25" i="5"/>
  <c r="D17" i="5"/>
  <c r="D16" i="5" s="1"/>
  <c r="G29" i="7"/>
  <c r="M29" i="7" s="1"/>
  <c r="M30" i="7"/>
  <c r="D52" i="7"/>
  <c r="D20" i="7" s="1"/>
  <c r="C69" i="1" s="1"/>
  <c r="I52" i="7"/>
  <c r="I20" i="7" s="1"/>
  <c r="E75" i="7"/>
  <c r="I76" i="7"/>
  <c r="L82" i="7"/>
  <c r="M82" i="7"/>
  <c r="G21" i="7"/>
  <c r="G18" i="7" s="1"/>
  <c r="E24" i="7"/>
  <c r="G24" i="7"/>
  <c r="H13" i="7"/>
  <c r="D25" i="7"/>
  <c r="H81" i="7"/>
  <c r="G16" i="7"/>
  <c r="D37" i="7"/>
  <c r="G33" i="7"/>
  <c r="F13" i="7"/>
  <c r="G40" i="8"/>
  <c r="D206" i="8"/>
  <c r="J207" i="8"/>
  <c r="F10" i="8"/>
  <c r="D223" i="8"/>
  <c r="J224" i="8"/>
  <c r="D213" i="8"/>
  <c r="D216" i="8"/>
  <c r="D209" i="8"/>
  <c r="G29" i="8"/>
  <c r="G100" i="8"/>
  <c r="D104" i="8"/>
  <c r="D101" i="8"/>
  <c r="G24" i="8"/>
  <c r="D92" i="8"/>
  <c r="D35" i="8"/>
  <c r="G75" i="7"/>
  <c r="L76" i="7"/>
  <c r="D76" i="7"/>
  <c r="G71" i="5"/>
  <c r="D14" i="5"/>
  <c r="D13" i="5" s="1"/>
  <c r="D45" i="5"/>
  <c r="C60" i="1" s="1"/>
  <c r="D49" i="5"/>
  <c r="D48" i="5" s="1"/>
  <c r="F22" i="5"/>
  <c r="H22" i="5"/>
  <c r="G10" i="5"/>
  <c r="H44" i="5"/>
  <c r="H43" i="5" s="1"/>
  <c r="E13" i="5"/>
  <c r="I440" i="2"/>
  <c r="F468" i="2"/>
  <c r="E50" i="1" s="1"/>
  <c r="H468" i="2"/>
  <c r="K540" i="2"/>
  <c r="K556" i="2"/>
  <c r="I556" i="2"/>
  <c r="J556" i="2" s="1"/>
  <c r="K487" i="2"/>
  <c r="I541" i="2"/>
  <c r="K548" i="2"/>
  <c r="I549" i="2"/>
  <c r="J549" i="2" s="1"/>
  <c r="I552" i="2"/>
  <c r="J55" i="1"/>
  <c r="K477" i="2"/>
  <c r="F12" i="7"/>
  <c r="F14" i="9"/>
  <c r="F29" i="8"/>
  <c r="F23" i="8" s="1"/>
  <c r="E220" i="8"/>
  <c r="H12" i="7"/>
  <c r="F18" i="7"/>
  <c r="G39" i="7"/>
  <c r="F14" i="6"/>
  <c r="F13" i="6" s="1"/>
  <c r="F109" i="6"/>
  <c r="F107" i="6" s="1"/>
  <c r="E119" i="6"/>
  <c r="E118" i="6" s="1"/>
  <c r="E109" i="6" s="1"/>
  <c r="G109" i="6"/>
  <c r="E42" i="5"/>
  <c r="E40" i="5" s="1"/>
  <c r="G40" i="5"/>
  <c r="E14" i="9"/>
  <c r="G14" i="9"/>
  <c r="D18" i="9"/>
  <c r="D17" i="9" s="1"/>
  <c r="F12" i="9"/>
  <c r="F11" i="9" s="1"/>
  <c r="E18" i="8"/>
  <c r="G231" i="8"/>
  <c r="D250" i="8"/>
  <c r="D249" i="8" s="1"/>
  <c r="H18" i="7"/>
  <c r="F33" i="7"/>
  <c r="H33" i="7"/>
  <c r="E10" i="6"/>
  <c r="G10" i="6"/>
  <c r="D50" i="5"/>
  <c r="H50" i="5"/>
  <c r="D71" i="5"/>
  <c r="H11" i="9"/>
  <c r="D100" i="8"/>
  <c r="D14" i="9"/>
  <c r="D32" i="9"/>
  <c r="E238" i="8"/>
  <c r="K70" i="1"/>
  <c r="G238" i="8"/>
  <c r="G237" i="8" s="1"/>
  <c r="D42" i="7"/>
  <c r="D39" i="7" s="1"/>
  <c r="D22" i="7"/>
  <c r="D69" i="7"/>
  <c r="H69" i="7"/>
  <c r="H20" i="9"/>
  <c r="H19" i="9" s="1"/>
  <c r="D33" i="9"/>
  <c r="D35" i="9"/>
  <c r="E64" i="9"/>
  <c r="E67" i="9"/>
  <c r="E70" i="9"/>
  <c r="E14" i="8"/>
  <c r="E15" i="8"/>
  <c r="D19" i="8"/>
  <c r="C23" i="1" s="1"/>
  <c r="H20" i="8"/>
  <c r="H22" i="8"/>
  <c r="H27" i="8"/>
  <c r="H30" i="8"/>
  <c r="E31" i="8"/>
  <c r="F67" i="8"/>
  <c r="H67" i="8"/>
  <c r="D77" i="8"/>
  <c r="E79" i="8"/>
  <c r="D116" i="8"/>
  <c r="D244" i="8"/>
  <c r="E243" i="8"/>
  <c r="E242" i="8"/>
  <c r="E236" i="8"/>
  <c r="E233" i="8" s="1"/>
  <c r="E13" i="7"/>
  <c r="E12" i="7" s="1"/>
  <c r="D27" i="7"/>
  <c r="D24" i="7" s="1"/>
  <c r="D65" i="7"/>
  <c r="D14" i="7" s="1"/>
  <c r="E64" i="7"/>
  <c r="D68" i="7"/>
  <c r="D67" i="7" s="1"/>
  <c r="E67" i="7"/>
  <c r="H111" i="6"/>
  <c r="H110" i="6" s="1"/>
  <c r="D124" i="6"/>
  <c r="D123" i="6" s="1"/>
  <c r="D122" i="6" s="1"/>
  <c r="D109" i="6" s="1"/>
  <c r="E111" i="6"/>
  <c r="E110" i="6" s="1"/>
  <c r="D135" i="6"/>
  <c r="D134" i="6" s="1"/>
  <c r="D108" i="6" s="1"/>
  <c r="H135" i="6"/>
  <c r="H134" i="6" s="1"/>
  <c r="H108" i="6" s="1"/>
  <c r="E10" i="5"/>
  <c r="G13" i="5"/>
  <c r="D28" i="5"/>
  <c r="D27" i="5" s="1"/>
  <c r="D19" i="5"/>
  <c r="D18" i="5" s="1"/>
  <c r="E44" i="5"/>
  <c r="E43" i="5" s="1"/>
  <c r="G44" i="5"/>
  <c r="G43" i="5" s="1"/>
  <c r="D45" i="7"/>
  <c r="D111" i="8"/>
  <c r="D22" i="8"/>
  <c r="F11" i="8"/>
  <c r="D58" i="5"/>
  <c r="D57" i="5" s="1"/>
  <c r="D47" i="5"/>
  <c r="D52" i="9"/>
  <c r="G18" i="8"/>
  <c r="G12" i="8" s="1"/>
  <c r="E58" i="8"/>
  <c r="G233" i="8"/>
  <c r="G232" i="8" s="1"/>
  <c r="K61" i="1"/>
  <c r="E463" i="2"/>
  <c r="E509" i="2"/>
  <c r="E508" i="2" s="1"/>
  <c r="E12" i="9"/>
  <c r="E11" i="9" s="1"/>
  <c r="G12" i="9"/>
  <c r="D62" i="9"/>
  <c r="E54" i="8"/>
  <c r="E75" i="8"/>
  <c r="G10" i="8"/>
  <c r="E107" i="6"/>
  <c r="G107" i="6"/>
  <c r="D220" i="8"/>
  <c r="G11" i="8"/>
  <c r="D61" i="8"/>
  <c r="E468" i="2"/>
  <c r="D50" i="1" s="1"/>
  <c r="G553" i="2"/>
  <c r="G552" i="2" s="1"/>
  <c r="L472" i="2"/>
  <c r="G477" i="2"/>
  <c r="G476" i="2" s="1"/>
  <c r="H477" i="2"/>
  <c r="H476" i="2" s="1"/>
  <c r="F477" i="2"/>
  <c r="F476" i="2" s="1"/>
  <c r="D21" i="6"/>
  <c r="D11" i="6"/>
  <c r="D18" i="6"/>
  <c r="D23" i="6"/>
  <c r="D22" i="6" s="1"/>
  <c r="D51" i="7"/>
  <c r="D50" i="7" s="1"/>
  <c r="D34" i="7"/>
  <c r="D9" i="7"/>
  <c r="D246" i="8"/>
  <c r="D245" i="8" s="1"/>
  <c r="D240" i="8"/>
  <c r="D44" i="8"/>
  <c r="D30" i="8"/>
  <c r="D114" i="8"/>
  <c r="D27" i="8"/>
  <c r="D14" i="8"/>
  <c r="D38" i="8"/>
  <c r="D34" i="8" s="1"/>
  <c r="D20" i="8"/>
  <c r="D25" i="8"/>
  <c r="D41" i="8"/>
  <c r="D49" i="8"/>
  <c r="D109" i="8"/>
  <c r="D108" i="8" s="1"/>
  <c r="D17" i="8"/>
  <c r="D119" i="8"/>
  <c r="D124" i="8"/>
  <c r="D26" i="8"/>
  <c r="C30" i="1" s="1"/>
  <c r="E44" i="8"/>
  <c r="D23" i="9"/>
  <c r="K552" i="2"/>
  <c r="D554" i="2"/>
  <c r="D553" i="2" s="1"/>
  <c r="D552" i="2" s="1"/>
  <c r="K536" i="2"/>
  <c r="I537" i="2"/>
  <c r="G548" i="2"/>
  <c r="G557" i="2"/>
  <c r="G556" i="2" s="1"/>
  <c r="D548" i="2"/>
  <c r="I436" i="2"/>
  <c r="E395" i="2"/>
  <c r="F400" i="2"/>
  <c r="F399" i="2" s="1"/>
  <c r="E397" i="2"/>
  <c r="I392" i="2"/>
  <c r="G391" i="2"/>
  <c r="F391" i="2"/>
  <c r="G390" i="2"/>
  <c r="F390" i="2"/>
  <c r="I362" i="2"/>
  <c r="I365" i="2"/>
  <c r="K364" i="2"/>
  <c r="I364" i="2"/>
  <c r="K363" i="2"/>
  <c r="I363" i="2"/>
  <c r="K361" i="2"/>
  <c r="H364" i="2"/>
  <c r="G364" i="2"/>
  <c r="H363" i="2"/>
  <c r="G363" i="2"/>
  <c r="E358" i="2"/>
  <c r="E355" i="2"/>
  <c r="E350" i="2"/>
  <c r="E345" i="2"/>
  <c r="E344" i="2" s="1"/>
  <c r="E336" i="2"/>
  <c r="E335" i="2" s="1"/>
  <c r="E334" i="2"/>
  <c r="E332" i="2"/>
  <c r="F322" i="2"/>
  <c r="E314" i="2"/>
  <c r="I298" i="2"/>
  <c r="E278" i="2"/>
  <c r="I278" i="2" s="1"/>
  <c r="G273" i="2"/>
  <c r="G272" i="2" s="1"/>
  <c r="I265" i="2"/>
  <c r="I264" i="2" s="1"/>
  <c r="I263" i="2" s="1"/>
  <c r="K264" i="2"/>
  <c r="K263" i="2" s="1"/>
  <c r="G264" i="2"/>
  <c r="G263" i="2" s="1"/>
  <c r="E253" i="2"/>
  <c r="E252" i="2" s="1"/>
  <c r="I244" i="2"/>
  <c r="G243" i="2"/>
  <c r="G242" i="2" s="1"/>
  <c r="E240" i="2"/>
  <c r="E238" i="2"/>
  <c r="F234" i="2"/>
  <c r="E235" i="2"/>
  <c r="E232" i="2"/>
  <c r="E213" i="2"/>
  <c r="E211" i="2"/>
  <c r="E202" i="2"/>
  <c r="E197" i="2"/>
  <c r="E194" i="2"/>
  <c r="E190" i="2"/>
  <c r="E187" i="2"/>
  <c r="E185" i="2"/>
  <c r="K68" i="1" l="1"/>
  <c r="D54" i="8"/>
  <c r="H18" i="8"/>
  <c r="H12" i="8" s="1"/>
  <c r="D48" i="8"/>
  <c r="D21" i="8"/>
  <c r="C25" i="1" s="1"/>
  <c r="E74" i="8"/>
  <c r="E237" i="2"/>
  <c r="J541" i="2"/>
  <c r="L23" i="1"/>
  <c r="L68" i="1"/>
  <c r="M263" i="2"/>
  <c r="M264" i="2"/>
  <c r="M363" i="2"/>
  <c r="M364" i="2"/>
  <c r="D42" i="5"/>
  <c r="D40" i="5" s="1"/>
  <c r="M477" i="2"/>
  <c r="M548" i="2"/>
  <c r="M556" i="2"/>
  <c r="H11" i="5"/>
  <c r="H10" i="5" s="1"/>
  <c r="D468" i="2"/>
  <c r="M553" i="2"/>
  <c r="M557" i="2"/>
  <c r="E69" i="9"/>
  <c r="E62" i="9"/>
  <c r="J557" i="2"/>
  <c r="J71" i="9"/>
  <c r="I70" i="9"/>
  <c r="D21" i="7"/>
  <c r="E40" i="8"/>
  <c r="D40" i="8"/>
  <c r="D238" i="8"/>
  <c r="D237" i="8" s="1"/>
  <c r="E232" i="8"/>
  <c r="E231" i="8"/>
  <c r="H24" i="8"/>
  <c r="E237" i="8"/>
  <c r="G229" i="8"/>
  <c r="E34" i="8"/>
  <c r="I87" i="8"/>
  <c r="D55" i="1"/>
  <c r="H29" i="8"/>
  <c r="I83" i="8"/>
  <c r="K55" i="1"/>
  <c r="L55" i="1"/>
  <c r="E29" i="8"/>
  <c r="E23" i="8" s="1"/>
  <c r="D36" i="1"/>
  <c r="D20" i="6"/>
  <c r="D19" i="6" s="1"/>
  <c r="D17" i="6"/>
  <c r="D13" i="6" s="1"/>
  <c r="D10" i="6"/>
  <c r="L552" i="2"/>
  <c r="M552" i="2"/>
  <c r="L540" i="2"/>
  <c r="M540" i="2"/>
  <c r="L536" i="2"/>
  <c r="M536" i="2"/>
  <c r="F42" i="5"/>
  <c r="F40" i="5" s="1"/>
  <c r="D107" i="6"/>
  <c r="D38" i="9"/>
  <c r="D48" i="9"/>
  <c r="D41" i="9"/>
  <c r="G19" i="9"/>
  <c r="G11" i="9"/>
  <c r="D20" i="9"/>
  <c r="D15" i="8"/>
  <c r="J37" i="8"/>
  <c r="D75" i="8"/>
  <c r="D74" i="8" s="1"/>
  <c r="J77" i="8"/>
  <c r="E11" i="8"/>
  <c r="D87" i="8"/>
  <c r="D82" i="8" s="1"/>
  <c r="D10" i="8"/>
  <c r="F9" i="8"/>
  <c r="H10" i="8"/>
  <c r="L263" i="2"/>
  <c r="L264" i="2"/>
  <c r="L363" i="2"/>
  <c r="L364" i="2"/>
  <c r="L477" i="2"/>
  <c r="J552" i="2"/>
  <c r="L548" i="2"/>
  <c r="L556" i="2"/>
  <c r="J554" i="2"/>
  <c r="L553" i="2"/>
  <c r="J537" i="2"/>
  <c r="L557" i="2"/>
  <c r="J553" i="2"/>
  <c r="D112" i="6"/>
  <c r="D111" i="6" s="1"/>
  <c r="D110" i="6" s="1"/>
  <c r="F11" i="5"/>
  <c r="F10" i="5" s="1"/>
  <c r="D22" i="5"/>
  <c r="D64" i="7"/>
  <c r="J65" i="7"/>
  <c r="G12" i="7"/>
  <c r="D33" i="7"/>
  <c r="D212" i="8"/>
  <c r="D205" i="8"/>
  <c r="D29" i="8"/>
  <c r="G23" i="8"/>
  <c r="G9" i="8"/>
  <c r="D75" i="7"/>
  <c r="J76" i="7"/>
  <c r="D44" i="5"/>
  <c r="D43" i="5" s="1"/>
  <c r="I243" i="2"/>
  <c r="I435" i="2"/>
  <c r="I548" i="2"/>
  <c r="J548" i="2" s="1"/>
  <c r="I540" i="2"/>
  <c r="J540" i="2" s="1"/>
  <c r="I536" i="2"/>
  <c r="J536" i="2" s="1"/>
  <c r="I361" i="2"/>
  <c r="K360" i="2"/>
  <c r="K476" i="2"/>
  <c r="H107" i="6"/>
  <c r="H23" i="8"/>
  <c r="D63" i="7"/>
  <c r="G468" i="2"/>
  <c r="F50" i="1" s="1"/>
  <c r="E10" i="8"/>
  <c r="D18" i="8"/>
  <c r="D113" i="8"/>
  <c r="E63" i="7"/>
  <c r="D17" i="7"/>
  <c r="D243" i="8"/>
  <c r="D236" i="8"/>
  <c r="D242" i="8"/>
  <c r="D231" i="8" s="1"/>
  <c r="D229" i="8" s="1"/>
  <c r="E82" i="8"/>
  <c r="E13" i="8"/>
  <c r="E12" i="8" s="1"/>
  <c r="D67" i="9"/>
  <c r="D66" i="9" s="1"/>
  <c r="D65" i="9" s="1"/>
  <c r="E66" i="9"/>
  <c r="D19" i="7"/>
  <c r="D18" i="7" s="1"/>
  <c r="H11" i="8"/>
  <c r="I468" i="2"/>
  <c r="K468" i="2"/>
  <c r="M468" i="2" s="1"/>
  <c r="D13" i="8"/>
  <c r="D24" i="8"/>
  <c r="I360" i="2"/>
  <c r="E210" i="2"/>
  <c r="E394" i="2"/>
  <c r="I242" i="2"/>
  <c r="E180" i="2"/>
  <c r="E179" i="2" s="1"/>
  <c r="E172" i="2"/>
  <c r="E49" i="2" s="1"/>
  <c r="E170" i="2"/>
  <c r="E167" i="2"/>
  <c r="E165" i="2"/>
  <c r="E164" i="2"/>
  <c r="E159" i="2"/>
  <c r="E158" i="2" s="1"/>
  <c r="E157" i="2"/>
  <c r="E155" i="2"/>
  <c r="E137" i="2"/>
  <c r="E135" i="2"/>
  <c r="E133" i="2"/>
  <c r="E130" i="2"/>
  <c r="E129" i="2"/>
  <c r="E120" i="2"/>
  <c r="E119" i="2" s="1"/>
  <c r="E118" i="2"/>
  <c r="E113" i="2"/>
  <c r="E107" i="2"/>
  <c r="E104" i="2"/>
  <c r="E102" i="2"/>
  <c r="E99" i="2"/>
  <c r="E97" i="2"/>
  <c r="E87" i="2"/>
  <c r="E91" i="2"/>
  <c r="E84" i="2"/>
  <c r="I84" i="2" s="1"/>
  <c r="E77" i="2"/>
  <c r="E73" i="2" s="1"/>
  <c r="E72" i="2"/>
  <c r="E69" i="2"/>
  <c r="E59" i="2"/>
  <c r="E58" i="2" s="1"/>
  <c r="E55" i="2"/>
  <c r="E54" i="2"/>
  <c r="I54" i="2" s="1"/>
  <c r="K49" i="2"/>
  <c r="F49" i="2"/>
  <c r="G49" i="2"/>
  <c r="H49" i="2"/>
  <c r="K42" i="2"/>
  <c r="M42" i="2" s="1"/>
  <c r="G42" i="2"/>
  <c r="H42" i="2"/>
  <c r="D12" i="9" l="1"/>
  <c r="D11" i="9" s="1"/>
  <c r="I82" i="8"/>
  <c r="D11" i="8"/>
  <c r="D12" i="8"/>
  <c r="L49" i="2"/>
  <c r="L476" i="2"/>
  <c r="M476" i="2"/>
  <c r="J70" i="9"/>
  <c r="I69" i="9"/>
  <c r="J69" i="9" s="1"/>
  <c r="M49" i="2"/>
  <c r="E65" i="9"/>
  <c r="E229" i="8"/>
  <c r="E9" i="8"/>
  <c r="J468" i="2"/>
  <c r="L468" i="2"/>
  <c r="D19" i="9"/>
  <c r="H9" i="8"/>
  <c r="L42" i="2"/>
  <c r="D11" i="5"/>
  <c r="D10" i="5" s="1"/>
  <c r="D16" i="7"/>
  <c r="D13" i="7"/>
  <c r="D23" i="8"/>
  <c r="D233" i="8"/>
  <c r="D232" i="8" s="1"/>
  <c r="D9" i="8"/>
  <c r="E103" i="2"/>
  <c r="E134" i="2"/>
  <c r="D12" i="7" l="1"/>
  <c r="E152" i="3"/>
  <c r="E147" i="3"/>
  <c r="F201" i="3"/>
  <c r="F199" i="3"/>
  <c r="F196" i="3"/>
  <c r="F193" i="3"/>
  <c r="F189" i="3"/>
  <c r="F187" i="3"/>
  <c r="F184" i="3"/>
  <c r="F181" i="3"/>
  <c r="H173" i="3"/>
  <c r="H171" i="3"/>
  <c r="E171" i="3"/>
  <c r="I171" i="3" s="1"/>
  <c r="E166" i="3"/>
  <c r="D166" i="3" s="1"/>
  <c r="E161" i="3"/>
  <c r="E158" i="3"/>
  <c r="H154" i="3"/>
  <c r="H22" i="3" s="1"/>
  <c r="E154" i="3"/>
  <c r="H149" i="3"/>
  <c r="E149" i="3"/>
  <c r="E146" i="3"/>
  <c r="H146" i="3"/>
  <c r="H14" i="3" s="1"/>
  <c r="E142" i="3"/>
  <c r="E140" i="3"/>
  <c r="E137" i="3"/>
  <c r="E135" i="3"/>
  <c r="E110" i="3"/>
  <c r="E118" i="3"/>
  <c r="E116" i="3"/>
  <c r="H112" i="3"/>
  <c r="E113" i="3"/>
  <c r="E111" i="3"/>
  <c r="E106" i="3"/>
  <c r="E104" i="3"/>
  <c r="E101" i="3"/>
  <c r="E99" i="3"/>
  <c r="E98" i="3"/>
  <c r="E14" i="3" l="1"/>
  <c r="F186" i="3"/>
  <c r="F192" i="3"/>
  <c r="F198" i="3"/>
  <c r="F180" i="3"/>
  <c r="K93" i="3" l="1"/>
  <c r="K91" i="3"/>
  <c r="K88" i="3"/>
  <c r="K86" i="3"/>
  <c r="E92" i="3"/>
  <c r="E89" i="3"/>
  <c r="E87" i="3"/>
  <c r="E83" i="3"/>
  <c r="E81" i="3"/>
  <c r="E78" i="3"/>
  <c r="E76" i="3"/>
  <c r="H69" i="3"/>
  <c r="H20" i="3" s="1"/>
  <c r="H66" i="3"/>
  <c r="H17" i="3" s="1"/>
  <c r="H64" i="3"/>
  <c r="H15" i="3" s="1"/>
  <c r="K58" i="3"/>
  <c r="K56" i="3"/>
  <c r="K53" i="3"/>
  <c r="K50" i="3"/>
  <c r="E59" i="3"/>
  <c r="E22" i="3" s="1"/>
  <c r="E57" i="3"/>
  <c r="E20" i="3" s="1"/>
  <c r="E54" i="3"/>
  <c r="E17" i="3" s="1"/>
  <c r="E52" i="3"/>
  <c r="H46" i="3"/>
  <c r="H43" i="3" s="1"/>
  <c r="G46" i="3"/>
  <c r="H41" i="3"/>
  <c r="H38" i="3" s="1"/>
  <c r="M23" i="3"/>
  <c r="M24" i="3"/>
  <c r="M25" i="3"/>
  <c r="M26" i="3"/>
  <c r="M27" i="3"/>
  <c r="M28" i="3"/>
  <c r="M29" i="3"/>
  <c r="M36" i="3"/>
  <c r="M51" i="3"/>
  <c r="M52" i="3"/>
  <c r="M54" i="3"/>
  <c r="M57" i="3"/>
  <c r="M59" i="3"/>
  <c r="M63" i="3"/>
  <c r="M75" i="3"/>
  <c r="M87" i="3"/>
  <c r="M89" i="3"/>
  <c r="M92" i="3"/>
  <c r="M94" i="3"/>
  <c r="M40" i="3"/>
  <c r="M45" i="3"/>
  <c r="K11" i="4"/>
  <c r="F11" i="4"/>
  <c r="G11" i="4"/>
  <c r="H11" i="4"/>
  <c r="K14" i="4"/>
  <c r="F14" i="4"/>
  <c r="E54" i="1" s="1"/>
  <c r="G14" i="4"/>
  <c r="K26" i="4"/>
  <c r="H26" i="4"/>
  <c r="G72" i="1" s="1"/>
  <c r="G26" i="4"/>
  <c r="F72" i="1" s="1"/>
  <c r="F26" i="4"/>
  <c r="E72" i="1" s="1"/>
  <c r="K20" i="4"/>
  <c r="H20" i="4"/>
  <c r="G63" i="1" s="1"/>
  <c r="G20" i="4"/>
  <c r="F63" i="1" s="1"/>
  <c r="F20" i="4"/>
  <c r="E63" i="1" s="1"/>
  <c r="K16" i="4"/>
  <c r="H16" i="4"/>
  <c r="G57" i="1" s="1"/>
  <c r="G16" i="4"/>
  <c r="F57" i="1" s="1"/>
  <c r="F16" i="4"/>
  <c r="E57" i="1" s="1"/>
  <c r="K15" i="4"/>
  <c r="E56" i="1"/>
  <c r="G15" i="4"/>
  <c r="F56" i="1" s="1"/>
  <c r="H15" i="4"/>
  <c r="G56" i="1" s="1"/>
  <c r="H69" i="4"/>
  <c r="H14" i="4"/>
  <c r="G54" i="1" s="1"/>
  <c r="I73" i="4"/>
  <c r="D73" i="4"/>
  <c r="K72" i="4"/>
  <c r="K71" i="4" s="1"/>
  <c r="H72" i="4"/>
  <c r="H71" i="4" s="1"/>
  <c r="G72" i="4"/>
  <c r="M72" i="4" s="1"/>
  <c r="F72" i="4"/>
  <c r="F71" i="4" s="1"/>
  <c r="E72" i="4"/>
  <c r="E71" i="4" s="1"/>
  <c r="D72" i="4"/>
  <c r="D71" i="4" s="1"/>
  <c r="G71" i="4"/>
  <c r="M71" i="4" s="1"/>
  <c r="D69" i="4"/>
  <c r="K67" i="4"/>
  <c r="M67" i="4" s="1"/>
  <c r="G66" i="4"/>
  <c r="F66" i="4"/>
  <c r="G61" i="4"/>
  <c r="H61" i="4"/>
  <c r="F61" i="4"/>
  <c r="E51" i="4"/>
  <c r="E36" i="4"/>
  <c r="E26" i="4" s="1"/>
  <c r="D72" i="1" s="1"/>
  <c r="E33" i="4"/>
  <c r="E20" i="4" s="1"/>
  <c r="D63" i="1" s="1"/>
  <c r="E31" i="4"/>
  <c r="E11" i="4" s="1"/>
  <c r="M54" i="4"/>
  <c r="M55" i="4"/>
  <c r="D67" i="4" l="1"/>
  <c r="D66" i="4" s="1"/>
  <c r="H67" i="4"/>
  <c r="H66" i="4" s="1"/>
  <c r="H10" i="4"/>
  <c r="G50" i="1" s="1"/>
  <c r="M15" i="4"/>
  <c r="M16" i="4"/>
  <c r="M20" i="4"/>
  <c r="M26" i="4"/>
  <c r="I52" i="3"/>
  <c r="E15" i="3"/>
  <c r="M11" i="4"/>
  <c r="M14" i="4"/>
  <c r="F54" i="1"/>
  <c r="L62" i="4"/>
  <c r="J73" i="4"/>
  <c r="L14" i="4"/>
  <c r="L11" i="4"/>
  <c r="L67" i="4"/>
  <c r="L15" i="4"/>
  <c r="L16" i="4"/>
  <c r="L20" i="4"/>
  <c r="L26" i="4"/>
  <c r="E15" i="4"/>
  <c r="D56" i="1" s="1"/>
  <c r="I30" i="4"/>
  <c r="K61" i="4"/>
  <c r="K66" i="4"/>
  <c r="M46" i="3"/>
  <c r="H9" i="4"/>
  <c r="G9" i="4"/>
  <c r="E14" i="4"/>
  <c r="E61" i="4"/>
  <c r="D64" i="4"/>
  <c r="E66" i="4"/>
  <c r="I69" i="4"/>
  <c r="J69" i="4" s="1"/>
  <c r="I72" i="4"/>
  <c r="J72" i="4" s="1"/>
  <c r="E16" i="4"/>
  <c r="D57" i="1" s="1"/>
  <c r="K90" i="3"/>
  <c r="K55" i="3"/>
  <c r="K85" i="3"/>
  <c r="K49" i="3"/>
  <c r="K55" i="5"/>
  <c r="K53" i="5"/>
  <c r="K49" i="5"/>
  <c r="M49" i="5" s="1"/>
  <c r="K47" i="5"/>
  <c r="M47" i="5" s="1"/>
  <c r="K45" i="5"/>
  <c r="J53" i="5"/>
  <c r="K72" i="5"/>
  <c r="J55" i="5"/>
  <c r="J76" i="5"/>
  <c r="K75" i="5"/>
  <c r="K69" i="5"/>
  <c r="M69" i="5" s="1"/>
  <c r="K66" i="5"/>
  <c r="M20" i="5"/>
  <c r="K17" i="5"/>
  <c r="M17" i="5" s="1"/>
  <c r="K15" i="5"/>
  <c r="M15" i="5" s="1"/>
  <c r="K28" i="5"/>
  <c r="K25" i="5"/>
  <c r="I25" i="5" s="1"/>
  <c r="K23" i="5"/>
  <c r="I23" i="5" s="1"/>
  <c r="M45" i="5" l="1"/>
  <c r="L45" i="5"/>
  <c r="L66" i="4"/>
  <c r="M66" i="4"/>
  <c r="J64" i="4"/>
  <c r="D62" i="4"/>
  <c r="L61" i="4"/>
  <c r="M61" i="4"/>
  <c r="M28" i="5"/>
  <c r="I28" i="5"/>
  <c r="L66" i="5"/>
  <c r="M66" i="5"/>
  <c r="I66" i="5"/>
  <c r="L75" i="5"/>
  <c r="I75" i="5"/>
  <c r="L69" i="5"/>
  <c r="I69" i="5"/>
  <c r="L72" i="5"/>
  <c r="I72" i="5"/>
  <c r="K44" i="5"/>
  <c r="M46" i="5"/>
  <c r="L49" i="5"/>
  <c r="D10" i="4"/>
  <c r="C50" i="1" s="1"/>
  <c r="K10" i="4"/>
  <c r="M10" i="4" s="1"/>
  <c r="I67" i="4"/>
  <c r="J67" i="4" s="1"/>
  <c r="I61" i="4"/>
  <c r="I71" i="4"/>
  <c r="J71" i="4" s="1"/>
  <c r="J24" i="5"/>
  <c r="I15" i="5"/>
  <c r="L23" i="5"/>
  <c r="M23" i="5"/>
  <c r="L25" i="5"/>
  <c r="M25" i="5"/>
  <c r="L15" i="5"/>
  <c r="K48" i="5"/>
  <c r="M48" i="5" s="1"/>
  <c r="J25" i="5"/>
  <c r="J26" i="5"/>
  <c r="J29" i="5"/>
  <c r="J51" i="5"/>
  <c r="J52" i="5"/>
  <c r="K51" i="5"/>
  <c r="L53" i="5"/>
  <c r="K27" i="5"/>
  <c r="L28" i="5"/>
  <c r="K16" i="5"/>
  <c r="M16" i="5" s="1"/>
  <c r="L17" i="5"/>
  <c r="J59" i="5"/>
  <c r="J67" i="5"/>
  <c r="K14" i="5"/>
  <c r="M14" i="5" s="1"/>
  <c r="K19" i="5"/>
  <c r="M19" i="5" s="1"/>
  <c r="L20" i="5"/>
  <c r="J46" i="5"/>
  <c r="J68" i="5"/>
  <c r="J49" i="5"/>
  <c r="J70" i="5"/>
  <c r="J72" i="5"/>
  <c r="J73" i="5"/>
  <c r="J60" i="1"/>
  <c r="K54" i="5"/>
  <c r="L55" i="5"/>
  <c r="I14" i="4"/>
  <c r="D14" i="4"/>
  <c r="F9" i="4"/>
  <c r="J69" i="5"/>
  <c r="J48" i="5"/>
  <c r="J54" i="5"/>
  <c r="K22" i="5"/>
  <c r="K65" i="5"/>
  <c r="K71" i="5"/>
  <c r="J75" i="5"/>
  <c r="J66" i="5"/>
  <c r="I19" i="5"/>
  <c r="K135" i="6"/>
  <c r="M44" i="5" l="1"/>
  <c r="L44" i="5"/>
  <c r="K9" i="4"/>
  <c r="L9" i="4" s="1"/>
  <c r="I22" i="5"/>
  <c r="I27" i="5"/>
  <c r="K60" i="1"/>
  <c r="L60" i="1"/>
  <c r="K13" i="5"/>
  <c r="M13" i="5" s="1"/>
  <c r="M135" i="6"/>
  <c r="I135" i="6"/>
  <c r="K43" i="5"/>
  <c r="L71" i="5"/>
  <c r="I71" i="5"/>
  <c r="L13" i="5"/>
  <c r="L65" i="5"/>
  <c r="M65" i="5"/>
  <c r="I65" i="5"/>
  <c r="J65" i="5" s="1"/>
  <c r="L51" i="5"/>
  <c r="L43" i="5"/>
  <c r="M43" i="5"/>
  <c r="L48" i="5"/>
  <c r="D61" i="4"/>
  <c r="J61" i="4" s="1"/>
  <c r="J62" i="4"/>
  <c r="J14" i="4"/>
  <c r="L10" i="4"/>
  <c r="I66" i="4"/>
  <c r="J66" i="4" s="1"/>
  <c r="J15" i="5"/>
  <c r="I14" i="5"/>
  <c r="L22" i="5"/>
  <c r="M22" i="5"/>
  <c r="L16" i="5"/>
  <c r="M27" i="5"/>
  <c r="I11" i="5"/>
  <c r="I10" i="5" s="1"/>
  <c r="L14" i="5"/>
  <c r="J17" i="5"/>
  <c r="J20" i="5"/>
  <c r="J43" i="5"/>
  <c r="K134" i="6"/>
  <c r="L135" i="6"/>
  <c r="J136" i="6"/>
  <c r="K111" i="6"/>
  <c r="L112" i="6"/>
  <c r="I16" i="5"/>
  <c r="J16" i="5" s="1"/>
  <c r="J71" i="5"/>
  <c r="I18" i="5"/>
  <c r="J18" i="5" s="1"/>
  <c r="J19" i="5"/>
  <c r="K50" i="5"/>
  <c r="L54" i="5"/>
  <c r="J23" i="5"/>
  <c r="K18" i="5"/>
  <c r="M18" i="5" s="1"/>
  <c r="L19" i="5"/>
  <c r="H60" i="1"/>
  <c r="I60" i="1" s="1"/>
  <c r="J45" i="5"/>
  <c r="L27" i="5"/>
  <c r="J28" i="5"/>
  <c r="J11" i="5"/>
  <c r="E9" i="4"/>
  <c r="K11" i="5"/>
  <c r="M11" i="5" s="1"/>
  <c r="K23" i="6"/>
  <c r="M23" i="6" s="1"/>
  <c r="K21" i="6"/>
  <c r="M21" i="6" s="1"/>
  <c r="K18" i="6"/>
  <c r="M18" i="6" s="1"/>
  <c r="K16" i="6"/>
  <c r="M16" i="6" s="1"/>
  <c r="K15" i="6"/>
  <c r="M15" i="6" s="1"/>
  <c r="K91" i="6"/>
  <c r="K89" i="6"/>
  <c r="K86" i="6"/>
  <c r="K84" i="6"/>
  <c r="K80" i="6"/>
  <c r="K77" i="6"/>
  <c r="K73" i="6"/>
  <c r="K70" i="6"/>
  <c r="K66" i="6"/>
  <c r="K64" i="6"/>
  <c r="K61" i="6"/>
  <c r="K59" i="6"/>
  <c r="J56" i="6"/>
  <c r="K55" i="6"/>
  <c r="K53" i="6"/>
  <c r="K50" i="6"/>
  <c r="K48" i="6"/>
  <c r="K44" i="6"/>
  <c r="K42" i="6"/>
  <c r="K39" i="6"/>
  <c r="K37" i="6"/>
  <c r="M11" i="7"/>
  <c r="M15" i="7"/>
  <c r="K58" i="8"/>
  <c r="M9" i="4" l="1"/>
  <c r="I37" i="6"/>
  <c r="M37" i="6"/>
  <c r="I42" i="6"/>
  <c r="M42" i="6"/>
  <c r="K47" i="6"/>
  <c r="M48" i="6"/>
  <c r="I48" i="6"/>
  <c r="M53" i="6"/>
  <c r="I53" i="6"/>
  <c r="I61" i="6"/>
  <c r="M61" i="6"/>
  <c r="I66" i="6"/>
  <c r="M66" i="6"/>
  <c r="I39" i="6"/>
  <c r="M39" i="6"/>
  <c r="I44" i="6"/>
  <c r="M44" i="6"/>
  <c r="M50" i="6"/>
  <c r="I50" i="6"/>
  <c r="M55" i="6"/>
  <c r="I55" i="6"/>
  <c r="I59" i="6"/>
  <c r="M59" i="6"/>
  <c r="K63" i="6"/>
  <c r="I64" i="6"/>
  <c r="M64" i="6"/>
  <c r="M77" i="6"/>
  <c r="I77" i="6"/>
  <c r="I89" i="6"/>
  <c r="M89" i="6"/>
  <c r="J22" i="5"/>
  <c r="M73" i="6"/>
  <c r="I73" i="6"/>
  <c r="M80" i="6"/>
  <c r="I80" i="6"/>
  <c r="I91" i="6"/>
  <c r="M91" i="6"/>
  <c r="I86" i="6"/>
  <c r="M86" i="6"/>
  <c r="I84" i="6"/>
  <c r="M84" i="6"/>
  <c r="M111" i="6"/>
  <c r="I111" i="6"/>
  <c r="K108" i="6"/>
  <c r="I134" i="6"/>
  <c r="M134" i="6"/>
  <c r="M58" i="8"/>
  <c r="M70" i="6"/>
  <c r="I70" i="6"/>
  <c r="I13" i="5"/>
  <c r="I10" i="4"/>
  <c r="J10" i="4" s="1"/>
  <c r="L58" i="8"/>
  <c r="J135" i="6"/>
  <c r="K9" i="7"/>
  <c r="O9" i="7" s="1"/>
  <c r="K52" i="6"/>
  <c r="L15" i="6"/>
  <c r="L84" i="6"/>
  <c r="L86" i="6"/>
  <c r="L89" i="6"/>
  <c r="L16" i="6"/>
  <c r="L18" i="6"/>
  <c r="L108" i="6"/>
  <c r="L134" i="6"/>
  <c r="J57" i="1"/>
  <c r="L15" i="7"/>
  <c r="L11" i="7"/>
  <c r="J29" i="6"/>
  <c r="J40" i="6"/>
  <c r="J60" i="6"/>
  <c r="J67" i="6"/>
  <c r="J27" i="6"/>
  <c r="K69" i="6"/>
  <c r="L70" i="6"/>
  <c r="K72" i="6"/>
  <c r="L73" i="6"/>
  <c r="J43" i="6"/>
  <c r="J45" i="6"/>
  <c r="J62" i="6"/>
  <c r="J65" i="6"/>
  <c r="J66" i="6"/>
  <c r="K76" i="6"/>
  <c r="L77" i="6"/>
  <c r="K79" i="6"/>
  <c r="L80" i="6"/>
  <c r="J134" i="6"/>
  <c r="K110" i="6"/>
  <c r="L111" i="6"/>
  <c r="L91" i="6"/>
  <c r="J92" i="6"/>
  <c r="J90" i="6"/>
  <c r="J34" i="6"/>
  <c r="K22" i="6"/>
  <c r="M22" i="6" s="1"/>
  <c r="L23" i="6"/>
  <c r="K20" i="6"/>
  <c r="M20" i="6" s="1"/>
  <c r="L21" i="6"/>
  <c r="J27" i="5"/>
  <c r="L18" i="5"/>
  <c r="K10" i="5"/>
  <c r="L11" i="5"/>
  <c r="L50" i="5"/>
  <c r="J50" i="5"/>
  <c r="J14" i="5"/>
  <c r="K58" i="6"/>
  <c r="J10" i="5"/>
  <c r="J91" i="6"/>
  <c r="K17" i="6"/>
  <c r="M17" i="6" s="1"/>
  <c r="K19" i="6"/>
  <c r="M19" i="6" s="1"/>
  <c r="J89" i="6"/>
  <c r="J86" i="6"/>
  <c r="J84" i="6"/>
  <c r="K83" i="6"/>
  <c r="K88" i="6"/>
  <c r="J53" i="6"/>
  <c r="K36" i="6"/>
  <c r="K41" i="6"/>
  <c r="J39" i="6"/>
  <c r="J38" i="6"/>
  <c r="I30" i="10"/>
  <c r="H30" i="10"/>
  <c r="D30" i="10" s="1"/>
  <c r="K29" i="10"/>
  <c r="K28" i="10" s="1"/>
  <c r="G29" i="10"/>
  <c r="F29" i="10"/>
  <c r="F28" i="10" s="1"/>
  <c r="E29" i="10"/>
  <c r="G28" i="10"/>
  <c r="E28" i="10"/>
  <c r="I27" i="10"/>
  <c r="D27" i="10"/>
  <c r="K26" i="10"/>
  <c r="H26" i="10"/>
  <c r="G26" i="10"/>
  <c r="F26" i="10"/>
  <c r="E26" i="10"/>
  <c r="D26" i="10"/>
  <c r="I25" i="10"/>
  <c r="D25" i="10"/>
  <c r="K24" i="10"/>
  <c r="H24" i="10"/>
  <c r="G24" i="10"/>
  <c r="F24" i="10"/>
  <c r="F23" i="10" s="1"/>
  <c r="E24" i="10"/>
  <c r="D24" i="10"/>
  <c r="K23" i="10"/>
  <c r="G23" i="10"/>
  <c r="E23" i="10"/>
  <c r="K21" i="10"/>
  <c r="I21" i="10"/>
  <c r="H21" i="10"/>
  <c r="G21" i="10"/>
  <c r="F21" i="10"/>
  <c r="E21" i="10"/>
  <c r="K20" i="10"/>
  <c r="I20" i="10"/>
  <c r="H20" i="10"/>
  <c r="H19" i="10" s="1"/>
  <c r="G20" i="10"/>
  <c r="G19" i="10" s="1"/>
  <c r="F20" i="10"/>
  <c r="E20" i="10"/>
  <c r="E19" i="10" s="1"/>
  <c r="K19" i="10"/>
  <c r="I19" i="10"/>
  <c r="F19" i="10"/>
  <c r="K18" i="10"/>
  <c r="I18" i="10"/>
  <c r="H18" i="10"/>
  <c r="H17" i="10" s="1"/>
  <c r="G18" i="10"/>
  <c r="F18" i="10"/>
  <c r="F17" i="10" s="1"/>
  <c r="E18" i="10"/>
  <c r="D18" i="10"/>
  <c r="D17" i="10" s="1"/>
  <c r="G17" i="10"/>
  <c r="E17" i="10"/>
  <c r="K16" i="10"/>
  <c r="I16" i="10"/>
  <c r="H16" i="10"/>
  <c r="H15" i="10" s="1"/>
  <c r="G16" i="10"/>
  <c r="G15" i="10" s="1"/>
  <c r="F16" i="10"/>
  <c r="E16" i="10"/>
  <c r="D16" i="10"/>
  <c r="D15" i="10" s="1"/>
  <c r="F15" i="10"/>
  <c r="K12" i="10"/>
  <c r="G12" i="10"/>
  <c r="G11" i="10" s="1"/>
  <c r="E12" i="10"/>
  <c r="E11" i="10" s="1"/>
  <c r="K11" i="10"/>
  <c r="M71" i="9"/>
  <c r="M70" i="9" s="1"/>
  <c r="M69" i="9" s="1"/>
  <c r="M68" i="9" s="1"/>
  <c r="M67" i="9" s="1"/>
  <c r="M66" i="9" s="1"/>
  <c r="M65" i="9" s="1"/>
  <c r="M64" i="9" s="1"/>
  <c r="M63" i="9" s="1"/>
  <c r="M62" i="9" s="1"/>
  <c r="K70" i="9"/>
  <c r="K69" i="9"/>
  <c r="K67" i="9"/>
  <c r="K66" i="9"/>
  <c r="K63" i="9"/>
  <c r="I63" i="9"/>
  <c r="K62" i="9"/>
  <c r="K59" i="9"/>
  <c r="I59" i="9"/>
  <c r="J59" i="9" s="1"/>
  <c r="K56" i="9"/>
  <c r="K52" i="9"/>
  <c r="K49" i="9"/>
  <c r="K45" i="9"/>
  <c r="I45" i="9"/>
  <c r="J45" i="9" s="1"/>
  <c r="K44" i="9"/>
  <c r="I44" i="9"/>
  <c r="J44" i="9" s="1"/>
  <c r="K42" i="9"/>
  <c r="K38" i="9"/>
  <c r="K35" i="9"/>
  <c r="K33" i="9"/>
  <c r="K29" i="9"/>
  <c r="K26" i="9"/>
  <c r="K24" i="9"/>
  <c r="I24" i="9"/>
  <c r="J24" i="9" s="1"/>
  <c r="M21" i="9"/>
  <c r="K18" i="9"/>
  <c r="K16" i="9"/>
  <c r="I16" i="9"/>
  <c r="J16" i="9" s="1"/>
  <c r="K254" i="8"/>
  <c r="K250" i="8"/>
  <c r="K246" i="8"/>
  <c r="K243" i="8"/>
  <c r="K242" i="8"/>
  <c r="I239" i="8"/>
  <c r="I235" i="8"/>
  <c r="K233" i="8"/>
  <c r="K226" i="8"/>
  <c r="I226" i="8"/>
  <c r="K223" i="8"/>
  <c r="I223" i="8"/>
  <c r="J223" i="8" s="1"/>
  <c r="K221" i="8"/>
  <c r="K216" i="8"/>
  <c r="K213" i="8"/>
  <c r="K209" i="8"/>
  <c r="K206" i="8"/>
  <c r="K201" i="8"/>
  <c r="K198" i="8"/>
  <c r="J195" i="8"/>
  <c r="K194" i="8"/>
  <c r="K191" i="8"/>
  <c r="I153" i="8"/>
  <c r="K151" i="8"/>
  <c r="I146" i="8"/>
  <c r="K145" i="8"/>
  <c r="I145" i="8"/>
  <c r="J145" i="8" s="1"/>
  <c r="K140" i="8"/>
  <c r="I139" i="8"/>
  <c r="K137" i="8"/>
  <c r="J135" i="8"/>
  <c r="K133" i="8"/>
  <c r="K131" i="8"/>
  <c r="K127" i="8"/>
  <c r="I127" i="8"/>
  <c r="J127" i="8" s="1"/>
  <c r="K125" i="8"/>
  <c r="I125" i="8"/>
  <c r="K122" i="8"/>
  <c r="I122" i="8"/>
  <c r="J122" i="8" s="1"/>
  <c r="K120" i="8"/>
  <c r="K116" i="8"/>
  <c r="K114" i="8"/>
  <c r="I114" i="8"/>
  <c r="J114" i="8" s="1"/>
  <c r="K111" i="8"/>
  <c r="I111" i="8"/>
  <c r="J111" i="8" s="1"/>
  <c r="K109" i="8"/>
  <c r="I109" i="8"/>
  <c r="K108" i="8"/>
  <c r="K104" i="8"/>
  <c r="I104" i="8"/>
  <c r="J104" i="8" s="1"/>
  <c r="K101" i="8"/>
  <c r="I101" i="8"/>
  <c r="K100" i="8"/>
  <c r="K97" i="8"/>
  <c r="J95" i="8"/>
  <c r="K93" i="8"/>
  <c r="L87" i="8"/>
  <c r="J85" i="8"/>
  <c r="J84" i="8"/>
  <c r="L83" i="8"/>
  <c r="J81" i="8"/>
  <c r="K79" i="8"/>
  <c r="J78" i="8"/>
  <c r="K75" i="8"/>
  <c r="K71" i="8"/>
  <c r="I71" i="8"/>
  <c r="J71" i="8" s="1"/>
  <c r="K68" i="8"/>
  <c r="J66" i="8"/>
  <c r="K65" i="8"/>
  <c r="J64" i="8"/>
  <c r="K62" i="8"/>
  <c r="J56" i="8"/>
  <c r="K55" i="8"/>
  <c r="J53" i="8"/>
  <c r="K52" i="8"/>
  <c r="K49" i="8"/>
  <c r="K44" i="8"/>
  <c r="L44" i="8" s="1"/>
  <c r="J42" i="8"/>
  <c r="K41" i="8"/>
  <c r="K38" i="8"/>
  <c r="K35" i="8"/>
  <c r="K31" i="8"/>
  <c r="J36" i="1" s="1"/>
  <c r="L36" i="1" s="1"/>
  <c r="K30" i="8"/>
  <c r="J33" i="1"/>
  <c r="K27" i="8"/>
  <c r="I27" i="8"/>
  <c r="J27" i="8" s="1"/>
  <c r="K26" i="8"/>
  <c r="K25" i="8"/>
  <c r="K22" i="8"/>
  <c r="I22" i="8"/>
  <c r="J22" i="8" s="1"/>
  <c r="K21" i="8"/>
  <c r="K20" i="8"/>
  <c r="I19" i="8"/>
  <c r="K17" i="8"/>
  <c r="I17" i="8"/>
  <c r="J17" i="8" s="1"/>
  <c r="K16" i="8"/>
  <c r="K15" i="8"/>
  <c r="K14" i="8"/>
  <c r="K84" i="7"/>
  <c r="K79" i="7"/>
  <c r="J73" i="7"/>
  <c r="K72" i="7"/>
  <c r="K70" i="7"/>
  <c r="P67" i="7"/>
  <c r="K67" i="7"/>
  <c r="K64" i="7"/>
  <c r="K60" i="7"/>
  <c r="K57" i="7"/>
  <c r="J54" i="7"/>
  <c r="K53" i="7"/>
  <c r="J52" i="7"/>
  <c r="K51" i="7"/>
  <c r="K48" i="7"/>
  <c r="K46" i="7"/>
  <c r="J43" i="7"/>
  <c r="K42" i="7"/>
  <c r="J41" i="7"/>
  <c r="K40" i="7"/>
  <c r="J38" i="7"/>
  <c r="K37" i="7"/>
  <c r="K34" i="7"/>
  <c r="K25" i="7"/>
  <c r="K22" i="7"/>
  <c r="M22" i="7" s="1"/>
  <c r="K20" i="7"/>
  <c r="M20" i="7" s="1"/>
  <c r="K17" i="7"/>
  <c r="K33" i="6"/>
  <c r="K31" i="6"/>
  <c r="K28" i="6"/>
  <c r="K26" i="6"/>
  <c r="J132" i="6"/>
  <c r="K131" i="6"/>
  <c r="K100" i="6"/>
  <c r="J98" i="6"/>
  <c r="K97" i="6"/>
  <c r="K95" i="6"/>
  <c r="K127" i="6"/>
  <c r="K123" i="6"/>
  <c r="K122" i="6" s="1"/>
  <c r="K119" i="6"/>
  <c r="K115" i="6"/>
  <c r="J63" i="5"/>
  <c r="K62" i="5"/>
  <c r="I62" i="5" s="1"/>
  <c r="K58" i="5"/>
  <c r="I58" i="5" s="1"/>
  <c r="I59" i="4"/>
  <c r="J59" i="4" s="1"/>
  <c r="D59" i="4"/>
  <c r="D57" i="4" s="1"/>
  <c r="D56" i="4" s="1"/>
  <c r="I58" i="4"/>
  <c r="J58" i="4" s="1"/>
  <c r="K57" i="4"/>
  <c r="G57" i="4"/>
  <c r="G56" i="4" s="1"/>
  <c r="F57" i="4"/>
  <c r="F56" i="4" s="1"/>
  <c r="E57" i="4"/>
  <c r="E56" i="4" s="1"/>
  <c r="K56" i="4"/>
  <c r="D55" i="4"/>
  <c r="J55" i="4" s="1"/>
  <c r="F54" i="4"/>
  <c r="E54" i="4"/>
  <c r="I53" i="4"/>
  <c r="D53" i="4"/>
  <c r="I52" i="4"/>
  <c r="I51" i="4"/>
  <c r="D51" i="4"/>
  <c r="I50" i="4"/>
  <c r="K49" i="4"/>
  <c r="G49" i="4"/>
  <c r="G48" i="4" s="1"/>
  <c r="F49" i="4"/>
  <c r="E49" i="4"/>
  <c r="I46" i="4"/>
  <c r="D46" i="4"/>
  <c r="K45" i="4"/>
  <c r="M45" i="4" s="1"/>
  <c r="H45" i="4"/>
  <c r="H44" i="4" s="1"/>
  <c r="K44" i="4"/>
  <c r="M44" i="4" s="1"/>
  <c r="D44" i="4"/>
  <c r="I43" i="4"/>
  <c r="D43" i="4"/>
  <c r="D42" i="4" s="1"/>
  <c r="K42" i="4"/>
  <c r="M42" i="4" s="1"/>
  <c r="H42" i="4"/>
  <c r="I41" i="4"/>
  <c r="H39" i="4"/>
  <c r="L39" i="4"/>
  <c r="I36" i="4"/>
  <c r="J36" i="4" s="1"/>
  <c r="D36" i="4"/>
  <c r="K35" i="4"/>
  <c r="H35" i="4"/>
  <c r="H34" i="4" s="1"/>
  <c r="G35" i="4"/>
  <c r="G34" i="4" s="1"/>
  <c r="F35" i="4"/>
  <c r="F34" i="4" s="1"/>
  <c r="E35" i="4"/>
  <c r="E34" i="4" s="1"/>
  <c r="K34" i="4"/>
  <c r="I33" i="4"/>
  <c r="D33" i="4"/>
  <c r="D20" i="4" s="1"/>
  <c r="C63" i="1" s="1"/>
  <c r="K32" i="4"/>
  <c r="H32" i="4"/>
  <c r="G32" i="4"/>
  <c r="F32" i="4"/>
  <c r="E32" i="4"/>
  <c r="I31" i="4"/>
  <c r="K29" i="4"/>
  <c r="H29" i="4"/>
  <c r="G29" i="4"/>
  <c r="F29" i="4"/>
  <c r="H25" i="4"/>
  <c r="G25" i="4"/>
  <c r="F25" i="4"/>
  <c r="E25" i="4"/>
  <c r="K24" i="4"/>
  <c r="H24" i="4"/>
  <c r="G67" i="1" s="1"/>
  <c r="G24" i="4"/>
  <c r="F67" i="1" s="1"/>
  <c r="F24" i="4"/>
  <c r="E67" i="1" s="1"/>
  <c r="E24" i="4"/>
  <c r="D67" i="1" s="1"/>
  <c r="D24" i="4"/>
  <c r="K23" i="4"/>
  <c r="I23" i="4"/>
  <c r="G23" i="4"/>
  <c r="F66" i="1" s="1"/>
  <c r="F75" i="1" s="1"/>
  <c r="F23" i="4"/>
  <c r="E66" i="1" s="1"/>
  <c r="E75" i="1" s="1"/>
  <c r="E23" i="4"/>
  <c r="D66" i="1" s="1"/>
  <c r="D75" i="1" s="1"/>
  <c r="F22" i="4"/>
  <c r="G19" i="4"/>
  <c r="F19" i="4"/>
  <c r="D19" i="4"/>
  <c r="H19" i="4"/>
  <c r="K18" i="4"/>
  <c r="H18" i="4"/>
  <c r="G58" i="1" s="1"/>
  <c r="G18" i="4"/>
  <c r="F58" i="1" s="1"/>
  <c r="F18" i="4"/>
  <c r="E58" i="1" s="1"/>
  <c r="E18" i="4"/>
  <c r="D18" i="4"/>
  <c r="K17" i="4"/>
  <c r="I17" i="4"/>
  <c r="H17" i="4"/>
  <c r="G59" i="1" s="1"/>
  <c r="G17" i="4"/>
  <c r="F59" i="1" s="1"/>
  <c r="F17" i="4"/>
  <c r="E59" i="1" s="1"/>
  <c r="E74" i="1" s="1"/>
  <c r="E17" i="4"/>
  <c r="D59" i="1" s="1"/>
  <c r="I202" i="3"/>
  <c r="D202" i="3"/>
  <c r="K201" i="3"/>
  <c r="H201" i="3"/>
  <c r="G201" i="3"/>
  <c r="E201" i="3"/>
  <c r="I200" i="3"/>
  <c r="D200" i="3"/>
  <c r="D199" i="3" s="1"/>
  <c r="K199" i="3"/>
  <c r="H199" i="3"/>
  <c r="G199" i="3"/>
  <c r="E199" i="3"/>
  <c r="E198" i="3" s="1"/>
  <c r="I197" i="3"/>
  <c r="D197" i="3"/>
  <c r="D196" i="3" s="1"/>
  <c r="K196" i="3"/>
  <c r="H196" i="3"/>
  <c r="G196" i="3"/>
  <c r="E196" i="3"/>
  <c r="D195" i="3"/>
  <c r="I194" i="3"/>
  <c r="D194" i="3"/>
  <c r="K193" i="3"/>
  <c r="I193" i="3"/>
  <c r="J193" i="3" s="1"/>
  <c r="H193" i="3"/>
  <c r="G193" i="3"/>
  <c r="E193" i="3"/>
  <c r="I190" i="3"/>
  <c r="D190" i="3"/>
  <c r="K189" i="3"/>
  <c r="H189" i="3"/>
  <c r="G189" i="3"/>
  <c r="E189" i="3"/>
  <c r="I188" i="3"/>
  <c r="D188" i="3"/>
  <c r="D187" i="3" s="1"/>
  <c r="K187" i="3"/>
  <c r="H187" i="3"/>
  <c r="G187" i="3"/>
  <c r="E187" i="3"/>
  <c r="D185" i="3"/>
  <c r="K184" i="3"/>
  <c r="H184" i="3"/>
  <c r="G184" i="3"/>
  <c r="E184" i="3"/>
  <c r="D183" i="3"/>
  <c r="I182" i="3"/>
  <c r="J182" i="3" s="1"/>
  <c r="D182" i="3"/>
  <c r="K181" i="3"/>
  <c r="I181" i="3"/>
  <c r="J181" i="3" s="1"/>
  <c r="H181" i="3"/>
  <c r="G181" i="3"/>
  <c r="E181" i="3"/>
  <c r="E180" i="3" s="1"/>
  <c r="H177" i="3"/>
  <c r="E177" i="3"/>
  <c r="K177" i="3"/>
  <c r="G177" i="3"/>
  <c r="F177" i="3"/>
  <c r="H175" i="3"/>
  <c r="K175" i="3"/>
  <c r="G175" i="3"/>
  <c r="F175" i="3"/>
  <c r="I173" i="3"/>
  <c r="K172" i="3"/>
  <c r="H172" i="3"/>
  <c r="G172" i="3"/>
  <c r="F172" i="3"/>
  <c r="H169" i="3"/>
  <c r="I170" i="3"/>
  <c r="D170" i="3"/>
  <c r="K169" i="3"/>
  <c r="G169" i="3"/>
  <c r="F169" i="3"/>
  <c r="E153" i="3"/>
  <c r="K153" i="3"/>
  <c r="H153" i="3"/>
  <c r="G153" i="3"/>
  <c r="F153" i="3"/>
  <c r="I152" i="3"/>
  <c r="K151" i="3"/>
  <c r="H151" i="3"/>
  <c r="G151" i="3"/>
  <c r="F151" i="3"/>
  <c r="I149" i="3"/>
  <c r="K148" i="3"/>
  <c r="H148" i="3"/>
  <c r="G148" i="3"/>
  <c r="F148" i="3"/>
  <c r="I147" i="3"/>
  <c r="I146" i="3"/>
  <c r="K145" i="3"/>
  <c r="H145" i="3"/>
  <c r="G145" i="3"/>
  <c r="F145" i="3"/>
  <c r="H141" i="3"/>
  <c r="K141" i="3"/>
  <c r="G141" i="3"/>
  <c r="F141" i="3"/>
  <c r="E141" i="3"/>
  <c r="H139" i="3"/>
  <c r="K139" i="3"/>
  <c r="G139" i="3"/>
  <c r="F139" i="3"/>
  <c r="H136" i="3"/>
  <c r="K136" i="3"/>
  <c r="G136" i="3"/>
  <c r="F136" i="3"/>
  <c r="E136" i="3"/>
  <c r="H133" i="3"/>
  <c r="D134" i="3"/>
  <c r="J134" i="3" s="1"/>
  <c r="K133" i="3"/>
  <c r="G133" i="3"/>
  <c r="F133" i="3"/>
  <c r="F46" i="3"/>
  <c r="E46" i="3"/>
  <c r="D45" i="3"/>
  <c r="D44" i="3" s="1"/>
  <c r="K44" i="3"/>
  <c r="G44" i="3"/>
  <c r="E44" i="3"/>
  <c r="E43" i="3" s="1"/>
  <c r="G43" i="3"/>
  <c r="D42" i="3"/>
  <c r="D41" i="3" s="1"/>
  <c r="G41" i="3"/>
  <c r="E41" i="3"/>
  <c r="E39" i="3"/>
  <c r="K39" i="3"/>
  <c r="G39" i="3"/>
  <c r="F39" i="3"/>
  <c r="I118" i="3"/>
  <c r="K117" i="3"/>
  <c r="H117" i="3"/>
  <c r="G117" i="3"/>
  <c r="F117" i="3"/>
  <c r="K115" i="3"/>
  <c r="H115" i="3"/>
  <c r="G115" i="3"/>
  <c r="F115" i="3"/>
  <c r="I113" i="3"/>
  <c r="K112" i="3"/>
  <c r="G112" i="3"/>
  <c r="F112" i="3"/>
  <c r="I110" i="3"/>
  <c r="K109" i="3"/>
  <c r="H109" i="3"/>
  <c r="G109" i="3"/>
  <c r="F109" i="3"/>
  <c r="I106" i="3"/>
  <c r="K105" i="3"/>
  <c r="H105" i="3"/>
  <c r="G105" i="3"/>
  <c r="F105" i="3"/>
  <c r="K103" i="3"/>
  <c r="H103" i="3"/>
  <c r="G103" i="3"/>
  <c r="F103" i="3"/>
  <c r="I101" i="3"/>
  <c r="K100" i="3"/>
  <c r="H100" i="3"/>
  <c r="G100" i="3"/>
  <c r="F100" i="3"/>
  <c r="I98" i="3"/>
  <c r="H97" i="3"/>
  <c r="G97" i="3"/>
  <c r="F97" i="3"/>
  <c r="E97" i="3"/>
  <c r="I166" i="3"/>
  <c r="J166" i="3" s="1"/>
  <c r="H165" i="3"/>
  <c r="G165" i="3"/>
  <c r="F165" i="3"/>
  <c r="I164" i="3"/>
  <c r="H163" i="3"/>
  <c r="G163" i="3"/>
  <c r="F163" i="3"/>
  <c r="H160" i="3"/>
  <c r="G160" i="3"/>
  <c r="F160" i="3"/>
  <c r="I158" i="3"/>
  <c r="H157" i="3"/>
  <c r="G157" i="3"/>
  <c r="F157" i="3"/>
  <c r="I94" i="3"/>
  <c r="D94" i="3"/>
  <c r="D93" i="3" s="1"/>
  <c r="H93" i="3"/>
  <c r="G93" i="3"/>
  <c r="F93" i="3"/>
  <c r="E93" i="3"/>
  <c r="H91" i="3"/>
  <c r="H90" i="3" s="1"/>
  <c r="G91" i="3"/>
  <c r="F91" i="3"/>
  <c r="F90" i="3" s="1"/>
  <c r="I89" i="3"/>
  <c r="H88" i="3"/>
  <c r="G88" i="3"/>
  <c r="F88" i="3"/>
  <c r="E88" i="3"/>
  <c r="H86" i="3"/>
  <c r="G86" i="3"/>
  <c r="F86" i="3"/>
  <c r="K82" i="3"/>
  <c r="H82" i="3"/>
  <c r="G82" i="3"/>
  <c r="F82" i="3"/>
  <c r="I81" i="3"/>
  <c r="K80" i="3"/>
  <c r="H80" i="3"/>
  <c r="G80" i="3"/>
  <c r="F80" i="3"/>
  <c r="K77" i="3"/>
  <c r="H77" i="3"/>
  <c r="G77" i="3"/>
  <c r="F77" i="3"/>
  <c r="I76" i="3"/>
  <c r="D75" i="3"/>
  <c r="K74" i="3"/>
  <c r="H74" i="3"/>
  <c r="G74" i="3"/>
  <c r="F74" i="3"/>
  <c r="D71" i="3"/>
  <c r="K70" i="3"/>
  <c r="H70" i="3"/>
  <c r="G70" i="3"/>
  <c r="F70" i="3"/>
  <c r="E70" i="3"/>
  <c r="D70" i="3"/>
  <c r="I69" i="3"/>
  <c r="D69" i="3"/>
  <c r="K68" i="3"/>
  <c r="G68" i="3"/>
  <c r="F68" i="3"/>
  <c r="E68" i="3"/>
  <c r="F67" i="3"/>
  <c r="D66" i="3"/>
  <c r="J66" i="3" s="1"/>
  <c r="K65" i="3"/>
  <c r="H65" i="3"/>
  <c r="G65" i="3"/>
  <c r="L65" i="3" s="1"/>
  <c r="F65" i="3"/>
  <c r="E65" i="3"/>
  <c r="D65" i="3"/>
  <c r="D64" i="3"/>
  <c r="J64" i="3" s="1"/>
  <c r="K62" i="3"/>
  <c r="H62" i="3"/>
  <c r="G62" i="3"/>
  <c r="L62" i="3" s="1"/>
  <c r="F62" i="3"/>
  <c r="E62" i="3"/>
  <c r="H58" i="3"/>
  <c r="G58" i="3"/>
  <c r="F58" i="3"/>
  <c r="I57" i="3"/>
  <c r="H56" i="3"/>
  <c r="G56" i="3"/>
  <c r="G55" i="3" s="1"/>
  <c r="F56" i="3"/>
  <c r="H53" i="3"/>
  <c r="G53" i="3"/>
  <c r="F53" i="3"/>
  <c r="I50" i="3"/>
  <c r="D51" i="3"/>
  <c r="H50" i="3"/>
  <c r="G50" i="3"/>
  <c r="F50" i="3"/>
  <c r="E50" i="3"/>
  <c r="I36" i="3"/>
  <c r="D36" i="3"/>
  <c r="K35" i="3"/>
  <c r="K34" i="3" s="1"/>
  <c r="H35" i="3"/>
  <c r="H34" i="3" s="1"/>
  <c r="G35" i="3"/>
  <c r="G34" i="3" s="1"/>
  <c r="F35" i="3"/>
  <c r="F34" i="3" s="1"/>
  <c r="E35" i="3"/>
  <c r="E34" i="3" s="1"/>
  <c r="D35" i="3"/>
  <c r="D34" i="3" s="1"/>
  <c r="D33" i="3"/>
  <c r="J33" i="3" s="1"/>
  <c r="K32" i="3"/>
  <c r="H32" i="3"/>
  <c r="G32" i="3"/>
  <c r="F32" i="3"/>
  <c r="E32" i="3"/>
  <c r="D32" i="3"/>
  <c r="J32" i="3" s="1"/>
  <c r="K31" i="3"/>
  <c r="H31" i="3"/>
  <c r="G31" i="3"/>
  <c r="F31" i="3"/>
  <c r="E31" i="3"/>
  <c r="D31" i="3"/>
  <c r="H21" i="3"/>
  <c r="G21" i="3"/>
  <c r="F21" i="3"/>
  <c r="E21" i="3"/>
  <c r="G19" i="3"/>
  <c r="F19" i="3"/>
  <c r="H16" i="3"/>
  <c r="G16" i="3"/>
  <c r="F16" i="3"/>
  <c r="E16" i="3"/>
  <c r="J465" i="2"/>
  <c r="K464" i="2"/>
  <c r="I464" i="2"/>
  <c r="J464" i="2" s="1"/>
  <c r="H464" i="2"/>
  <c r="H463" i="2" s="1"/>
  <c r="G464" i="2"/>
  <c r="G463" i="2" s="1"/>
  <c r="F464" i="2"/>
  <c r="I462" i="2"/>
  <c r="K461" i="2"/>
  <c r="H461" i="2"/>
  <c r="G461" i="2"/>
  <c r="F461" i="2"/>
  <c r="E459" i="2"/>
  <c r="K459" i="2"/>
  <c r="H459" i="2"/>
  <c r="G459" i="2"/>
  <c r="F459" i="2"/>
  <c r="K456" i="2"/>
  <c r="I456" i="2"/>
  <c r="H456" i="2"/>
  <c r="G456" i="2"/>
  <c r="G455" i="2" s="1"/>
  <c r="G454" i="2" s="1"/>
  <c r="F456" i="2"/>
  <c r="F455" i="2" s="1"/>
  <c r="E456" i="2"/>
  <c r="D456" i="2"/>
  <c r="D455" i="2" s="1"/>
  <c r="K455" i="2"/>
  <c r="H455" i="2"/>
  <c r="H454" i="2" s="1"/>
  <c r="E455" i="2"/>
  <c r="K453" i="2"/>
  <c r="H453" i="2"/>
  <c r="G453" i="2"/>
  <c r="F453" i="2"/>
  <c r="E453" i="2"/>
  <c r="K451" i="2"/>
  <c r="H451" i="2"/>
  <c r="H450" i="2" s="1"/>
  <c r="G451" i="2"/>
  <c r="F451" i="2"/>
  <c r="F450" i="2" s="1"/>
  <c r="I526" i="2"/>
  <c r="D526" i="2"/>
  <c r="D525" i="2" s="1"/>
  <c r="D524" i="2" s="1"/>
  <c r="K525" i="2"/>
  <c r="H525" i="2"/>
  <c r="H524" i="2" s="1"/>
  <c r="G525" i="2"/>
  <c r="G524" i="2" s="1"/>
  <c r="F525" i="2"/>
  <c r="F524" i="2" s="1"/>
  <c r="E525" i="2"/>
  <c r="E524" i="2" s="1"/>
  <c r="I522" i="2"/>
  <c r="J522" i="2" s="1"/>
  <c r="D522" i="2"/>
  <c r="D521" i="2" s="1"/>
  <c r="D520" i="2" s="1"/>
  <c r="K521" i="2"/>
  <c r="H521" i="2"/>
  <c r="H520" i="2" s="1"/>
  <c r="G521" i="2"/>
  <c r="G520" i="2" s="1"/>
  <c r="E521" i="2"/>
  <c r="E520" i="2" s="1"/>
  <c r="I519" i="2"/>
  <c r="D519" i="2"/>
  <c r="I518" i="2"/>
  <c r="J518" i="2" s="1"/>
  <c r="D518" i="2"/>
  <c r="K517" i="2"/>
  <c r="H517" i="2"/>
  <c r="H516" i="2" s="1"/>
  <c r="G517" i="2"/>
  <c r="G516" i="2" s="1"/>
  <c r="F517" i="2"/>
  <c r="F516" i="2" s="1"/>
  <c r="I514" i="2"/>
  <c r="D514" i="2"/>
  <c r="D513" i="2" s="1"/>
  <c r="D512" i="2" s="1"/>
  <c r="K513" i="2"/>
  <c r="H513" i="2"/>
  <c r="H512" i="2" s="1"/>
  <c r="G513" i="2"/>
  <c r="G512" i="2" s="1"/>
  <c r="F513" i="2"/>
  <c r="F512" i="2" s="1"/>
  <c r="I534" i="2"/>
  <c r="J534" i="2" s="1"/>
  <c r="K533" i="2"/>
  <c r="H533" i="2"/>
  <c r="H532" i="2" s="1"/>
  <c r="G533" i="2"/>
  <c r="G532" i="2" s="1"/>
  <c r="F533" i="2"/>
  <c r="F532" i="2" s="1"/>
  <c r="E533" i="2"/>
  <c r="E532" i="2" s="1"/>
  <c r="I531" i="2"/>
  <c r="J531" i="2" s="1"/>
  <c r="D530" i="2"/>
  <c r="K529" i="2"/>
  <c r="H529" i="2"/>
  <c r="H528" i="2" s="1"/>
  <c r="G529" i="2"/>
  <c r="G528" i="2" s="1"/>
  <c r="E529" i="2"/>
  <c r="E528" i="2" s="1"/>
  <c r="I509" i="2"/>
  <c r="D510" i="2"/>
  <c r="J510" i="2" s="1"/>
  <c r="K509" i="2"/>
  <c r="H509" i="2"/>
  <c r="H508" i="2" s="1"/>
  <c r="G509" i="2"/>
  <c r="F509" i="2"/>
  <c r="F508" i="2" s="1"/>
  <c r="G508" i="2"/>
  <c r="I505" i="2"/>
  <c r="J506" i="2"/>
  <c r="K505" i="2"/>
  <c r="H505" i="2"/>
  <c r="H504" i="2" s="1"/>
  <c r="G505" i="2"/>
  <c r="K504" i="2"/>
  <c r="G504" i="2"/>
  <c r="K501" i="2"/>
  <c r="H501" i="2"/>
  <c r="H500" i="2" s="1"/>
  <c r="G501" i="2"/>
  <c r="G500" i="2" s="1"/>
  <c r="E499" i="2"/>
  <c r="E474" i="2" s="1"/>
  <c r="D58" i="1" s="1"/>
  <c r="E498" i="2"/>
  <c r="E472" i="2" s="1"/>
  <c r="D54" i="1" s="1"/>
  <c r="K497" i="2"/>
  <c r="H497" i="2"/>
  <c r="H496" i="2" s="1"/>
  <c r="G497" i="2"/>
  <c r="I494" i="2"/>
  <c r="K493" i="2"/>
  <c r="H493" i="2"/>
  <c r="H492" i="2" s="1"/>
  <c r="G493" i="2"/>
  <c r="G492" i="2" s="1"/>
  <c r="F493" i="2"/>
  <c r="E493" i="2"/>
  <c r="K492" i="2"/>
  <c r="M492" i="2" s="1"/>
  <c r="F492" i="2"/>
  <c r="F469" i="2" s="1"/>
  <c r="E51" i="1" s="1"/>
  <c r="E49" i="1" s="1"/>
  <c r="I490" i="2"/>
  <c r="D490" i="2"/>
  <c r="D480" i="2" s="1"/>
  <c r="C68" i="1" s="1"/>
  <c r="I489" i="2"/>
  <c r="D489" i="2"/>
  <c r="D478" i="2" s="1"/>
  <c r="H488" i="2"/>
  <c r="H487" i="2" s="1"/>
  <c r="G488" i="2"/>
  <c r="M488" i="2" s="1"/>
  <c r="F488" i="2"/>
  <c r="F487" i="2" s="1"/>
  <c r="E488" i="2"/>
  <c r="E487" i="2" s="1"/>
  <c r="D486" i="2"/>
  <c r="D475" i="2" s="1"/>
  <c r="C55" i="1" s="1"/>
  <c r="D485" i="2"/>
  <c r="J485" i="2" s="1"/>
  <c r="I484" i="2"/>
  <c r="D484" i="2"/>
  <c r="K483" i="2"/>
  <c r="H483" i="2"/>
  <c r="H482" i="2" s="1"/>
  <c r="G483" i="2"/>
  <c r="G482" i="2" s="1"/>
  <c r="I447" i="2"/>
  <c r="D447" i="2"/>
  <c r="D446" i="2" s="1"/>
  <c r="D445" i="2"/>
  <c r="D431" i="2" s="1"/>
  <c r="I444" i="2"/>
  <c r="D444" i="2"/>
  <c r="D430" i="2" s="1"/>
  <c r="D27" i="2" s="1"/>
  <c r="K443" i="2"/>
  <c r="H443" i="2"/>
  <c r="H442" i="2" s="1"/>
  <c r="G443" i="2"/>
  <c r="G442" i="2" s="1"/>
  <c r="F443" i="2"/>
  <c r="F442" i="2" s="1"/>
  <c r="E443" i="2"/>
  <c r="E442" i="2" s="1"/>
  <c r="D441" i="2"/>
  <c r="K440" i="2"/>
  <c r="H440" i="2"/>
  <c r="G440" i="2"/>
  <c r="F440" i="2"/>
  <c r="E440" i="2"/>
  <c r="D439" i="2"/>
  <c r="J439" i="2" s="1"/>
  <c r="D438" i="2"/>
  <c r="J438" i="2" s="1"/>
  <c r="D437" i="2"/>
  <c r="J437" i="2" s="1"/>
  <c r="H436" i="2"/>
  <c r="G436" i="2"/>
  <c r="F436" i="2"/>
  <c r="E436" i="2"/>
  <c r="K433" i="2"/>
  <c r="I433" i="2"/>
  <c r="H433" i="2"/>
  <c r="H432" i="2" s="1"/>
  <c r="G433" i="2"/>
  <c r="G432" i="2" s="1"/>
  <c r="F433" i="2"/>
  <c r="F432" i="2" s="1"/>
  <c r="E433" i="2"/>
  <c r="E432" i="2" s="1"/>
  <c r="K431" i="2"/>
  <c r="H431" i="2"/>
  <c r="G431" i="2"/>
  <c r="F431" i="2"/>
  <c r="E431" i="2"/>
  <c r="K430" i="2"/>
  <c r="H430" i="2"/>
  <c r="H27" i="2" s="1"/>
  <c r="G29" i="1" s="1"/>
  <c r="G430" i="2"/>
  <c r="G27" i="2" s="1"/>
  <c r="F29" i="1" s="1"/>
  <c r="F430" i="2"/>
  <c r="F27" i="2" s="1"/>
  <c r="E29" i="1" s="1"/>
  <c r="E430" i="2"/>
  <c r="E27" i="2" s="1"/>
  <c r="D29" i="1" s="1"/>
  <c r="K427" i="2"/>
  <c r="I427" i="2"/>
  <c r="H427" i="2"/>
  <c r="H426" i="2" s="1"/>
  <c r="G427" i="2"/>
  <c r="G426" i="2" s="1"/>
  <c r="F427" i="2"/>
  <c r="E427" i="2"/>
  <c r="E426" i="2" s="1"/>
  <c r="K425" i="2"/>
  <c r="I425" i="2"/>
  <c r="H425" i="2"/>
  <c r="G425" i="2"/>
  <c r="F425" i="2"/>
  <c r="F19" i="2" s="1"/>
  <c r="E20" i="1" s="1"/>
  <c r="E425" i="2"/>
  <c r="D425" i="2"/>
  <c r="K424" i="2"/>
  <c r="I424" i="2"/>
  <c r="H424" i="2"/>
  <c r="G424" i="2"/>
  <c r="G17" i="2" s="1"/>
  <c r="F17" i="1" s="1"/>
  <c r="F424" i="2"/>
  <c r="E424" i="2"/>
  <c r="E17" i="2" s="1"/>
  <c r="D17" i="1" s="1"/>
  <c r="K423" i="2"/>
  <c r="I423" i="2"/>
  <c r="H423" i="2"/>
  <c r="G423" i="2"/>
  <c r="F423" i="2"/>
  <c r="E423" i="2"/>
  <c r="I418" i="2"/>
  <c r="E418" i="2"/>
  <c r="E417" i="2" s="1"/>
  <c r="D418" i="2"/>
  <c r="D417" i="2" s="1"/>
  <c r="I415" i="2"/>
  <c r="E415" i="2"/>
  <c r="D415" i="2"/>
  <c r="I413" i="2"/>
  <c r="E413" i="2"/>
  <c r="D413" i="2"/>
  <c r="D412" i="2" s="1"/>
  <c r="I410" i="2"/>
  <c r="D410" i="2"/>
  <c r="D409" i="2" s="1"/>
  <c r="D408" i="2" s="1"/>
  <c r="K409" i="2"/>
  <c r="H409" i="2"/>
  <c r="H408" i="2" s="1"/>
  <c r="F409" i="2"/>
  <c r="F408" i="2" s="1"/>
  <c r="I407" i="2"/>
  <c r="K406" i="2"/>
  <c r="G406" i="2"/>
  <c r="F406" i="2"/>
  <c r="K404" i="2"/>
  <c r="H404" i="2"/>
  <c r="H403" i="2" s="1"/>
  <c r="G404" i="2"/>
  <c r="F404" i="2"/>
  <c r="I401" i="2"/>
  <c r="D401" i="2"/>
  <c r="K400" i="2"/>
  <c r="H400" i="2"/>
  <c r="H399" i="2" s="1"/>
  <c r="G400" i="2"/>
  <c r="G399" i="2" s="1"/>
  <c r="D400" i="2"/>
  <c r="D399" i="2" s="1"/>
  <c r="D398" i="2"/>
  <c r="K397" i="2"/>
  <c r="M397" i="2" s="1"/>
  <c r="G397" i="2"/>
  <c r="F397" i="2"/>
  <c r="I396" i="2"/>
  <c r="D396" i="2"/>
  <c r="D395" i="2" s="1"/>
  <c r="K395" i="2"/>
  <c r="G395" i="2"/>
  <c r="F395" i="2"/>
  <c r="D392" i="2"/>
  <c r="K391" i="2"/>
  <c r="I391" i="2"/>
  <c r="H391" i="2"/>
  <c r="H390" i="2" s="1"/>
  <c r="E391" i="2"/>
  <c r="E390" i="2" s="1"/>
  <c r="K390" i="2"/>
  <c r="I389" i="2"/>
  <c r="J389" i="2" s="1"/>
  <c r="D389" i="2"/>
  <c r="D388" i="2" s="1"/>
  <c r="K388" i="2"/>
  <c r="M388" i="2" s="1"/>
  <c r="G388" i="2"/>
  <c r="E388" i="2"/>
  <c r="K386" i="2"/>
  <c r="G386" i="2"/>
  <c r="F386" i="2"/>
  <c r="E386" i="2"/>
  <c r="K374" i="2"/>
  <c r="H374" i="2"/>
  <c r="H32" i="2" s="1"/>
  <c r="G37" i="1" s="1"/>
  <c r="G374" i="2"/>
  <c r="G32" i="2" s="1"/>
  <c r="F37" i="1" s="1"/>
  <c r="F374" i="2"/>
  <c r="F32" i="2" s="1"/>
  <c r="E37" i="1" s="1"/>
  <c r="E374" i="2"/>
  <c r="G373" i="2"/>
  <c r="G372" i="2" s="1"/>
  <c r="K371" i="2"/>
  <c r="H371" i="2"/>
  <c r="H370" i="2" s="1"/>
  <c r="G371" i="2"/>
  <c r="G23" i="2" s="1"/>
  <c r="F24" i="1" s="1"/>
  <c r="F371" i="2"/>
  <c r="F370" i="2" s="1"/>
  <c r="E371" i="2"/>
  <c r="E23" i="2" s="1"/>
  <c r="D24" i="1" s="1"/>
  <c r="G370" i="2"/>
  <c r="K369" i="2"/>
  <c r="H369" i="2"/>
  <c r="H368" i="2" s="1"/>
  <c r="G369" i="2"/>
  <c r="G368" i="2" s="1"/>
  <c r="F369" i="2"/>
  <c r="F368" i="2" s="1"/>
  <c r="E369" i="2"/>
  <c r="E368" i="2" s="1"/>
  <c r="D365" i="2"/>
  <c r="J365" i="2" s="1"/>
  <c r="F364" i="2"/>
  <c r="F363" i="2" s="1"/>
  <c r="E364" i="2"/>
  <c r="E363" i="2" s="1"/>
  <c r="D362" i="2"/>
  <c r="J362" i="2" s="1"/>
  <c r="H361" i="2"/>
  <c r="H360" i="2" s="1"/>
  <c r="G361" i="2"/>
  <c r="M361" i="2" s="1"/>
  <c r="F361" i="2"/>
  <c r="F360" i="2" s="1"/>
  <c r="E361" i="2"/>
  <c r="E360" i="2" s="1"/>
  <c r="I358" i="2"/>
  <c r="D358" i="2"/>
  <c r="D357" i="2" s="1"/>
  <c r="K357" i="2"/>
  <c r="H357" i="2"/>
  <c r="G357" i="2"/>
  <c r="F357" i="2"/>
  <c r="E357" i="2"/>
  <c r="I356" i="2"/>
  <c r="D356" i="2"/>
  <c r="D355" i="2" s="1"/>
  <c r="K355" i="2"/>
  <c r="H355" i="2"/>
  <c r="G355" i="2"/>
  <c r="G354" i="2" s="1"/>
  <c r="F355" i="2"/>
  <c r="E354" i="2"/>
  <c r="E353" i="2"/>
  <c r="E352" i="2" s="1"/>
  <c r="K352" i="2"/>
  <c r="H352" i="2"/>
  <c r="G352" i="2"/>
  <c r="F352" i="2"/>
  <c r="I351" i="2"/>
  <c r="D351" i="2"/>
  <c r="K349" i="2"/>
  <c r="H349" i="2"/>
  <c r="G349" i="2"/>
  <c r="F349" i="2"/>
  <c r="F348" i="2" s="1"/>
  <c r="K345" i="2"/>
  <c r="H345" i="2"/>
  <c r="H344" i="2" s="1"/>
  <c r="G345" i="2"/>
  <c r="G344" i="2" s="1"/>
  <c r="I343" i="2"/>
  <c r="K342" i="2"/>
  <c r="H342" i="2"/>
  <c r="G342" i="2"/>
  <c r="K340" i="2"/>
  <c r="H340" i="2"/>
  <c r="G340" i="2"/>
  <c r="I337" i="2"/>
  <c r="D337" i="2"/>
  <c r="D336" i="2" s="1"/>
  <c r="K336" i="2"/>
  <c r="H336" i="2"/>
  <c r="H335" i="2" s="1"/>
  <c r="G336" i="2"/>
  <c r="I334" i="2"/>
  <c r="D334" i="2"/>
  <c r="D333" i="2" s="1"/>
  <c r="K333" i="2"/>
  <c r="H333" i="2"/>
  <c r="G333" i="2"/>
  <c r="E333" i="2"/>
  <c r="K331" i="2"/>
  <c r="H331" i="2"/>
  <c r="G331" i="2"/>
  <c r="I328" i="2"/>
  <c r="D328" i="2"/>
  <c r="D327" i="2" s="1"/>
  <c r="D326" i="2" s="1"/>
  <c r="K327" i="2"/>
  <c r="H327" i="2"/>
  <c r="H326" i="2" s="1"/>
  <c r="G327" i="2"/>
  <c r="G326" i="2" s="1"/>
  <c r="F327" i="2"/>
  <c r="F325" i="2"/>
  <c r="K324" i="2"/>
  <c r="H324" i="2"/>
  <c r="G324" i="2"/>
  <c r="K322" i="2"/>
  <c r="H322" i="2"/>
  <c r="G322" i="2"/>
  <c r="I319" i="2"/>
  <c r="D319" i="2"/>
  <c r="D318" i="2" s="1"/>
  <c r="D317" i="2" s="1"/>
  <c r="K318" i="2"/>
  <c r="H318" i="2"/>
  <c r="H317" i="2" s="1"/>
  <c r="G318" i="2"/>
  <c r="G317" i="2" s="1"/>
  <c r="F318" i="2"/>
  <c r="I316" i="2"/>
  <c r="D316" i="2"/>
  <c r="D315" i="2" s="1"/>
  <c r="K315" i="2"/>
  <c r="H315" i="2"/>
  <c r="G315" i="2"/>
  <c r="F315" i="2"/>
  <c r="E315" i="2"/>
  <c r="I314" i="2"/>
  <c r="D314" i="2"/>
  <c r="D313" i="2" s="1"/>
  <c r="K313" i="2"/>
  <c r="H313" i="2"/>
  <c r="G313" i="2"/>
  <c r="F313" i="2"/>
  <c r="E313" i="2"/>
  <c r="I310" i="2"/>
  <c r="D310" i="2"/>
  <c r="D309" i="2" s="1"/>
  <c r="D308" i="2" s="1"/>
  <c r="K309" i="2"/>
  <c r="H309" i="2"/>
  <c r="H308" i="2" s="1"/>
  <c r="G309" i="2"/>
  <c r="G308" i="2" s="1"/>
  <c r="F309" i="2"/>
  <c r="F308" i="2" s="1"/>
  <c r="E308" i="2"/>
  <c r="I307" i="2"/>
  <c r="I306" i="2" s="1"/>
  <c r="D307" i="2"/>
  <c r="K306" i="2"/>
  <c r="H306" i="2"/>
  <c r="G306" i="2"/>
  <c r="F306" i="2"/>
  <c r="E306" i="2"/>
  <c r="D306" i="2"/>
  <c r="I305" i="2"/>
  <c r="D305" i="2"/>
  <c r="D304" i="2" s="1"/>
  <c r="K304" i="2"/>
  <c r="H304" i="2"/>
  <c r="G304" i="2"/>
  <c r="F304" i="2"/>
  <c r="E304" i="2"/>
  <c r="I301" i="2"/>
  <c r="D301" i="2"/>
  <c r="D300" i="2" s="1"/>
  <c r="D299" i="2" s="1"/>
  <c r="K300" i="2"/>
  <c r="H300" i="2"/>
  <c r="G300" i="2"/>
  <c r="H299" i="2"/>
  <c r="D298" i="2"/>
  <c r="K297" i="2"/>
  <c r="H297" i="2"/>
  <c r="G297" i="2"/>
  <c r="E297" i="2"/>
  <c r="I296" i="2"/>
  <c r="D296" i="2"/>
  <c r="D295" i="2" s="1"/>
  <c r="K295" i="2"/>
  <c r="H295" i="2"/>
  <c r="G295" i="2"/>
  <c r="E295" i="2"/>
  <c r="I292" i="2"/>
  <c r="D292" i="2"/>
  <c r="D291" i="2" s="1"/>
  <c r="D290" i="2" s="1"/>
  <c r="K291" i="2"/>
  <c r="H291" i="2"/>
  <c r="H290" i="2" s="1"/>
  <c r="G291" i="2"/>
  <c r="F291" i="2"/>
  <c r="G290" i="2"/>
  <c r="I289" i="2"/>
  <c r="D289" i="2"/>
  <c r="D288" i="2" s="1"/>
  <c r="H288" i="2"/>
  <c r="G288" i="2"/>
  <c r="F288" i="2"/>
  <c r="F285" i="2" s="1"/>
  <c r="E288" i="2"/>
  <c r="I287" i="2"/>
  <c r="D287" i="2"/>
  <c r="D286" i="2" s="1"/>
  <c r="K286" i="2"/>
  <c r="H286" i="2"/>
  <c r="G286" i="2"/>
  <c r="E286" i="2"/>
  <c r="I283" i="2"/>
  <c r="D283" i="2"/>
  <c r="D282" i="2" s="1"/>
  <c r="D281" i="2" s="1"/>
  <c r="K282" i="2"/>
  <c r="H282" i="2"/>
  <c r="H281" i="2" s="1"/>
  <c r="G282" i="2"/>
  <c r="G281" i="2" s="1"/>
  <c r="I280" i="2"/>
  <c r="D280" i="2"/>
  <c r="D279" i="2" s="1"/>
  <c r="K279" i="2"/>
  <c r="H279" i="2"/>
  <c r="G279" i="2"/>
  <c r="E279" i="2"/>
  <c r="D278" i="2"/>
  <c r="K277" i="2"/>
  <c r="H277" i="2"/>
  <c r="G277" i="2"/>
  <c r="E277" i="2"/>
  <c r="I274" i="2"/>
  <c r="D274" i="2"/>
  <c r="D273" i="2" s="1"/>
  <c r="D272" i="2" s="1"/>
  <c r="K273" i="2"/>
  <c r="H273" i="2"/>
  <c r="H272" i="2" s="1"/>
  <c r="I271" i="2"/>
  <c r="D271" i="2"/>
  <c r="D270" i="2" s="1"/>
  <c r="K270" i="2"/>
  <c r="H270" i="2"/>
  <c r="G270" i="2"/>
  <c r="E270" i="2"/>
  <c r="I269" i="2"/>
  <c r="D269" i="2"/>
  <c r="D268" i="2" s="1"/>
  <c r="K268" i="2"/>
  <c r="H268" i="2"/>
  <c r="G268" i="2"/>
  <c r="E268" i="2"/>
  <c r="D265" i="2"/>
  <c r="J265" i="2" s="1"/>
  <c r="H264" i="2"/>
  <c r="H263" i="2" s="1"/>
  <c r="I262" i="2"/>
  <c r="D262" i="2"/>
  <c r="D261" i="2" s="1"/>
  <c r="K261" i="2"/>
  <c r="H261" i="2"/>
  <c r="G261" i="2"/>
  <c r="E261" i="2"/>
  <c r="I260" i="2"/>
  <c r="D260" i="2"/>
  <c r="D259" i="2" s="1"/>
  <c r="K259" i="2"/>
  <c r="H259" i="2"/>
  <c r="G259" i="2"/>
  <c r="E259" i="2"/>
  <c r="I256" i="2"/>
  <c r="D256" i="2"/>
  <c r="D255" i="2" s="1"/>
  <c r="K255" i="2"/>
  <c r="H255" i="2"/>
  <c r="G255" i="2"/>
  <c r="D254" i="2"/>
  <c r="K253" i="2"/>
  <c r="H253" i="2"/>
  <c r="G253" i="2"/>
  <c r="I251" i="2"/>
  <c r="J251" i="2" s="1"/>
  <c r="D251" i="2"/>
  <c r="D250" i="2" s="1"/>
  <c r="K250" i="2"/>
  <c r="H250" i="2"/>
  <c r="G250" i="2"/>
  <c r="E250" i="2"/>
  <c r="I249" i="2"/>
  <c r="D249" i="2"/>
  <c r="I248" i="2"/>
  <c r="J248" i="2" s="1"/>
  <c r="D248" i="2"/>
  <c r="K247" i="2"/>
  <c r="H247" i="2"/>
  <c r="H246" i="2" s="1"/>
  <c r="G247" i="2"/>
  <c r="G246" i="2" s="1"/>
  <c r="E247" i="2"/>
  <c r="D244" i="2"/>
  <c r="J244" i="2" s="1"/>
  <c r="K243" i="2"/>
  <c r="H243" i="2"/>
  <c r="H242" i="2" s="1"/>
  <c r="E243" i="2"/>
  <c r="E242" i="2" s="1"/>
  <c r="I241" i="2"/>
  <c r="J241" i="2" s="1"/>
  <c r="D241" i="2"/>
  <c r="D240" i="2" s="1"/>
  <c r="K240" i="2"/>
  <c r="H240" i="2"/>
  <c r="G240" i="2"/>
  <c r="I239" i="2"/>
  <c r="D239" i="2"/>
  <c r="D238" i="2" s="1"/>
  <c r="K238" i="2"/>
  <c r="H238" i="2"/>
  <c r="G238" i="2"/>
  <c r="I235" i="2"/>
  <c r="D235" i="2"/>
  <c r="D234" i="2" s="1"/>
  <c r="K234" i="2"/>
  <c r="H234" i="2"/>
  <c r="G234" i="2"/>
  <c r="G231" i="2" s="1"/>
  <c r="E234" i="2"/>
  <c r="E231" i="2" s="1"/>
  <c r="I233" i="2"/>
  <c r="D233" i="2"/>
  <c r="D232" i="2" s="1"/>
  <c r="K232" i="2"/>
  <c r="M232" i="2" s="1"/>
  <c r="H232" i="2"/>
  <c r="F232" i="2"/>
  <c r="F231" i="2" s="1"/>
  <c r="K229" i="2"/>
  <c r="H229" i="2"/>
  <c r="G229" i="2"/>
  <c r="F229" i="2"/>
  <c r="E229" i="2"/>
  <c r="I228" i="2"/>
  <c r="D228" i="2"/>
  <c r="I227" i="2"/>
  <c r="K226" i="2"/>
  <c r="H226" i="2"/>
  <c r="H225" i="2" s="1"/>
  <c r="G226" i="2"/>
  <c r="G225" i="2" s="1"/>
  <c r="F226" i="2"/>
  <c r="F225" i="2" s="1"/>
  <c r="E226" i="2"/>
  <c r="E225" i="2" s="1"/>
  <c r="D223" i="2"/>
  <c r="K222" i="2"/>
  <c r="H222" i="2"/>
  <c r="H221" i="2" s="1"/>
  <c r="G222" i="2"/>
  <c r="G221" i="2" s="1"/>
  <c r="E222" i="2"/>
  <c r="E221" i="2" s="1"/>
  <c r="I220" i="2"/>
  <c r="D220" i="2"/>
  <c r="D219" i="2" s="1"/>
  <c r="K219" i="2"/>
  <c r="H219" i="2"/>
  <c r="G219" i="2"/>
  <c r="E219" i="2"/>
  <c r="I218" i="2"/>
  <c r="D218" i="2"/>
  <c r="K217" i="2"/>
  <c r="H217" i="2"/>
  <c r="G217" i="2"/>
  <c r="E217" i="2"/>
  <c r="I214" i="2"/>
  <c r="D214" i="2"/>
  <c r="D213" i="2" s="1"/>
  <c r="K213" i="2"/>
  <c r="H213" i="2"/>
  <c r="G213" i="2"/>
  <c r="I212" i="2"/>
  <c r="D212" i="2"/>
  <c r="D211" i="2" s="1"/>
  <c r="K211" i="2"/>
  <c r="H211" i="2"/>
  <c r="G211" i="2"/>
  <c r="K208" i="2"/>
  <c r="H208" i="2"/>
  <c r="G208" i="2"/>
  <c r="I207" i="2"/>
  <c r="D207" i="2"/>
  <c r="I206" i="2"/>
  <c r="K205" i="2"/>
  <c r="H205" i="2"/>
  <c r="G205" i="2"/>
  <c r="E205" i="2"/>
  <c r="I202" i="2"/>
  <c r="D202" i="2"/>
  <c r="D201" i="2" s="1"/>
  <c r="K201" i="2"/>
  <c r="H201" i="2"/>
  <c r="G201" i="2"/>
  <c r="E201" i="2"/>
  <c r="E200" i="2"/>
  <c r="K199" i="2"/>
  <c r="H199" i="2"/>
  <c r="G199" i="2"/>
  <c r="I197" i="2"/>
  <c r="K196" i="2"/>
  <c r="H196" i="2"/>
  <c r="G196" i="2"/>
  <c r="E196" i="2"/>
  <c r="E195" i="2"/>
  <c r="E38" i="2" s="1"/>
  <c r="K193" i="2"/>
  <c r="H193" i="2"/>
  <c r="G193" i="2"/>
  <c r="I190" i="2"/>
  <c r="D190" i="2"/>
  <c r="D189" i="2" s="1"/>
  <c r="D188" i="2" s="1"/>
  <c r="K189" i="2"/>
  <c r="H189" i="2"/>
  <c r="H188" i="2" s="1"/>
  <c r="G189" i="2"/>
  <c r="G188" i="2" s="1"/>
  <c r="E189" i="2"/>
  <c r="E188" i="2" s="1"/>
  <c r="I187" i="2"/>
  <c r="K186" i="2"/>
  <c r="H186" i="2"/>
  <c r="G186" i="2"/>
  <c r="E186" i="2"/>
  <c r="K184" i="2"/>
  <c r="H184" i="2"/>
  <c r="G184" i="2"/>
  <c r="I181" i="2"/>
  <c r="D181" i="2"/>
  <c r="D180" i="2" s="1"/>
  <c r="K180" i="2"/>
  <c r="H180" i="2"/>
  <c r="H179" i="2" s="1"/>
  <c r="G180" i="2"/>
  <c r="G179" i="2" s="1"/>
  <c r="I178" i="2"/>
  <c r="D178" i="2"/>
  <c r="D177" i="2" s="1"/>
  <c r="K177" i="2"/>
  <c r="H177" i="2"/>
  <c r="G177" i="2"/>
  <c r="E177" i="2"/>
  <c r="I176" i="2"/>
  <c r="D176" i="2"/>
  <c r="D175" i="2" s="1"/>
  <c r="K175" i="2"/>
  <c r="H175" i="2"/>
  <c r="G175" i="2"/>
  <c r="E175" i="2"/>
  <c r="I172" i="2"/>
  <c r="D172" i="2"/>
  <c r="K171" i="2"/>
  <c r="H171" i="2"/>
  <c r="G171" i="2"/>
  <c r="F171" i="2"/>
  <c r="E171" i="2"/>
  <c r="D171" i="2"/>
  <c r="I170" i="2"/>
  <c r="D170" i="2"/>
  <c r="D169" i="2" s="1"/>
  <c r="K169" i="2"/>
  <c r="H169" i="2"/>
  <c r="G169" i="2"/>
  <c r="F169" i="2"/>
  <c r="E169" i="2"/>
  <c r="H168" i="2"/>
  <c r="I167" i="2"/>
  <c r="K166" i="2"/>
  <c r="H166" i="2"/>
  <c r="G166" i="2"/>
  <c r="F166" i="2"/>
  <c r="E166" i="2"/>
  <c r="I165" i="2"/>
  <c r="D165" i="2"/>
  <c r="K163" i="2"/>
  <c r="H163" i="2"/>
  <c r="G163" i="2"/>
  <c r="F163" i="2"/>
  <c r="I160" i="2"/>
  <c r="D160" i="2"/>
  <c r="D159" i="2" s="1"/>
  <c r="K159" i="2"/>
  <c r="H159" i="2"/>
  <c r="G159" i="2"/>
  <c r="G158" i="2" s="1"/>
  <c r="H158" i="2"/>
  <c r="I157" i="2"/>
  <c r="K156" i="2"/>
  <c r="H156" i="2"/>
  <c r="G156" i="2"/>
  <c r="K154" i="2"/>
  <c r="H154" i="2"/>
  <c r="G154" i="2"/>
  <c r="I151" i="2"/>
  <c r="D151" i="2"/>
  <c r="D150" i="2" s="1"/>
  <c r="K150" i="2"/>
  <c r="H150" i="2"/>
  <c r="G150" i="2"/>
  <c r="E150" i="2"/>
  <c r="I149" i="2"/>
  <c r="D149" i="2"/>
  <c r="D148" i="2" s="1"/>
  <c r="I148" i="2"/>
  <c r="H148" i="2"/>
  <c r="G148" i="2"/>
  <c r="M148" i="2" s="1"/>
  <c r="E148" i="2"/>
  <c r="I146" i="2"/>
  <c r="D146" i="2"/>
  <c r="D145" i="2" s="1"/>
  <c r="K145" i="2"/>
  <c r="M145" i="2" s="1"/>
  <c r="G145" i="2"/>
  <c r="E145" i="2"/>
  <c r="I144" i="2"/>
  <c r="D144" i="2"/>
  <c r="I143" i="2"/>
  <c r="D143" i="2"/>
  <c r="K142" i="2"/>
  <c r="G142" i="2"/>
  <c r="E142" i="2"/>
  <c r="I139" i="2"/>
  <c r="D139" i="2"/>
  <c r="I138" i="2"/>
  <c r="J138" i="2" s="1"/>
  <c r="D138" i="2"/>
  <c r="K137" i="2"/>
  <c r="H137" i="2"/>
  <c r="G137" i="2"/>
  <c r="I136" i="2"/>
  <c r="D136" i="2"/>
  <c r="D135" i="2" s="1"/>
  <c r="K135" i="2"/>
  <c r="H135" i="2"/>
  <c r="G135" i="2"/>
  <c r="I133" i="2"/>
  <c r="J133" i="2" s="1"/>
  <c r="D133" i="2"/>
  <c r="I132" i="2"/>
  <c r="D132" i="2"/>
  <c r="K131" i="2"/>
  <c r="H131" i="2"/>
  <c r="G131" i="2"/>
  <c r="E131" i="2"/>
  <c r="D130" i="2"/>
  <c r="I129" i="2"/>
  <c r="H128" i="2"/>
  <c r="G128" i="2"/>
  <c r="E128" i="2"/>
  <c r="I125" i="2"/>
  <c r="D125" i="2"/>
  <c r="I124" i="2"/>
  <c r="D124" i="2"/>
  <c r="K123" i="2"/>
  <c r="H123" i="2"/>
  <c r="G123" i="2"/>
  <c r="I122" i="2"/>
  <c r="D122" i="2"/>
  <c r="I121" i="2"/>
  <c r="D121" i="2"/>
  <c r="K120" i="2"/>
  <c r="H120" i="2"/>
  <c r="G120" i="2"/>
  <c r="I118" i="2"/>
  <c r="I117" i="2"/>
  <c r="D117" i="2"/>
  <c r="K116" i="2"/>
  <c r="H116" i="2"/>
  <c r="G116" i="2"/>
  <c r="E116" i="2"/>
  <c r="D115" i="2"/>
  <c r="D114" i="2"/>
  <c r="J114" i="2" s="1"/>
  <c r="I113" i="2"/>
  <c r="D113" i="2"/>
  <c r="H112" i="2"/>
  <c r="G112" i="2"/>
  <c r="E112" i="2"/>
  <c r="I109" i="2"/>
  <c r="D109" i="2"/>
  <c r="I108" i="2"/>
  <c r="D108" i="2"/>
  <c r="K107" i="2"/>
  <c r="H107" i="2"/>
  <c r="G107" i="2"/>
  <c r="I106" i="2"/>
  <c r="D106" i="2"/>
  <c r="D105" i="2"/>
  <c r="H104" i="2"/>
  <c r="G104" i="2"/>
  <c r="I101" i="2"/>
  <c r="D101" i="2"/>
  <c r="K100" i="2"/>
  <c r="H100" i="2"/>
  <c r="G100" i="2"/>
  <c r="E100" i="2"/>
  <c r="D99" i="2"/>
  <c r="I98" i="2"/>
  <c r="J98" i="2" s="1"/>
  <c r="D98" i="2"/>
  <c r="H96" i="2"/>
  <c r="G96" i="2"/>
  <c r="I93" i="2"/>
  <c r="D93" i="2"/>
  <c r="I92" i="2"/>
  <c r="D92" i="2"/>
  <c r="K91" i="2"/>
  <c r="H91" i="2"/>
  <c r="G91" i="2"/>
  <c r="I90" i="2"/>
  <c r="D90" i="2"/>
  <c r="D89" i="2" s="1"/>
  <c r="K89" i="2"/>
  <c r="H89" i="2"/>
  <c r="G89" i="2"/>
  <c r="E89" i="2"/>
  <c r="E88" i="2" s="1"/>
  <c r="I86" i="2"/>
  <c r="D86" i="2"/>
  <c r="K85" i="2"/>
  <c r="H85" i="2"/>
  <c r="G85" i="2"/>
  <c r="E85" i="2"/>
  <c r="I83" i="2"/>
  <c r="D83" i="2"/>
  <c r="H82" i="2"/>
  <c r="G82" i="2"/>
  <c r="E82" i="2"/>
  <c r="I79" i="2"/>
  <c r="D79" i="2"/>
  <c r="I78" i="2"/>
  <c r="J78" i="2" s="1"/>
  <c r="D78" i="2"/>
  <c r="K77" i="2"/>
  <c r="H77" i="2"/>
  <c r="G77" i="2"/>
  <c r="I76" i="2"/>
  <c r="D76" i="2"/>
  <c r="D75" i="2"/>
  <c r="J75" i="2" s="1"/>
  <c r="K74" i="2"/>
  <c r="H74" i="2"/>
  <c r="G74" i="2"/>
  <c r="I71" i="2"/>
  <c r="D71" i="2"/>
  <c r="H70" i="2"/>
  <c r="G70" i="2"/>
  <c r="I68" i="2"/>
  <c r="D68" i="2"/>
  <c r="I67" i="2"/>
  <c r="D67" i="2"/>
  <c r="H66" i="2"/>
  <c r="H65" i="2" s="1"/>
  <c r="G66" i="2"/>
  <c r="I63" i="2"/>
  <c r="D63" i="2"/>
  <c r="K61" i="2"/>
  <c r="H61" i="2"/>
  <c r="G61" i="2"/>
  <c r="D60" i="2"/>
  <c r="K59" i="2"/>
  <c r="H59" i="2"/>
  <c r="G59" i="2"/>
  <c r="D57" i="2"/>
  <c r="J57" i="2" s="1"/>
  <c r="K55" i="2"/>
  <c r="H55" i="2"/>
  <c r="G55" i="2"/>
  <c r="D53" i="2"/>
  <c r="J53" i="2" s="1"/>
  <c r="K52" i="2"/>
  <c r="H52" i="2"/>
  <c r="G52" i="2"/>
  <c r="K48" i="2"/>
  <c r="H48" i="2"/>
  <c r="H47" i="2" s="1"/>
  <c r="G48" i="2"/>
  <c r="F48" i="2"/>
  <c r="F47" i="2" s="1"/>
  <c r="E48" i="2"/>
  <c r="E47" i="2" s="1"/>
  <c r="K46" i="2"/>
  <c r="H46" i="2"/>
  <c r="G34" i="1" s="1"/>
  <c r="G46" i="2"/>
  <c r="F34" i="1" s="1"/>
  <c r="F46" i="2"/>
  <c r="E34" i="1" s="1"/>
  <c r="E46" i="2"/>
  <c r="D34" i="1" s="1"/>
  <c r="H45" i="2"/>
  <c r="H28" i="2" s="1"/>
  <c r="G31" i="1" s="1"/>
  <c r="G45" i="2"/>
  <c r="F45" i="2"/>
  <c r="F28" i="2" s="1"/>
  <c r="E31" i="1" s="1"/>
  <c r="K41" i="2"/>
  <c r="H41" i="2"/>
  <c r="G41" i="2"/>
  <c r="F41" i="2"/>
  <c r="E41" i="2"/>
  <c r="H40" i="2"/>
  <c r="H39" i="2"/>
  <c r="G21" i="1" s="1"/>
  <c r="G39" i="2"/>
  <c r="F39" i="2"/>
  <c r="E21" i="1" s="1"/>
  <c r="K38" i="2"/>
  <c r="H38" i="2"/>
  <c r="G38" i="2"/>
  <c r="G18" i="2" s="1"/>
  <c r="F19" i="1" s="1"/>
  <c r="F38" i="2"/>
  <c r="F18" i="2" s="1"/>
  <c r="E19" i="1" s="1"/>
  <c r="K37" i="2"/>
  <c r="H37" i="2"/>
  <c r="G37" i="2"/>
  <c r="F37" i="2"/>
  <c r="F16" i="2" s="1"/>
  <c r="E16" i="1" s="1"/>
  <c r="E37" i="2"/>
  <c r="H33" i="2"/>
  <c r="G38" i="1" s="1"/>
  <c r="F33" i="2"/>
  <c r="H20" i="2"/>
  <c r="F65" i="1"/>
  <c r="E65" i="1"/>
  <c r="D65" i="1"/>
  <c r="J30" i="1"/>
  <c r="L30" i="1" s="1"/>
  <c r="J25" i="1"/>
  <c r="L25" i="1" s="1"/>
  <c r="J16" i="10" l="1"/>
  <c r="L18" i="10"/>
  <c r="J30" i="10"/>
  <c r="J46" i="4"/>
  <c r="F458" i="2"/>
  <c r="H458" i="2"/>
  <c r="H469" i="2"/>
  <c r="G51" i="1" s="1"/>
  <c r="G49" i="1" s="1"/>
  <c r="J214" i="2"/>
  <c r="L48" i="2"/>
  <c r="M425" i="2"/>
  <c r="J444" i="2"/>
  <c r="L46" i="2"/>
  <c r="J63" i="2"/>
  <c r="J83" i="2"/>
  <c r="J125" i="2"/>
  <c r="J172" i="2"/>
  <c r="J280" i="2"/>
  <c r="J351" i="2"/>
  <c r="J356" i="2"/>
  <c r="I412" i="2"/>
  <c r="J412" i="2" s="1"/>
  <c r="M423" i="2"/>
  <c r="M41" i="2"/>
  <c r="M48" i="2"/>
  <c r="M52" i="2"/>
  <c r="M55" i="2"/>
  <c r="M74" i="2"/>
  <c r="M77" i="2"/>
  <c r="M85" i="2"/>
  <c r="M89" i="2"/>
  <c r="M123" i="2"/>
  <c r="M131" i="2"/>
  <c r="M137" i="2"/>
  <c r="M150" i="2"/>
  <c r="M156" i="2"/>
  <c r="M163" i="2"/>
  <c r="M169" i="2"/>
  <c r="M171" i="2"/>
  <c r="M180" i="2"/>
  <c r="M184" i="2"/>
  <c r="M186" i="2"/>
  <c r="M196" i="2"/>
  <c r="M199" i="2"/>
  <c r="M205" i="2"/>
  <c r="M208" i="2"/>
  <c r="M213" i="2"/>
  <c r="M240" i="2"/>
  <c r="M247" i="2"/>
  <c r="M250" i="2"/>
  <c r="M259" i="2"/>
  <c r="M261" i="2"/>
  <c r="M268" i="2"/>
  <c r="M270" i="2"/>
  <c r="L273" i="2"/>
  <c r="M273" i="2"/>
  <c r="M279" i="2"/>
  <c r="M286" i="2"/>
  <c r="F31" i="2"/>
  <c r="E38" i="1"/>
  <c r="M37" i="2"/>
  <c r="M38" i="2"/>
  <c r="G20" i="2"/>
  <c r="F21" i="1"/>
  <c r="M46" i="2"/>
  <c r="M59" i="2"/>
  <c r="M61" i="2"/>
  <c r="J67" i="2"/>
  <c r="J76" i="2"/>
  <c r="M91" i="2"/>
  <c r="J93" i="2"/>
  <c r="M100" i="2"/>
  <c r="J101" i="2"/>
  <c r="M107" i="2"/>
  <c r="J109" i="2"/>
  <c r="M116" i="2"/>
  <c r="J117" i="2"/>
  <c r="M120" i="2"/>
  <c r="M135" i="2"/>
  <c r="J136" i="2"/>
  <c r="M142" i="2"/>
  <c r="M154" i="2"/>
  <c r="M159" i="2"/>
  <c r="J160" i="2"/>
  <c r="M166" i="2"/>
  <c r="M175" i="2"/>
  <c r="J176" i="2"/>
  <c r="M177" i="2"/>
  <c r="K188" i="2"/>
  <c r="M188" i="2" s="1"/>
  <c r="M189" i="2"/>
  <c r="M193" i="2"/>
  <c r="M201" i="2"/>
  <c r="J202" i="2"/>
  <c r="J207" i="2"/>
  <c r="M211" i="2"/>
  <c r="J212" i="2"/>
  <c r="M217" i="2"/>
  <c r="M219" i="2"/>
  <c r="M222" i="2"/>
  <c r="M226" i="2"/>
  <c r="M229" i="2"/>
  <c r="J233" i="2"/>
  <c r="M234" i="2"/>
  <c r="M238" i="2"/>
  <c r="L243" i="2"/>
  <c r="M243" i="2"/>
  <c r="M253" i="2"/>
  <c r="M255" i="2"/>
  <c r="M277" i="2"/>
  <c r="F12" i="10"/>
  <c r="F11" i="10" s="1"/>
  <c r="M295" i="2"/>
  <c r="M297" i="2"/>
  <c r="K308" i="2"/>
  <c r="M308" i="2" s="1"/>
  <c r="M309" i="2"/>
  <c r="M313" i="2"/>
  <c r="M324" i="2"/>
  <c r="M336" i="2"/>
  <c r="M340" i="2"/>
  <c r="M349" i="2"/>
  <c r="M352" i="2"/>
  <c r="M355" i="2"/>
  <c r="M369" i="2"/>
  <c r="M404" i="2"/>
  <c r="M427" i="2"/>
  <c r="M431" i="2"/>
  <c r="M433" i="2"/>
  <c r="L436" i="2"/>
  <c r="M436" i="2"/>
  <c r="M440" i="2"/>
  <c r="J447" i="2"/>
  <c r="M483" i="2"/>
  <c r="M493" i="2"/>
  <c r="D74" i="1"/>
  <c r="M501" i="2"/>
  <c r="K532" i="2"/>
  <c r="M532" i="2" s="1"/>
  <c r="M533" i="2"/>
  <c r="M513" i="2"/>
  <c r="M525" i="2"/>
  <c r="J526" i="2"/>
  <c r="M451" i="2"/>
  <c r="L455" i="2"/>
  <c r="M455" i="2"/>
  <c r="G458" i="2"/>
  <c r="K458" i="2"/>
  <c r="M459" i="2"/>
  <c r="M464" i="2"/>
  <c r="J31" i="3"/>
  <c r="M65" i="3"/>
  <c r="M68" i="3"/>
  <c r="J69" i="3"/>
  <c r="L163" i="3"/>
  <c r="M163" i="3"/>
  <c r="L165" i="3"/>
  <c r="M165" i="3"/>
  <c r="L181" i="3"/>
  <c r="M181" i="3"/>
  <c r="G74" i="1"/>
  <c r="M29" i="4"/>
  <c r="M32" i="4"/>
  <c r="M35" i="4"/>
  <c r="I115" i="6"/>
  <c r="M115" i="6"/>
  <c r="M122" i="6"/>
  <c r="I122" i="6"/>
  <c r="M127" i="6"/>
  <c r="I127" i="6"/>
  <c r="I100" i="6"/>
  <c r="M100" i="6"/>
  <c r="K65" i="9"/>
  <c r="D23" i="10"/>
  <c r="H23" i="10"/>
  <c r="M36" i="6"/>
  <c r="I36" i="6"/>
  <c r="M52" i="6"/>
  <c r="I52" i="6"/>
  <c r="J13" i="5"/>
  <c r="I63" i="6"/>
  <c r="M63" i="6"/>
  <c r="M282" i="2"/>
  <c r="J283" i="2"/>
  <c r="M288" i="2"/>
  <c r="L288" i="2"/>
  <c r="M291" i="2"/>
  <c r="M300" i="2"/>
  <c r="J301" i="2"/>
  <c r="M304" i="2"/>
  <c r="M306" i="2"/>
  <c r="D312" i="2"/>
  <c r="M315" i="2"/>
  <c r="K317" i="2"/>
  <c r="M317" i="2" s="1"/>
  <c r="M318" i="2"/>
  <c r="M322" i="2"/>
  <c r="M327" i="2"/>
  <c r="M331" i="2"/>
  <c r="M333" i="2"/>
  <c r="M342" i="2"/>
  <c r="M345" i="2"/>
  <c r="M357" i="2"/>
  <c r="J358" i="2"/>
  <c r="K368" i="2"/>
  <c r="M368" i="2" s="1"/>
  <c r="M371" i="2"/>
  <c r="M374" i="2"/>
  <c r="M386" i="2"/>
  <c r="L390" i="2"/>
  <c r="M390" i="2"/>
  <c r="L391" i="2"/>
  <c r="M391" i="2"/>
  <c r="M395" i="2"/>
  <c r="M400" i="2"/>
  <c r="M406" i="2"/>
  <c r="L409" i="2"/>
  <c r="M409" i="2"/>
  <c r="M424" i="2"/>
  <c r="K27" i="2"/>
  <c r="M27" i="2" s="1"/>
  <c r="M430" i="2"/>
  <c r="M443" i="2"/>
  <c r="K496" i="2"/>
  <c r="M497" i="2"/>
  <c r="M504" i="2"/>
  <c r="M505" i="2"/>
  <c r="M509" i="2"/>
  <c r="M529" i="2"/>
  <c r="K516" i="2"/>
  <c r="M516" i="2" s="1"/>
  <c r="M517" i="2"/>
  <c r="M521" i="2"/>
  <c r="M453" i="2"/>
  <c r="L456" i="2"/>
  <c r="M456" i="2"/>
  <c r="M461" i="2"/>
  <c r="M62" i="3"/>
  <c r="L157" i="3"/>
  <c r="M157" i="3"/>
  <c r="M160" i="3"/>
  <c r="L160" i="3"/>
  <c r="L103" i="3"/>
  <c r="L105" i="3"/>
  <c r="M139" i="3"/>
  <c r="L139" i="3"/>
  <c r="M151" i="3"/>
  <c r="G180" i="3"/>
  <c r="L187" i="3"/>
  <c r="M187" i="3"/>
  <c r="M189" i="3"/>
  <c r="L189" i="3"/>
  <c r="L193" i="3"/>
  <c r="M193" i="3"/>
  <c r="J197" i="3"/>
  <c r="L199" i="3"/>
  <c r="M199" i="3"/>
  <c r="M201" i="3"/>
  <c r="L201" i="3"/>
  <c r="M17" i="4"/>
  <c r="F74" i="1"/>
  <c r="M18" i="4"/>
  <c r="M23" i="4"/>
  <c r="M24" i="4"/>
  <c r="M34" i="4"/>
  <c r="F48" i="4"/>
  <c r="M49" i="4"/>
  <c r="M56" i="4"/>
  <c r="M57" i="4"/>
  <c r="K118" i="6"/>
  <c r="I119" i="6"/>
  <c r="M119" i="6"/>
  <c r="M123" i="6"/>
  <c r="I123" i="6"/>
  <c r="I131" i="6"/>
  <c r="M131" i="6"/>
  <c r="M17" i="7"/>
  <c r="Q14" i="7"/>
  <c r="J50" i="1"/>
  <c r="K50" i="1" s="1"/>
  <c r="J54" i="1"/>
  <c r="L54" i="1" s="1"/>
  <c r="L11" i="10"/>
  <c r="L12" i="10"/>
  <c r="L16" i="10"/>
  <c r="J18" i="10"/>
  <c r="L19" i="10"/>
  <c r="L20" i="10"/>
  <c r="L21" i="10"/>
  <c r="J25" i="10"/>
  <c r="J27" i="10"/>
  <c r="I41" i="6"/>
  <c r="M41" i="6"/>
  <c r="I58" i="6"/>
  <c r="M58" i="6"/>
  <c r="M76" i="6"/>
  <c r="I76" i="6"/>
  <c r="M47" i="6"/>
  <c r="I47" i="6"/>
  <c r="H23" i="1"/>
  <c r="I23" i="1" s="1"/>
  <c r="M35" i="8"/>
  <c r="M41" i="8"/>
  <c r="M44" i="8"/>
  <c r="M62" i="8"/>
  <c r="M65" i="8"/>
  <c r="M68" i="8"/>
  <c r="M71" i="8"/>
  <c r="M100" i="8"/>
  <c r="M101" i="8"/>
  <c r="M104" i="8"/>
  <c r="M116" i="8"/>
  <c r="J139" i="8"/>
  <c r="M206" i="8"/>
  <c r="M213" i="8"/>
  <c r="M221" i="8"/>
  <c r="M223" i="8"/>
  <c r="M242" i="8"/>
  <c r="M246" i="8"/>
  <c r="M254" i="8"/>
  <c r="M38" i="8"/>
  <c r="M93" i="8"/>
  <c r="M97" i="8"/>
  <c r="M120" i="8"/>
  <c r="M125" i="8"/>
  <c r="M127" i="8"/>
  <c r="M209" i="8"/>
  <c r="M216" i="8"/>
  <c r="M233" i="8"/>
  <c r="J239" i="8"/>
  <c r="M243" i="8"/>
  <c r="M250" i="8"/>
  <c r="L33" i="1"/>
  <c r="K57" i="1"/>
  <c r="L57" i="1"/>
  <c r="M145" i="8"/>
  <c r="K150" i="8"/>
  <c r="M151" i="8"/>
  <c r="I151" i="8"/>
  <c r="M72" i="6"/>
  <c r="I72" i="6"/>
  <c r="M79" i="6"/>
  <c r="I79" i="6"/>
  <c r="M33" i="6"/>
  <c r="I33" i="6"/>
  <c r="M31" i="6"/>
  <c r="I31" i="6"/>
  <c r="I88" i="6"/>
  <c r="M88" i="6"/>
  <c r="M83" i="6"/>
  <c r="I83" i="6"/>
  <c r="M110" i="6"/>
  <c r="I110" i="6"/>
  <c r="I108" i="6"/>
  <c r="M108" i="6"/>
  <c r="L50" i="1" s="1"/>
  <c r="L28" i="10"/>
  <c r="M28" i="10"/>
  <c r="I29" i="10"/>
  <c r="M29" i="10"/>
  <c r="L29" i="10"/>
  <c r="L26" i="10"/>
  <c r="M26" i="10"/>
  <c r="L23" i="10"/>
  <c r="M23" i="10"/>
  <c r="M24" i="10"/>
  <c r="L24" i="10"/>
  <c r="M153" i="3"/>
  <c r="L153" i="3"/>
  <c r="M141" i="3"/>
  <c r="L141" i="3"/>
  <c r="I14" i="3"/>
  <c r="L148" i="3"/>
  <c r="M148" i="3"/>
  <c r="M145" i="3"/>
  <c r="L145" i="3"/>
  <c r="L136" i="3"/>
  <c r="M136" i="3"/>
  <c r="L133" i="3"/>
  <c r="M133" i="3"/>
  <c r="K55" i="9"/>
  <c r="M18" i="9"/>
  <c r="M74" i="3"/>
  <c r="L74" i="3"/>
  <c r="M77" i="3"/>
  <c r="L77" i="3"/>
  <c r="M80" i="3"/>
  <c r="L80" i="3"/>
  <c r="M82" i="3"/>
  <c r="L82" i="3"/>
  <c r="L68" i="3"/>
  <c r="M70" i="3"/>
  <c r="L70" i="3"/>
  <c r="J71" i="3"/>
  <c r="M21" i="8"/>
  <c r="M194" i="8"/>
  <c r="M14" i="8"/>
  <c r="M198" i="8"/>
  <c r="M191" i="8"/>
  <c r="M31" i="8"/>
  <c r="M201" i="8"/>
  <c r="M79" i="8"/>
  <c r="M75" i="8"/>
  <c r="M226" i="8"/>
  <c r="M114" i="8"/>
  <c r="M27" i="8"/>
  <c r="M55" i="8"/>
  <c r="M25" i="8"/>
  <c r="M30" i="8"/>
  <c r="M140" i="8"/>
  <c r="M26" i="8"/>
  <c r="M137" i="8"/>
  <c r="M122" i="8"/>
  <c r="M22" i="8"/>
  <c r="M111" i="8"/>
  <c r="M17" i="8"/>
  <c r="M108" i="8"/>
  <c r="M109" i="8"/>
  <c r="M15" i="8"/>
  <c r="M49" i="8"/>
  <c r="M52" i="8"/>
  <c r="M131" i="8"/>
  <c r="M16" i="8"/>
  <c r="M20" i="8"/>
  <c r="M133" i="8"/>
  <c r="M95" i="6"/>
  <c r="I95" i="6"/>
  <c r="M97" i="6"/>
  <c r="I97" i="6"/>
  <c r="M69" i="6"/>
  <c r="I69" i="6"/>
  <c r="M28" i="6"/>
  <c r="I28" i="6"/>
  <c r="M26" i="6"/>
  <c r="I26" i="6"/>
  <c r="M196" i="3"/>
  <c r="L196" i="3"/>
  <c r="M184" i="3"/>
  <c r="L184" i="3"/>
  <c r="D201" i="3"/>
  <c r="J202" i="3"/>
  <c r="D189" i="3"/>
  <c r="J190" i="3"/>
  <c r="D184" i="3"/>
  <c r="J185" i="3"/>
  <c r="M177" i="3"/>
  <c r="L177" i="3"/>
  <c r="M175" i="3"/>
  <c r="L175" i="3"/>
  <c r="M172" i="3"/>
  <c r="L172" i="3"/>
  <c r="M169" i="3"/>
  <c r="L169" i="3"/>
  <c r="J514" i="2"/>
  <c r="J289" i="2"/>
  <c r="L425" i="2"/>
  <c r="J484" i="2"/>
  <c r="J489" i="2"/>
  <c r="L464" i="2"/>
  <c r="L10" i="5"/>
  <c r="M10" i="5"/>
  <c r="D12" i="10"/>
  <c r="D11" i="10" s="1"/>
  <c r="K17" i="10"/>
  <c r="L17" i="10" s="1"/>
  <c r="I26" i="10"/>
  <c r="J26" i="10" s="1"/>
  <c r="K15" i="10"/>
  <c r="L15" i="10" s="1"/>
  <c r="I17" i="10"/>
  <c r="J17" i="10" s="1"/>
  <c r="L56" i="4"/>
  <c r="L57" i="4"/>
  <c r="J43" i="4"/>
  <c r="J33" i="4"/>
  <c r="L17" i="4"/>
  <c r="L32" i="4"/>
  <c r="L29" i="4"/>
  <c r="I32" i="4"/>
  <c r="L34" i="4"/>
  <c r="L49" i="4"/>
  <c r="J50" i="4"/>
  <c r="J51" i="4"/>
  <c r="J52" i="4"/>
  <c r="J53" i="4"/>
  <c r="L18" i="4"/>
  <c r="L23" i="4"/>
  <c r="L24" i="4"/>
  <c r="L35" i="4"/>
  <c r="K28" i="4"/>
  <c r="I45" i="4"/>
  <c r="J45" i="4" s="1"/>
  <c r="J59" i="1"/>
  <c r="J66" i="1"/>
  <c r="J67" i="1"/>
  <c r="I35" i="4"/>
  <c r="H38" i="4"/>
  <c r="K48" i="4"/>
  <c r="D68" i="3"/>
  <c r="L16" i="9"/>
  <c r="M16" i="9"/>
  <c r="L24" i="9"/>
  <c r="M24" i="9"/>
  <c r="L26" i="9"/>
  <c r="M26" i="9"/>
  <c r="L33" i="9"/>
  <c r="M33" i="9"/>
  <c r="L35" i="9"/>
  <c r="M35" i="9"/>
  <c r="L38" i="9"/>
  <c r="M38" i="9"/>
  <c r="M42" i="9"/>
  <c r="L42" i="9"/>
  <c r="M49" i="9"/>
  <c r="L49" i="9"/>
  <c r="M52" i="9"/>
  <c r="L52" i="9"/>
  <c r="L55" i="9"/>
  <c r="M55" i="9"/>
  <c r="K28" i="9"/>
  <c r="M29" i="9"/>
  <c r="L29" i="9"/>
  <c r="K32" i="9"/>
  <c r="K41" i="9"/>
  <c r="M44" i="9"/>
  <c r="M45" i="9"/>
  <c r="K48" i="9"/>
  <c r="L56" i="9"/>
  <c r="M56" i="9"/>
  <c r="L59" i="9"/>
  <c r="M59" i="9"/>
  <c r="K20" i="9"/>
  <c r="L21" i="9"/>
  <c r="I18" i="9"/>
  <c r="J27" i="9"/>
  <c r="I15" i="9"/>
  <c r="K212" i="8"/>
  <c r="J151" i="8"/>
  <c r="I150" i="8"/>
  <c r="J150" i="8" s="1"/>
  <c r="L15" i="8"/>
  <c r="L20" i="8"/>
  <c r="L25" i="8"/>
  <c r="L30" i="8"/>
  <c r="L41" i="8"/>
  <c r="L49" i="8"/>
  <c r="L52" i="8"/>
  <c r="L55" i="8"/>
  <c r="K61" i="8"/>
  <c r="L79" i="8"/>
  <c r="L108" i="8"/>
  <c r="L109" i="8"/>
  <c r="L111" i="8"/>
  <c r="L150" i="8"/>
  <c r="L151" i="8"/>
  <c r="L194" i="8"/>
  <c r="L198" i="8"/>
  <c r="L223" i="8"/>
  <c r="L233" i="8"/>
  <c r="L250" i="8"/>
  <c r="L14" i="8"/>
  <c r="L17" i="8"/>
  <c r="L21" i="8"/>
  <c r="L22" i="8"/>
  <c r="L26" i="8"/>
  <c r="L27" i="8"/>
  <c r="L31" i="8"/>
  <c r="L38" i="8"/>
  <c r="L114" i="8"/>
  <c r="L122" i="8"/>
  <c r="L133" i="8"/>
  <c r="L137" i="8"/>
  <c r="L140" i="8"/>
  <c r="L201" i="8"/>
  <c r="L209" i="8"/>
  <c r="L213" i="8"/>
  <c r="L216" i="8"/>
  <c r="L254" i="8"/>
  <c r="K48" i="8"/>
  <c r="K92" i="8"/>
  <c r="I144" i="8"/>
  <c r="J144" i="8" s="1"/>
  <c r="K34" i="8"/>
  <c r="L35" i="8"/>
  <c r="I15" i="8"/>
  <c r="J15" i="8" s="1"/>
  <c r="J51" i="8"/>
  <c r="J69" i="8"/>
  <c r="J72" i="8"/>
  <c r="J88" i="8"/>
  <c r="J99" i="8"/>
  <c r="I124" i="8"/>
  <c r="J124" i="8" s="1"/>
  <c r="J125" i="8"/>
  <c r="J134" i="8"/>
  <c r="K144" i="8"/>
  <c r="L145" i="8"/>
  <c r="K190" i="8"/>
  <c r="L191" i="8"/>
  <c r="H61" i="1"/>
  <c r="I61" i="1" s="1"/>
  <c r="J235" i="8"/>
  <c r="J244" i="8"/>
  <c r="K54" i="8"/>
  <c r="J80" i="8"/>
  <c r="K82" i="8"/>
  <c r="J96" i="8"/>
  <c r="J103" i="8"/>
  <c r="J106" i="8"/>
  <c r="I108" i="8"/>
  <c r="J108" i="8" s="1"/>
  <c r="J109" i="8"/>
  <c r="K119" i="8"/>
  <c r="L120" i="8"/>
  <c r="K124" i="8"/>
  <c r="L125" i="8"/>
  <c r="K130" i="8"/>
  <c r="L131" i="8"/>
  <c r="J141" i="8"/>
  <c r="J146" i="8"/>
  <c r="J153" i="8"/>
  <c r="E67" i="3"/>
  <c r="J94" i="3"/>
  <c r="M97" i="3"/>
  <c r="L97" i="3"/>
  <c r="M103" i="3"/>
  <c r="M105" i="3"/>
  <c r="M109" i="3"/>
  <c r="L109" i="3"/>
  <c r="M112" i="3"/>
  <c r="L112" i="3"/>
  <c r="J36" i="3"/>
  <c r="M100" i="3"/>
  <c r="L100" i="3"/>
  <c r="M115" i="3"/>
  <c r="L115" i="3"/>
  <c r="M117" i="3"/>
  <c r="L117" i="3"/>
  <c r="L41" i="3"/>
  <c r="M41" i="3"/>
  <c r="L43" i="3"/>
  <c r="M43" i="3"/>
  <c r="M31" i="3"/>
  <c r="L31" i="3"/>
  <c r="L32" i="3"/>
  <c r="M32" i="3"/>
  <c r="I62" i="3"/>
  <c r="G67" i="3"/>
  <c r="I93" i="3"/>
  <c r="J93" i="3" s="1"/>
  <c r="H132" i="3"/>
  <c r="J170" i="3"/>
  <c r="I70" i="3"/>
  <c r="J70" i="3" s="1"/>
  <c r="I105" i="3"/>
  <c r="J188" i="3"/>
  <c r="J194" i="3"/>
  <c r="I196" i="3"/>
  <c r="J196" i="3" s="1"/>
  <c r="J200" i="3"/>
  <c r="E370" i="2"/>
  <c r="L291" i="2"/>
  <c r="J292" i="2"/>
  <c r="J287" i="2"/>
  <c r="J274" i="2"/>
  <c r="J269" i="2"/>
  <c r="J262" i="2"/>
  <c r="J239" i="2"/>
  <c r="J218" i="2"/>
  <c r="J151" i="2"/>
  <c r="L145" i="2"/>
  <c r="J146" i="2"/>
  <c r="J144" i="2"/>
  <c r="J121" i="2"/>
  <c r="J71" i="2"/>
  <c r="L41" i="2"/>
  <c r="L52" i="2"/>
  <c r="D59" i="2"/>
  <c r="J60" i="2"/>
  <c r="L61" i="2"/>
  <c r="L74" i="2"/>
  <c r="L77" i="2"/>
  <c r="L120" i="2"/>
  <c r="L135" i="2"/>
  <c r="L137" i="2"/>
  <c r="L150" i="2"/>
  <c r="L154" i="2"/>
  <c r="L159" i="2"/>
  <c r="L163" i="2"/>
  <c r="L193" i="2"/>
  <c r="L205" i="2"/>
  <c r="L213" i="2"/>
  <c r="L217" i="2"/>
  <c r="L222" i="2"/>
  <c r="L238" i="2"/>
  <c r="L240" i="2"/>
  <c r="L247" i="2"/>
  <c r="L253" i="2"/>
  <c r="L261" i="2"/>
  <c r="L268" i="2"/>
  <c r="L282" i="2"/>
  <c r="I282" i="2"/>
  <c r="J282" i="2" s="1"/>
  <c r="L286" i="2"/>
  <c r="L300" i="2"/>
  <c r="J334" i="2"/>
  <c r="L336" i="2"/>
  <c r="J337" i="2"/>
  <c r="L345" i="2"/>
  <c r="L368" i="2"/>
  <c r="D397" i="2"/>
  <c r="J398" i="2"/>
  <c r="J410" i="2"/>
  <c r="J418" i="2"/>
  <c r="L427" i="2"/>
  <c r="L440" i="2"/>
  <c r="L443" i="2"/>
  <c r="L483" i="2"/>
  <c r="L504" i="2"/>
  <c r="L505" i="2"/>
  <c r="D509" i="2"/>
  <c r="D508" i="2" s="1"/>
  <c r="L529" i="2"/>
  <c r="L513" i="2"/>
  <c r="L525" i="2"/>
  <c r="L37" i="2"/>
  <c r="L59" i="2"/>
  <c r="J68" i="2"/>
  <c r="J79" i="2"/>
  <c r="J86" i="2"/>
  <c r="L89" i="2"/>
  <c r="J90" i="2"/>
  <c r="L91" i="2"/>
  <c r="J92" i="2"/>
  <c r="J106" i="2"/>
  <c r="L107" i="2"/>
  <c r="J108" i="2"/>
  <c r="J113" i="2"/>
  <c r="J122" i="2"/>
  <c r="L123" i="2"/>
  <c r="J124" i="2"/>
  <c r="J132" i="2"/>
  <c r="J139" i="2"/>
  <c r="L142" i="2"/>
  <c r="J143" i="2"/>
  <c r="L148" i="2"/>
  <c r="J148" i="2"/>
  <c r="J149" i="2"/>
  <c r="J165" i="2"/>
  <c r="J170" i="2"/>
  <c r="J178" i="2"/>
  <c r="J181" i="2"/>
  <c r="J190" i="2"/>
  <c r="L219" i="2"/>
  <c r="J220" i="2"/>
  <c r="D222" i="2"/>
  <c r="J223" i="2"/>
  <c r="L226" i="2"/>
  <c r="J228" i="2"/>
  <c r="J235" i="2"/>
  <c r="J249" i="2"/>
  <c r="D253" i="2"/>
  <c r="J254" i="2"/>
  <c r="L255" i="2"/>
  <c r="J256" i="2"/>
  <c r="L259" i="2"/>
  <c r="J260" i="2"/>
  <c r="L270" i="2"/>
  <c r="J271" i="2"/>
  <c r="D277" i="2"/>
  <c r="J278" i="2"/>
  <c r="L295" i="2"/>
  <c r="J296" i="2"/>
  <c r="D297" i="2"/>
  <c r="J298" i="2"/>
  <c r="L304" i="2"/>
  <c r="J305" i="2"/>
  <c r="L313" i="2"/>
  <c r="J314" i="2"/>
  <c r="L322" i="2"/>
  <c r="G360" i="2"/>
  <c r="L361" i="2"/>
  <c r="L369" i="2"/>
  <c r="L374" i="2"/>
  <c r="D391" i="2"/>
  <c r="J391" i="2" s="1"/>
  <c r="J392" i="2"/>
  <c r="L395" i="2"/>
  <c r="J396" i="2"/>
  <c r="L400" i="2"/>
  <c r="J401" i="2"/>
  <c r="L404" i="2"/>
  <c r="J413" i="2"/>
  <c r="J415" i="2"/>
  <c r="I17" i="2"/>
  <c r="J425" i="2"/>
  <c r="L431" i="2"/>
  <c r="L433" i="2"/>
  <c r="D427" i="2"/>
  <c r="D426" i="2" s="1"/>
  <c r="J441" i="2"/>
  <c r="J445" i="2"/>
  <c r="J486" i="2"/>
  <c r="G487" i="2"/>
  <c r="L488" i="2"/>
  <c r="J490" i="2"/>
  <c r="L509" i="2"/>
  <c r="J509" i="2"/>
  <c r="D529" i="2"/>
  <c r="D528" i="2" s="1"/>
  <c r="J530" i="2"/>
  <c r="J519" i="2"/>
  <c r="I455" i="2"/>
  <c r="J456" i="2"/>
  <c r="K12" i="2"/>
  <c r="J116" i="6"/>
  <c r="M25" i="7"/>
  <c r="I25" i="7"/>
  <c r="J25" i="7" s="1"/>
  <c r="M46" i="7"/>
  <c r="I46" i="7"/>
  <c r="M60" i="7"/>
  <c r="I60" i="7"/>
  <c r="M64" i="7"/>
  <c r="I64" i="7"/>
  <c r="M70" i="7"/>
  <c r="I70" i="7"/>
  <c r="J70" i="7" s="1"/>
  <c r="I84" i="7"/>
  <c r="M84" i="7"/>
  <c r="M57" i="7"/>
  <c r="I57" i="7"/>
  <c r="M67" i="7"/>
  <c r="I67" i="7"/>
  <c r="M72" i="7"/>
  <c r="I72" i="7"/>
  <c r="K75" i="7"/>
  <c r="L75" i="7" s="1"/>
  <c r="M79" i="7"/>
  <c r="I79" i="7"/>
  <c r="I51" i="7"/>
  <c r="M51" i="7"/>
  <c r="M53" i="7"/>
  <c r="I53" i="7"/>
  <c r="I48" i="7"/>
  <c r="M48" i="7"/>
  <c r="I40" i="7"/>
  <c r="M40" i="7"/>
  <c r="M42" i="7"/>
  <c r="I42" i="7"/>
  <c r="M37" i="7"/>
  <c r="I37" i="7"/>
  <c r="M34" i="7"/>
  <c r="I34" i="7"/>
  <c r="M9" i="7"/>
  <c r="L9" i="7"/>
  <c r="J63" i="1"/>
  <c r="L63" i="1" s="1"/>
  <c r="L62" i="1" s="1"/>
  <c r="L17" i="7"/>
  <c r="H69" i="1"/>
  <c r="I69" i="1" s="1"/>
  <c r="J20" i="7"/>
  <c r="L22" i="7"/>
  <c r="L25" i="7"/>
  <c r="L34" i="7"/>
  <c r="J49" i="7"/>
  <c r="L57" i="7"/>
  <c r="J66" i="7"/>
  <c r="J71" i="7"/>
  <c r="J78" i="7"/>
  <c r="J80" i="7"/>
  <c r="L84" i="7"/>
  <c r="I19" i="7"/>
  <c r="J19" i="7" s="1"/>
  <c r="J69" i="1"/>
  <c r="L69" i="1" s="1"/>
  <c r="L20" i="7"/>
  <c r="L37" i="7"/>
  <c r="K39" i="7"/>
  <c r="I39" i="7" s="1"/>
  <c r="L40" i="7"/>
  <c r="L42" i="7"/>
  <c r="L48" i="7"/>
  <c r="L51" i="7"/>
  <c r="L53" i="7"/>
  <c r="J58" i="7"/>
  <c r="J68" i="7"/>
  <c r="L70" i="7"/>
  <c r="K69" i="7"/>
  <c r="L79" i="7"/>
  <c r="J83" i="7"/>
  <c r="J85" i="7"/>
  <c r="K114" i="6"/>
  <c r="L127" i="6"/>
  <c r="L95" i="6"/>
  <c r="L97" i="6"/>
  <c r="L26" i="6"/>
  <c r="L28" i="6"/>
  <c r="L83" i="6"/>
  <c r="L19" i="6"/>
  <c r="L17" i="6"/>
  <c r="L20" i="6"/>
  <c r="L22" i="6"/>
  <c r="L79" i="6"/>
  <c r="L76" i="6"/>
  <c r="L31" i="6"/>
  <c r="L33" i="6"/>
  <c r="L110" i="6"/>
  <c r="L72" i="6"/>
  <c r="L69" i="6"/>
  <c r="J18" i="9"/>
  <c r="K17" i="9"/>
  <c r="L18" i="9"/>
  <c r="J57" i="9"/>
  <c r="K30" i="1"/>
  <c r="K36" i="1"/>
  <c r="K25" i="1"/>
  <c r="K220" i="8"/>
  <c r="L221" i="8"/>
  <c r="J222" i="8"/>
  <c r="I225" i="8"/>
  <c r="J225" i="8" s="1"/>
  <c r="J226" i="8"/>
  <c r="J227" i="8"/>
  <c r="J19" i="8"/>
  <c r="I209" i="8"/>
  <c r="J209" i="8" s="1"/>
  <c r="K225" i="8"/>
  <c r="L226" i="8"/>
  <c r="K113" i="8"/>
  <c r="J217" i="8"/>
  <c r="J214" i="8"/>
  <c r="J211" i="8"/>
  <c r="J18" i="1"/>
  <c r="L18" i="1" s="1"/>
  <c r="L16" i="8"/>
  <c r="K205" i="8"/>
  <c r="L206" i="8"/>
  <c r="J208" i="8"/>
  <c r="J105" i="8"/>
  <c r="I100" i="8"/>
  <c r="J100" i="8" s="1"/>
  <c r="J101" i="8"/>
  <c r="J102" i="8"/>
  <c r="J98" i="8"/>
  <c r="K74" i="8"/>
  <c r="L75" i="8"/>
  <c r="K232" i="8"/>
  <c r="J115" i="6"/>
  <c r="J42" i="6"/>
  <c r="J50" i="6"/>
  <c r="J74" i="6"/>
  <c r="J59" i="6"/>
  <c r="J55" i="6"/>
  <c r="J51" i="6"/>
  <c r="J63" i="6"/>
  <c r="J64" i="6"/>
  <c r="J120" i="6"/>
  <c r="J96" i="6"/>
  <c r="K99" i="6"/>
  <c r="L100" i="6"/>
  <c r="J101" i="6"/>
  <c r="J44" i="6"/>
  <c r="J48" i="6"/>
  <c r="J81" i="6"/>
  <c r="J78" i="6"/>
  <c r="J61" i="6"/>
  <c r="J54" i="6"/>
  <c r="J49" i="6"/>
  <c r="J108" i="6"/>
  <c r="L88" i="6"/>
  <c r="J32" i="6"/>
  <c r="L39" i="3"/>
  <c r="H303" i="2"/>
  <c r="G141" i="2"/>
  <c r="E147" i="2"/>
  <c r="E276" i="2"/>
  <c r="H276" i="2"/>
  <c r="F303" i="2"/>
  <c r="D303" i="2"/>
  <c r="H321" i="2"/>
  <c r="I89" i="2"/>
  <c r="J89" i="2" s="1"/>
  <c r="E141" i="2"/>
  <c r="F162" i="2"/>
  <c r="H162" i="2"/>
  <c r="K221" i="2"/>
  <c r="I240" i="2"/>
  <c r="J240" i="2" s="1"/>
  <c r="K299" i="2"/>
  <c r="E303" i="2"/>
  <c r="G321" i="2"/>
  <c r="G403" i="2"/>
  <c r="K24" i="2"/>
  <c r="K442" i="2"/>
  <c r="K508" i="2"/>
  <c r="I508" i="2"/>
  <c r="K147" i="2"/>
  <c r="K158" i="2"/>
  <c r="I201" i="2"/>
  <c r="J201" i="2" s="1"/>
  <c r="I219" i="2"/>
  <c r="J219" i="2" s="1"/>
  <c r="K246" i="2"/>
  <c r="K285" i="2"/>
  <c r="I322" i="2"/>
  <c r="I333" i="2"/>
  <c r="J333" i="2" s="1"/>
  <c r="K335" i="2"/>
  <c r="I417" i="2"/>
  <c r="J417" i="2" s="1"/>
  <c r="I504" i="2"/>
  <c r="K528" i="2"/>
  <c r="K512" i="2"/>
  <c r="I513" i="2"/>
  <c r="J513" i="2" s="1"/>
  <c r="K524" i="2"/>
  <c r="I525" i="2"/>
  <c r="J525" i="2" s="1"/>
  <c r="K463" i="2"/>
  <c r="K32" i="2"/>
  <c r="M32" i="2" s="1"/>
  <c r="I390" i="2"/>
  <c r="K23" i="2"/>
  <c r="M23" i="2" s="1"/>
  <c r="I388" i="2"/>
  <c r="J388" i="2" s="1"/>
  <c r="I533" i="2"/>
  <c r="J533" i="2" s="1"/>
  <c r="K45" i="7"/>
  <c r="I21" i="6"/>
  <c r="K18" i="8"/>
  <c r="H153" i="2"/>
  <c r="K204" i="2"/>
  <c r="K276" i="2"/>
  <c r="D32" i="4"/>
  <c r="I20" i="4"/>
  <c r="J20" i="4" s="1"/>
  <c r="D26" i="4"/>
  <c r="C72" i="1" s="1"/>
  <c r="I17" i="7"/>
  <c r="K19" i="7"/>
  <c r="M19" i="7" s="1"/>
  <c r="I97" i="8"/>
  <c r="J97" i="8" s="1"/>
  <c r="I221" i="8"/>
  <c r="J221" i="8" s="1"/>
  <c r="G14" i="10"/>
  <c r="M20" i="10"/>
  <c r="H29" i="10"/>
  <c r="H28" i="10" s="1"/>
  <c r="K136" i="8"/>
  <c r="I44" i="4"/>
  <c r="J44" i="4" s="1"/>
  <c r="D21" i="10"/>
  <c r="D20" i="10" s="1"/>
  <c r="D19" i="10" s="1"/>
  <c r="J19" i="10" s="1"/>
  <c r="D29" i="10"/>
  <c r="H183" i="2"/>
  <c r="I68" i="8"/>
  <c r="J68" i="8" s="1"/>
  <c r="H31" i="2"/>
  <c r="H12" i="2"/>
  <c r="F463" i="2"/>
  <c r="E13" i="4"/>
  <c r="G13" i="4"/>
  <c r="H59" i="1"/>
  <c r="I18" i="6"/>
  <c r="K21" i="7"/>
  <c r="M21" i="7" s="1"/>
  <c r="J72" i="1"/>
  <c r="L72" i="1" s="1"/>
  <c r="L71" i="1" s="1"/>
  <c r="J142" i="8"/>
  <c r="I206" i="8"/>
  <c r="K51" i="9"/>
  <c r="I52" i="9"/>
  <c r="J52" i="9" s="1"/>
  <c r="J56" i="9"/>
  <c r="M15" i="10"/>
  <c r="F14" i="10"/>
  <c r="H14" i="10"/>
  <c r="I24" i="10"/>
  <c r="J24" i="10" s="1"/>
  <c r="J58" i="6"/>
  <c r="H330" i="2"/>
  <c r="H467" i="2"/>
  <c r="D473" i="2"/>
  <c r="I478" i="2"/>
  <c r="J478" i="2" s="1"/>
  <c r="I488" i="2"/>
  <c r="E454" i="2"/>
  <c r="G12" i="2"/>
  <c r="F13" i="4"/>
  <c r="H13" i="4"/>
  <c r="K13" i="7"/>
  <c r="M13" i="7" s="1"/>
  <c r="J56" i="1"/>
  <c r="J59" i="8"/>
  <c r="E15" i="10"/>
  <c r="I15" i="10"/>
  <c r="J15" i="10" s="1"/>
  <c r="M21" i="10"/>
  <c r="I16" i="6"/>
  <c r="I150" i="2"/>
  <c r="J150" i="2" s="1"/>
  <c r="I74" i="2"/>
  <c r="I145" i="2"/>
  <c r="J145" i="2" s="1"/>
  <c r="J26" i="1"/>
  <c r="K19" i="3"/>
  <c r="L19" i="3" s="1"/>
  <c r="J29" i="1"/>
  <c r="L29" i="1" s="1"/>
  <c r="I112" i="3"/>
  <c r="J58" i="1"/>
  <c r="K13" i="4"/>
  <c r="I11" i="4"/>
  <c r="I16" i="4"/>
  <c r="I26" i="4"/>
  <c r="J26" i="4" s="1"/>
  <c r="J48" i="9"/>
  <c r="I33" i="9"/>
  <c r="I35" i="9"/>
  <c r="I38" i="9"/>
  <c r="K23" i="9"/>
  <c r="I29" i="9"/>
  <c r="J29" i="9" s="1"/>
  <c r="K24" i="8"/>
  <c r="I140" i="8"/>
  <c r="J140" i="8" s="1"/>
  <c r="K11" i="8"/>
  <c r="H70" i="1"/>
  <c r="I70" i="1" s="1"/>
  <c r="E22" i="4"/>
  <c r="H19" i="3"/>
  <c r="K18" i="2"/>
  <c r="K22" i="2"/>
  <c r="F23" i="2"/>
  <c r="E24" i="1" s="1"/>
  <c r="H23" i="2"/>
  <c r="G24" i="1" s="1"/>
  <c r="E373" i="2"/>
  <c r="E372" i="2" s="1"/>
  <c r="E32" i="2"/>
  <c r="D37" i="1" s="1"/>
  <c r="H16" i="2"/>
  <c r="G16" i="1" s="1"/>
  <c r="K16" i="2"/>
  <c r="I480" i="2"/>
  <c r="J480" i="2" s="1"/>
  <c r="H18" i="2"/>
  <c r="G19" i="1" s="1"/>
  <c r="G28" i="2"/>
  <c r="F31" i="1" s="1"/>
  <c r="K30" i="2"/>
  <c r="E18" i="2"/>
  <c r="D19" i="1" s="1"/>
  <c r="K33" i="2"/>
  <c r="I473" i="2"/>
  <c r="J473" i="2" s="1"/>
  <c r="I475" i="2"/>
  <c r="J475" i="2" s="1"/>
  <c r="I479" i="2"/>
  <c r="F12" i="2"/>
  <c r="G16" i="2"/>
  <c r="F16" i="1" s="1"/>
  <c r="F17" i="2"/>
  <c r="E17" i="1" s="1"/>
  <c r="H17" i="2"/>
  <c r="G17" i="1" s="1"/>
  <c r="K17" i="2"/>
  <c r="D19" i="2"/>
  <c r="C20" i="1" s="1"/>
  <c r="H19" i="2"/>
  <c r="G20" i="1" s="1"/>
  <c r="K19" i="2"/>
  <c r="F29" i="2"/>
  <c r="H29" i="2"/>
  <c r="G32" i="1" s="1"/>
  <c r="E19" i="2"/>
  <c r="D20" i="1" s="1"/>
  <c r="G19" i="2"/>
  <c r="F20" i="1" s="1"/>
  <c r="I19" i="2"/>
  <c r="J19" i="2" s="1"/>
  <c r="E29" i="2"/>
  <c r="D32" i="1" s="1"/>
  <c r="G29" i="2"/>
  <c r="F32" i="1" s="1"/>
  <c r="K29" i="2"/>
  <c r="D29" i="2"/>
  <c r="C32" i="1" s="1"/>
  <c r="I529" i="2"/>
  <c r="J529" i="2" s="1"/>
  <c r="D517" i="2"/>
  <c r="D516" i="2" s="1"/>
  <c r="E33" i="2"/>
  <c r="D38" i="1" s="1"/>
  <c r="G33" i="2"/>
  <c r="F38" i="1" s="1"/>
  <c r="F30" i="2"/>
  <c r="D394" i="2"/>
  <c r="E422" i="2"/>
  <c r="F20" i="2"/>
  <c r="I463" i="2"/>
  <c r="J463" i="2" s="1"/>
  <c r="H22" i="2"/>
  <c r="G47" i="2"/>
  <c r="K471" i="2"/>
  <c r="F471" i="2"/>
  <c r="F470" i="2" s="1"/>
  <c r="D48" i="2"/>
  <c r="J32" i="1"/>
  <c r="F22" i="2"/>
  <c r="H30" i="2"/>
  <c r="I41" i="2"/>
  <c r="H422" i="2"/>
  <c r="H421" i="2" s="1"/>
  <c r="D423" i="2"/>
  <c r="J423" i="2" s="1"/>
  <c r="F422" i="2"/>
  <c r="E429" i="2"/>
  <c r="E428" i="2" s="1"/>
  <c r="K429" i="2"/>
  <c r="E30" i="2"/>
  <c r="G30" i="2"/>
  <c r="I374" i="2"/>
  <c r="D424" i="2"/>
  <c r="J424" i="2" s="1"/>
  <c r="I409" i="2"/>
  <c r="J409" i="2" s="1"/>
  <c r="H435" i="2"/>
  <c r="D429" i="2"/>
  <c r="H452" i="2"/>
  <c r="D46" i="2"/>
  <c r="H471" i="2"/>
  <c r="H470" i="2" s="1"/>
  <c r="I200" i="2"/>
  <c r="E45" i="2"/>
  <c r="J34" i="1"/>
  <c r="L34" i="1" s="1"/>
  <c r="F373" i="2"/>
  <c r="F372" i="2" s="1"/>
  <c r="H373" i="2"/>
  <c r="H372" i="2" s="1"/>
  <c r="K373" i="2"/>
  <c r="G24" i="2"/>
  <c r="F26" i="1" s="1"/>
  <c r="D41" i="2"/>
  <c r="F394" i="2"/>
  <c r="F429" i="2"/>
  <c r="H429" i="2"/>
  <c r="H428" i="2" s="1"/>
  <c r="I431" i="2"/>
  <c r="J431" i="2" s="1"/>
  <c r="D433" i="2"/>
  <c r="D432" i="2" s="1"/>
  <c r="F435" i="2"/>
  <c r="G496" i="2"/>
  <c r="G469" i="2" s="1"/>
  <c r="F51" i="1" s="1"/>
  <c r="F49" i="1" s="1"/>
  <c r="E451" i="2"/>
  <c r="G429" i="2"/>
  <c r="G428" i="2" s="1"/>
  <c r="F426" i="2"/>
  <c r="H95" i="2"/>
  <c r="H127" i="2"/>
  <c r="D443" i="2"/>
  <c r="I446" i="2"/>
  <c r="J446" i="2" s="1"/>
  <c r="H267" i="2"/>
  <c r="I286" i="2"/>
  <c r="J286" i="2" s="1"/>
  <c r="D285" i="2"/>
  <c r="E471" i="2"/>
  <c r="E470" i="2" s="1"/>
  <c r="E492" i="2"/>
  <c r="H103" i="2"/>
  <c r="I107" i="2"/>
  <c r="H111" i="2"/>
  <c r="I123" i="2"/>
  <c r="D123" i="2"/>
  <c r="K210" i="2"/>
  <c r="I222" i="2"/>
  <c r="J222" i="2" s="1"/>
  <c r="E312" i="2"/>
  <c r="G312" i="2"/>
  <c r="I313" i="2"/>
  <c r="J313" i="2" s="1"/>
  <c r="H367" i="2"/>
  <c r="D374" i="2"/>
  <c r="D32" i="2" s="1"/>
  <c r="C37" i="1" s="1"/>
  <c r="E385" i="2"/>
  <c r="G394" i="2"/>
  <c r="I397" i="2"/>
  <c r="J397" i="2" s="1"/>
  <c r="I430" i="2"/>
  <c r="J430" i="2" s="1"/>
  <c r="G471" i="2"/>
  <c r="H294" i="2"/>
  <c r="H231" i="2"/>
  <c r="G237" i="2"/>
  <c r="I270" i="2"/>
  <c r="J270" i="2" s="1"/>
  <c r="K272" i="2"/>
  <c r="F312" i="2"/>
  <c r="F168" i="2"/>
  <c r="H312" i="2"/>
  <c r="H339" i="2"/>
  <c r="H198" i="2"/>
  <c r="I211" i="2"/>
  <c r="J211" i="2" s="1"/>
  <c r="I213" i="2"/>
  <c r="J213" i="2" s="1"/>
  <c r="I355" i="2"/>
  <c r="J355" i="2" s="1"/>
  <c r="H354" i="2"/>
  <c r="I77" i="2"/>
  <c r="I137" i="2"/>
  <c r="D137" i="2"/>
  <c r="E168" i="2"/>
  <c r="G168" i="2"/>
  <c r="E174" i="2"/>
  <c r="G174" i="2"/>
  <c r="K174" i="2"/>
  <c r="E199" i="2"/>
  <c r="I217" i="2"/>
  <c r="I255" i="2"/>
  <c r="J255" i="2" s="1"/>
  <c r="I315" i="2"/>
  <c r="I327" i="2"/>
  <c r="I326" i="2" s="1"/>
  <c r="I336" i="2"/>
  <c r="J336" i="2" s="1"/>
  <c r="H348" i="2"/>
  <c r="K88" i="2"/>
  <c r="I189" i="2"/>
  <c r="J189" i="2" s="1"/>
  <c r="I232" i="2"/>
  <c r="J232" i="2" s="1"/>
  <c r="I291" i="2"/>
  <c r="I309" i="2"/>
  <c r="I308" i="2" s="1"/>
  <c r="D361" i="2"/>
  <c r="J361" i="2" s="1"/>
  <c r="E22" i="2"/>
  <c r="G22" i="2"/>
  <c r="G21" i="2" s="1"/>
  <c r="I169" i="2"/>
  <c r="J169" i="2" s="1"/>
  <c r="G204" i="2"/>
  <c r="I234" i="2"/>
  <c r="J234" i="2" s="1"/>
  <c r="I238" i="2"/>
  <c r="J238" i="2" s="1"/>
  <c r="E267" i="2"/>
  <c r="G267" i="2"/>
  <c r="I318" i="2"/>
  <c r="I317" i="2" s="1"/>
  <c r="I325" i="2"/>
  <c r="F42" i="2"/>
  <c r="D364" i="2"/>
  <c r="J364" i="2" s="1"/>
  <c r="D390" i="2"/>
  <c r="G73" i="2"/>
  <c r="D91" i="2"/>
  <c r="E111" i="2"/>
  <c r="G111" i="2"/>
  <c r="D131" i="2"/>
  <c r="G147" i="2"/>
  <c r="D174" i="2"/>
  <c r="D243" i="2"/>
  <c r="J243" i="2" s="1"/>
  <c r="G258" i="2"/>
  <c r="K258" i="2"/>
  <c r="D264" i="2"/>
  <c r="J264" i="2" s="1"/>
  <c r="H285" i="2"/>
  <c r="E294" i="2"/>
  <c r="G348" i="2"/>
  <c r="I353" i="2"/>
  <c r="E42" i="2"/>
  <c r="D440" i="2"/>
  <c r="J440" i="2" s="1"/>
  <c r="E435" i="2"/>
  <c r="G435" i="2"/>
  <c r="D242" i="2"/>
  <c r="J242" i="2" s="1"/>
  <c r="E367" i="2"/>
  <c r="F403" i="2"/>
  <c r="G367" i="2"/>
  <c r="F367" i="2"/>
  <c r="K370" i="2"/>
  <c r="M370" i="2" s="1"/>
  <c r="G299" i="2"/>
  <c r="G294" i="2"/>
  <c r="D294" i="2"/>
  <c r="D276" i="2"/>
  <c r="D267" i="2"/>
  <c r="D258" i="2"/>
  <c r="H252" i="2"/>
  <c r="I247" i="2"/>
  <c r="D247" i="2"/>
  <c r="K237" i="2"/>
  <c r="H237" i="2"/>
  <c r="D237" i="2"/>
  <c r="D231" i="2"/>
  <c r="D221" i="2"/>
  <c r="H216" i="2"/>
  <c r="I210" i="2"/>
  <c r="K141" i="2"/>
  <c r="D120" i="2"/>
  <c r="D119" i="2" s="1"/>
  <c r="G95" i="2"/>
  <c r="F36" i="2"/>
  <c r="H26" i="2"/>
  <c r="G58" i="2"/>
  <c r="F44" i="2"/>
  <c r="F43" i="2" s="1"/>
  <c r="D61" i="2"/>
  <c r="D55" i="2"/>
  <c r="H51" i="2"/>
  <c r="E52" i="2"/>
  <c r="E51" i="2" s="1"/>
  <c r="H36" i="2"/>
  <c r="H35" i="2" s="1"/>
  <c r="G40" i="2"/>
  <c r="H44" i="2"/>
  <c r="H43" i="2" s="1"/>
  <c r="G65" i="2"/>
  <c r="K45" i="2"/>
  <c r="L45" i="2" s="1"/>
  <c r="I48" i="2"/>
  <c r="J48" i="2" s="1"/>
  <c r="H58" i="2"/>
  <c r="H81" i="2"/>
  <c r="I99" i="2"/>
  <c r="J99" i="2" s="1"/>
  <c r="K112" i="2"/>
  <c r="H119" i="2"/>
  <c r="I120" i="2"/>
  <c r="H134" i="2"/>
  <c r="H192" i="2"/>
  <c r="G210" i="2"/>
  <c r="E246" i="2"/>
  <c r="D246" i="2"/>
  <c r="H258" i="2"/>
  <c r="G276" i="2"/>
  <c r="G303" i="2"/>
  <c r="I55" i="2"/>
  <c r="J55" i="2" s="1"/>
  <c r="G335" i="2"/>
  <c r="E497" i="2"/>
  <c r="E496" i="2" s="1"/>
  <c r="H449" i="2"/>
  <c r="K403" i="2"/>
  <c r="F452" i="2"/>
  <c r="F449" i="2" s="1"/>
  <c r="H142" i="2"/>
  <c r="H174" i="2"/>
  <c r="G285" i="2"/>
  <c r="I400" i="2"/>
  <c r="J400" i="2" s="1"/>
  <c r="K104" i="2"/>
  <c r="I300" i="2"/>
  <c r="J300" i="2" s="1"/>
  <c r="G450" i="2"/>
  <c r="K450" i="2"/>
  <c r="D200" i="2"/>
  <c r="D199" i="2" s="1"/>
  <c r="D198" i="2" s="1"/>
  <c r="I259" i="2"/>
  <c r="J259" i="2" s="1"/>
  <c r="F317" i="2"/>
  <c r="D323" i="2"/>
  <c r="D322" i="2" s="1"/>
  <c r="F324" i="2"/>
  <c r="F321" i="2" s="1"/>
  <c r="F354" i="2"/>
  <c r="G88" i="2"/>
  <c r="G103" i="2"/>
  <c r="D118" i="2"/>
  <c r="D116" i="2" s="1"/>
  <c r="E127" i="2"/>
  <c r="G127" i="2"/>
  <c r="G36" i="2"/>
  <c r="D84" i="2"/>
  <c r="K96" i="2"/>
  <c r="I97" i="2"/>
  <c r="I105" i="2"/>
  <c r="J105" i="2" s="1"/>
  <c r="D112" i="2"/>
  <c r="G119" i="2"/>
  <c r="D129" i="2"/>
  <c r="D128" i="2" s="1"/>
  <c r="D127" i="2" s="1"/>
  <c r="D134" i="2"/>
  <c r="I147" i="2"/>
  <c r="D168" i="2"/>
  <c r="I177" i="2"/>
  <c r="J177" i="2" s="1"/>
  <c r="I288" i="2"/>
  <c r="D442" i="2"/>
  <c r="D502" i="2"/>
  <c r="D479" i="2" s="1"/>
  <c r="C67" i="1" s="1"/>
  <c r="D354" i="2"/>
  <c r="G385" i="2"/>
  <c r="K520" i="2"/>
  <c r="M520" i="2" s="1"/>
  <c r="D483" i="2"/>
  <c r="D62" i="1"/>
  <c r="K180" i="3"/>
  <c r="H198" i="3"/>
  <c r="D71" i="1"/>
  <c r="D64" i="1" s="1"/>
  <c r="I184" i="3"/>
  <c r="D198" i="3"/>
  <c r="E13" i="3"/>
  <c r="E12" i="3" s="1"/>
  <c r="E19" i="3"/>
  <c r="H114" i="3"/>
  <c r="E151" i="3"/>
  <c r="G168" i="3"/>
  <c r="H192" i="3"/>
  <c r="G198" i="3"/>
  <c r="F168" i="3"/>
  <c r="F132" i="3"/>
  <c r="G108" i="3"/>
  <c r="F174" i="3"/>
  <c r="E186" i="3"/>
  <c r="G186" i="3"/>
  <c r="K186" i="3"/>
  <c r="G73" i="3"/>
  <c r="F138" i="3"/>
  <c r="K168" i="3"/>
  <c r="K108" i="3"/>
  <c r="D135" i="3"/>
  <c r="D133" i="3" s="1"/>
  <c r="H174" i="3"/>
  <c r="K96" i="3"/>
  <c r="F102" i="3"/>
  <c r="D176" i="3"/>
  <c r="K73" i="3"/>
  <c r="H156" i="3"/>
  <c r="H11" i="3" s="1"/>
  <c r="G156" i="3"/>
  <c r="G162" i="3"/>
  <c r="E175" i="3"/>
  <c r="D67" i="3"/>
  <c r="G96" i="3"/>
  <c r="F108" i="3"/>
  <c r="H108" i="3"/>
  <c r="E145" i="3"/>
  <c r="G144" i="3"/>
  <c r="H150" i="3"/>
  <c r="K13" i="3"/>
  <c r="F156" i="3"/>
  <c r="F11" i="3" s="1"/>
  <c r="G90" i="3"/>
  <c r="M90" i="3" s="1"/>
  <c r="G18" i="3"/>
  <c r="G49" i="3"/>
  <c r="M49" i="3" s="1"/>
  <c r="G13" i="3"/>
  <c r="D52" i="3"/>
  <c r="D110" i="3"/>
  <c r="J110" i="3" s="1"/>
  <c r="D140" i="3"/>
  <c r="D139" i="3" s="1"/>
  <c r="K144" i="3"/>
  <c r="G79" i="3"/>
  <c r="D152" i="3"/>
  <c r="D151" i="3" s="1"/>
  <c r="H168" i="3"/>
  <c r="E172" i="3"/>
  <c r="I172" i="3" s="1"/>
  <c r="E148" i="3"/>
  <c r="D173" i="3"/>
  <c r="D172" i="3" s="1"/>
  <c r="H61" i="3"/>
  <c r="H68" i="3"/>
  <c r="H67" i="3" s="1"/>
  <c r="F85" i="3"/>
  <c r="H85" i="3"/>
  <c r="G85" i="3"/>
  <c r="M85" i="3" s="1"/>
  <c r="F96" i="3"/>
  <c r="H96" i="3"/>
  <c r="M50" i="3"/>
  <c r="D149" i="3"/>
  <c r="D148" i="3" s="1"/>
  <c r="I189" i="3"/>
  <c r="H13" i="3"/>
  <c r="H12" i="3" s="1"/>
  <c r="M39" i="3"/>
  <c r="F13" i="3"/>
  <c r="F12" i="3" s="1"/>
  <c r="K16" i="3"/>
  <c r="M16" i="3" s="1"/>
  <c r="K21" i="3"/>
  <c r="M21" i="3" s="1"/>
  <c r="M58" i="3"/>
  <c r="M88" i="3"/>
  <c r="F18" i="3"/>
  <c r="H18" i="3"/>
  <c r="I35" i="3"/>
  <c r="J35" i="3" s="1"/>
  <c r="M53" i="3"/>
  <c r="M56" i="3"/>
  <c r="F61" i="3"/>
  <c r="I65" i="3"/>
  <c r="J65" i="3" s="1"/>
  <c r="K67" i="3"/>
  <c r="M67" i="3" s="1"/>
  <c r="E74" i="3"/>
  <c r="I74" i="3" s="1"/>
  <c r="D76" i="3"/>
  <c r="J76" i="3" s="1"/>
  <c r="M86" i="3"/>
  <c r="M91" i="3"/>
  <c r="M93" i="3"/>
  <c r="I159" i="3"/>
  <c r="D159" i="3"/>
  <c r="H102" i="3"/>
  <c r="E105" i="3"/>
  <c r="G102" i="3"/>
  <c r="D106" i="3"/>
  <c r="D105" i="3" s="1"/>
  <c r="E109" i="3"/>
  <c r="E112" i="3"/>
  <c r="D113" i="3"/>
  <c r="D112" i="3" s="1"/>
  <c r="M44" i="3"/>
  <c r="E133" i="3"/>
  <c r="E132" i="3" s="1"/>
  <c r="E139" i="3"/>
  <c r="E138" i="3" s="1"/>
  <c r="H138" i="3"/>
  <c r="F150" i="3"/>
  <c r="I175" i="3"/>
  <c r="D193" i="3"/>
  <c r="D192" i="3" s="1"/>
  <c r="F114" i="3"/>
  <c r="M34" i="3"/>
  <c r="M35" i="3"/>
  <c r="K22" i="4"/>
  <c r="G22" i="4"/>
  <c r="I24" i="4"/>
  <c r="J24" i="4" s="1"/>
  <c r="H57" i="4"/>
  <c r="H56" i="4" s="1"/>
  <c r="D23" i="4"/>
  <c r="J23" i="4" s="1"/>
  <c r="I18" i="4"/>
  <c r="J18" i="4" s="1"/>
  <c r="H23" i="4"/>
  <c r="G66" i="1" s="1"/>
  <c r="I25" i="4"/>
  <c r="I57" i="4"/>
  <c r="J57" i="4" s="1"/>
  <c r="D25" i="4"/>
  <c r="F28" i="4"/>
  <c r="H28" i="4"/>
  <c r="F12" i="4"/>
  <c r="H12" i="4"/>
  <c r="G21" i="4"/>
  <c r="G28" i="4"/>
  <c r="D41" i="4"/>
  <c r="J41" i="4" s="1"/>
  <c r="F21" i="4"/>
  <c r="K57" i="5"/>
  <c r="J62" i="5"/>
  <c r="I23" i="6"/>
  <c r="J23" i="6" s="1"/>
  <c r="I15" i="6"/>
  <c r="J52" i="6"/>
  <c r="E71" i="1"/>
  <c r="E64" i="1" s="1"/>
  <c r="K130" i="6"/>
  <c r="F53" i="1"/>
  <c r="E53" i="1"/>
  <c r="G53" i="1"/>
  <c r="E62" i="1"/>
  <c r="J41" i="6"/>
  <c r="K33" i="7"/>
  <c r="K50" i="7"/>
  <c r="J67" i="7"/>
  <c r="J53" i="7"/>
  <c r="J57" i="7"/>
  <c r="I133" i="8"/>
  <c r="J133" i="8" s="1"/>
  <c r="I254" i="8"/>
  <c r="I213" i="8"/>
  <c r="I216" i="8"/>
  <c r="K253" i="8"/>
  <c r="G51" i="2"/>
  <c r="I72" i="2"/>
  <c r="D72" i="2"/>
  <c r="D70" i="2" s="1"/>
  <c r="E70" i="2"/>
  <c r="I205" i="2"/>
  <c r="I342" i="2"/>
  <c r="F24" i="2"/>
  <c r="E26" i="1" s="1"/>
  <c r="H24" i="2"/>
  <c r="G26" i="1" s="1"/>
  <c r="E39" i="2"/>
  <c r="D21" i="1" s="1"/>
  <c r="K39" i="2"/>
  <c r="E44" i="2"/>
  <c r="E43" i="2" s="1"/>
  <c r="G44" i="2"/>
  <c r="G43" i="2" s="1"/>
  <c r="I46" i="2"/>
  <c r="D54" i="2"/>
  <c r="K58" i="2"/>
  <c r="I59" i="2"/>
  <c r="J59" i="2" s="1"/>
  <c r="I61" i="2"/>
  <c r="J61" i="2" s="1"/>
  <c r="K66" i="2"/>
  <c r="H73" i="2"/>
  <c r="I96" i="2"/>
  <c r="D111" i="2"/>
  <c r="I156" i="2"/>
  <c r="I324" i="2"/>
  <c r="I69" i="2"/>
  <c r="K73" i="2"/>
  <c r="D74" i="2"/>
  <c r="D77" i="2"/>
  <c r="G81" i="2"/>
  <c r="H88" i="2"/>
  <c r="D88" i="2"/>
  <c r="K95" i="2"/>
  <c r="E96" i="2"/>
  <c r="D97" i="2"/>
  <c r="D96" i="2" s="1"/>
  <c r="D104" i="2"/>
  <c r="D107" i="2"/>
  <c r="K111" i="2"/>
  <c r="I115" i="2"/>
  <c r="J115" i="2" s="1"/>
  <c r="K128" i="2"/>
  <c r="I130" i="2"/>
  <c r="J130" i="2" s="1"/>
  <c r="I135" i="2"/>
  <c r="J135" i="2" s="1"/>
  <c r="G134" i="2"/>
  <c r="D147" i="2"/>
  <c r="H147" i="2"/>
  <c r="G192" i="2"/>
  <c r="G198" i="2"/>
  <c r="G216" i="2"/>
  <c r="K252" i="2"/>
  <c r="I253" i="2"/>
  <c r="G252" i="2"/>
  <c r="E258" i="2"/>
  <c r="I261" i="2"/>
  <c r="J261" i="2" s="1"/>
  <c r="K267" i="2"/>
  <c r="E285" i="2"/>
  <c r="I285" i="2"/>
  <c r="J285" i="2" s="1"/>
  <c r="F290" i="2"/>
  <c r="K290" i="2"/>
  <c r="M290" i="2" s="1"/>
  <c r="K294" i="2"/>
  <c r="D325" i="2"/>
  <c r="D324" i="2" s="1"/>
  <c r="D321" i="2" s="1"/>
  <c r="F326" i="2"/>
  <c r="K326" i="2"/>
  <c r="M326" i="2" s="1"/>
  <c r="E342" i="2"/>
  <c r="G339" i="2"/>
  <c r="D343" i="2"/>
  <c r="D342" i="2" s="1"/>
  <c r="K344" i="2"/>
  <c r="K348" i="2"/>
  <c r="M348" i="2" s="1"/>
  <c r="F385" i="2"/>
  <c r="F428" i="2"/>
  <c r="I56" i="3"/>
  <c r="I117" i="3"/>
  <c r="H145" i="2"/>
  <c r="H141" i="2" s="1"/>
  <c r="E156" i="2"/>
  <c r="G153" i="2"/>
  <c r="D157" i="2"/>
  <c r="D156" i="2" s="1"/>
  <c r="I159" i="2"/>
  <c r="J159" i="2" s="1"/>
  <c r="G162" i="2"/>
  <c r="D179" i="2"/>
  <c r="K179" i="2"/>
  <c r="M179" i="2" s="1"/>
  <c r="I180" i="2"/>
  <c r="J180" i="2" s="1"/>
  <c r="G183" i="2"/>
  <c r="D195" i="2"/>
  <c r="D38" i="2" s="1"/>
  <c r="D18" i="2" s="1"/>
  <c r="C19" i="1" s="1"/>
  <c r="I195" i="2"/>
  <c r="D206" i="2"/>
  <c r="D205" i="2" s="1"/>
  <c r="H204" i="2"/>
  <c r="H210" i="2"/>
  <c r="D217" i="2"/>
  <c r="D230" i="2"/>
  <c r="D229" i="2" s="1"/>
  <c r="I230" i="2"/>
  <c r="G330" i="2"/>
  <c r="D436" i="2"/>
  <c r="J436" i="2" s="1"/>
  <c r="I493" i="2"/>
  <c r="D505" i="2"/>
  <c r="J505" i="2" s="1"/>
  <c r="D504" i="2"/>
  <c r="I461" i="2"/>
  <c r="I80" i="3"/>
  <c r="I100" i="3"/>
  <c r="E452" i="2"/>
  <c r="G452" i="2"/>
  <c r="G449" i="2" s="1"/>
  <c r="K452" i="2"/>
  <c r="D454" i="2"/>
  <c r="F454" i="2"/>
  <c r="K454" i="2"/>
  <c r="E461" i="2"/>
  <c r="D462" i="2"/>
  <c r="D453" i="2" s="1"/>
  <c r="F55" i="3"/>
  <c r="H55" i="3"/>
  <c r="E61" i="3"/>
  <c r="G61" i="3"/>
  <c r="F79" i="3"/>
  <c r="H79" i="3"/>
  <c r="G132" i="3"/>
  <c r="G138" i="3"/>
  <c r="G174" i="3"/>
  <c r="D178" i="3"/>
  <c r="G192" i="3"/>
  <c r="K482" i="2"/>
  <c r="D494" i="2"/>
  <c r="D492" i="2" s="1"/>
  <c r="D498" i="2"/>
  <c r="I498" i="2"/>
  <c r="I472" i="2" s="1"/>
  <c r="D499" i="2"/>
  <c r="D474" i="2" s="1"/>
  <c r="C58" i="1" s="1"/>
  <c r="I499" i="2"/>
  <c r="I474" i="2" s="1"/>
  <c r="K500" i="2"/>
  <c r="M500" i="2" s="1"/>
  <c r="I521" i="2"/>
  <c r="J521" i="2" s="1"/>
  <c r="F49" i="3"/>
  <c r="H49" i="3"/>
  <c r="E56" i="3"/>
  <c r="D57" i="3"/>
  <c r="D56" i="3" s="1"/>
  <c r="F73" i="3"/>
  <c r="H73" i="3"/>
  <c r="K79" i="3"/>
  <c r="E80" i="3"/>
  <c r="D81" i="3"/>
  <c r="D80" i="3" s="1"/>
  <c r="D89" i="3"/>
  <c r="D88" i="3" s="1"/>
  <c r="E160" i="3"/>
  <c r="D161" i="3"/>
  <c r="D160" i="3" s="1"/>
  <c r="I161" i="3"/>
  <c r="F162" i="3"/>
  <c r="H162" i="3"/>
  <c r="D98" i="3"/>
  <c r="J98" i="3" s="1"/>
  <c r="E100" i="3"/>
  <c r="D101" i="3"/>
  <c r="D100" i="3" s="1"/>
  <c r="E117" i="3"/>
  <c r="G114" i="3"/>
  <c r="D118" i="3"/>
  <c r="D117" i="3" s="1"/>
  <c r="G38" i="3"/>
  <c r="F41" i="3"/>
  <c r="F38" i="3" s="1"/>
  <c r="I42" i="3"/>
  <c r="J42" i="3" s="1"/>
  <c r="F44" i="3"/>
  <c r="F43" i="3" s="1"/>
  <c r="I45" i="3"/>
  <c r="J45" i="3" s="1"/>
  <c r="D47" i="3"/>
  <c r="D46" i="3" s="1"/>
  <c r="D43" i="3" s="1"/>
  <c r="I47" i="3"/>
  <c r="D137" i="3"/>
  <c r="D136" i="3" s="1"/>
  <c r="D142" i="3"/>
  <c r="D141" i="3" s="1"/>
  <c r="D146" i="3"/>
  <c r="J146" i="3" s="1"/>
  <c r="F144" i="3"/>
  <c r="H144" i="3"/>
  <c r="G150" i="3"/>
  <c r="D171" i="3"/>
  <c r="J171" i="3" s="1"/>
  <c r="D181" i="3"/>
  <c r="D180" i="3" s="1"/>
  <c r="H180" i="3"/>
  <c r="D186" i="3"/>
  <c r="H186" i="3"/>
  <c r="D49" i="4"/>
  <c r="D17" i="4"/>
  <c r="G12" i="4"/>
  <c r="J14" i="7"/>
  <c r="I25" i="8"/>
  <c r="I201" i="3"/>
  <c r="E21" i="4"/>
  <c r="K25" i="4"/>
  <c r="D31" i="4"/>
  <c r="J31" i="4" s="1"/>
  <c r="D35" i="4"/>
  <c r="K38" i="4"/>
  <c r="I42" i="4"/>
  <c r="J42" i="4" s="1"/>
  <c r="H49" i="4"/>
  <c r="H48" i="4" s="1"/>
  <c r="K14" i="6"/>
  <c r="K126" i="6"/>
  <c r="D53" i="1"/>
  <c r="J37" i="7"/>
  <c r="J40" i="7"/>
  <c r="J42" i="7"/>
  <c r="K56" i="7"/>
  <c r="K63" i="7"/>
  <c r="K29" i="8"/>
  <c r="K40" i="8"/>
  <c r="J45" i="8"/>
  <c r="J89" i="8"/>
  <c r="I93" i="8"/>
  <c r="I120" i="8"/>
  <c r="J120" i="8" s="1"/>
  <c r="K15" i="9"/>
  <c r="I37" i="9"/>
  <c r="J37" i="9" s="1"/>
  <c r="K197" i="8"/>
  <c r="K238" i="8"/>
  <c r="K245" i="8"/>
  <c r="K249" i="8"/>
  <c r="D14" i="10"/>
  <c r="I17" i="9"/>
  <c r="K37" i="9"/>
  <c r="J49" i="9"/>
  <c r="J55" i="9"/>
  <c r="M12" i="10"/>
  <c r="M11" i="10" s="1"/>
  <c r="M19" i="10"/>
  <c r="D142" i="2"/>
  <c r="D141" i="2" s="1"/>
  <c r="D158" i="2"/>
  <c r="I166" i="2"/>
  <c r="I186" i="2"/>
  <c r="I226" i="2"/>
  <c r="I299" i="2"/>
  <c r="J299" i="2" s="1"/>
  <c r="D335" i="2"/>
  <c r="D58" i="2"/>
  <c r="I66" i="2"/>
  <c r="I39" i="2"/>
  <c r="D103" i="2"/>
  <c r="I196" i="2"/>
  <c r="D210" i="2"/>
  <c r="D252" i="2"/>
  <c r="I352" i="2"/>
  <c r="I157" i="3"/>
  <c r="I165" i="3"/>
  <c r="K40" i="2"/>
  <c r="K47" i="2"/>
  <c r="L47" i="2" s="1"/>
  <c r="K51" i="2"/>
  <c r="I52" i="2"/>
  <c r="E66" i="2"/>
  <c r="D69" i="2"/>
  <c r="I70" i="2"/>
  <c r="J70" i="2" s="1"/>
  <c r="K70" i="2"/>
  <c r="M70" i="2" s="1"/>
  <c r="E81" i="2"/>
  <c r="I82" i="2"/>
  <c r="K82" i="2"/>
  <c r="D87" i="2"/>
  <c r="D85" i="2" s="1"/>
  <c r="I87" i="2"/>
  <c r="I91" i="2"/>
  <c r="J91" i="2" s="1"/>
  <c r="D102" i="2"/>
  <c r="D100" i="2" s="1"/>
  <c r="D95" i="2" s="1"/>
  <c r="I102" i="2"/>
  <c r="I112" i="2"/>
  <c r="J112" i="2" s="1"/>
  <c r="I116" i="2"/>
  <c r="J116" i="2" s="1"/>
  <c r="I119" i="2"/>
  <c r="J119" i="2" s="1"/>
  <c r="K119" i="2"/>
  <c r="I128" i="2"/>
  <c r="J128" i="2" s="1"/>
  <c r="I131" i="2"/>
  <c r="J131" i="2" s="1"/>
  <c r="I134" i="2"/>
  <c r="J134" i="2" s="1"/>
  <c r="K134" i="2"/>
  <c r="I142" i="2"/>
  <c r="J142" i="2" s="1"/>
  <c r="K153" i="2"/>
  <c r="E154" i="2"/>
  <c r="D155" i="2"/>
  <c r="I155" i="2"/>
  <c r="K162" i="2"/>
  <c r="E163" i="2"/>
  <c r="D164" i="2"/>
  <c r="D163" i="2" s="1"/>
  <c r="I164" i="2"/>
  <c r="D167" i="2"/>
  <c r="J167" i="2" s="1"/>
  <c r="K168" i="2"/>
  <c r="M168" i="2" s="1"/>
  <c r="I171" i="2"/>
  <c r="J171" i="2" s="1"/>
  <c r="I175" i="2"/>
  <c r="J175" i="2" s="1"/>
  <c r="K183" i="2"/>
  <c r="M183" i="2" s="1"/>
  <c r="E184" i="2"/>
  <c r="D185" i="2"/>
  <c r="D184" i="2" s="1"/>
  <c r="I185" i="2"/>
  <c r="D187" i="2"/>
  <c r="D186" i="2" s="1"/>
  <c r="K192" i="2"/>
  <c r="E193" i="2"/>
  <c r="D194" i="2"/>
  <c r="D193" i="2" s="1"/>
  <c r="I194" i="2"/>
  <c r="D197" i="2"/>
  <c r="D196" i="2" s="1"/>
  <c r="E198" i="2"/>
  <c r="K198" i="2"/>
  <c r="M198" i="2" s="1"/>
  <c r="I199" i="2"/>
  <c r="J199" i="2" s="1"/>
  <c r="E208" i="2"/>
  <c r="D209" i="2"/>
  <c r="D208" i="2" s="1"/>
  <c r="D204" i="2" s="1"/>
  <c r="I209" i="2"/>
  <c r="E216" i="2"/>
  <c r="I216" i="2"/>
  <c r="K216" i="2"/>
  <c r="K225" i="2"/>
  <c r="D227" i="2"/>
  <c r="D226" i="2" s="1"/>
  <c r="I229" i="2"/>
  <c r="J229" i="2" s="1"/>
  <c r="I231" i="2"/>
  <c r="J231" i="2" s="1"/>
  <c r="K231" i="2"/>
  <c r="M231" i="2" s="1"/>
  <c r="K242" i="2"/>
  <c r="I250" i="2"/>
  <c r="J250" i="2" s="1"/>
  <c r="I268" i="2"/>
  <c r="J268" i="2" s="1"/>
  <c r="I273" i="2"/>
  <c r="J273" i="2" s="1"/>
  <c r="I277" i="2"/>
  <c r="J277" i="2" s="1"/>
  <c r="I279" i="2"/>
  <c r="J279" i="2" s="1"/>
  <c r="I281" i="2"/>
  <c r="J281" i="2" s="1"/>
  <c r="K281" i="2"/>
  <c r="I295" i="2"/>
  <c r="J295" i="2" s="1"/>
  <c r="I297" i="2"/>
  <c r="J297" i="2" s="1"/>
  <c r="K303" i="2"/>
  <c r="I304" i="2"/>
  <c r="J304" i="2" s="1"/>
  <c r="I312" i="2"/>
  <c r="J312" i="2" s="1"/>
  <c r="K312" i="2"/>
  <c r="I321" i="2"/>
  <c r="J321" i="2" s="1"/>
  <c r="K321" i="2"/>
  <c r="K330" i="2"/>
  <c r="M330" i="2" s="1"/>
  <c r="E331" i="2"/>
  <c r="D332" i="2"/>
  <c r="D331" i="2" s="1"/>
  <c r="D330" i="2" s="1"/>
  <c r="I332" i="2"/>
  <c r="K339" i="2"/>
  <c r="M339" i="2" s="1"/>
  <c r="E340" i="2"/>
  <c r="D341" i="2"/>
  <c r="D340" i="2" s="1"/>
  <c r="D339" i="2" s="1"/>
  <c r="I341" i="2"/>
  <c r="D346" i="2"/>
  <c r="D49" i="2" s="1"/>
  <c r="I346" i="2"/>
  <c r="E349" i="2"/>
  <c r="D350" i="2"/>
  <c r="D349" i="2" s="1"/>
  <c r="I350" i="2"/>
  <c r="D353" i="2"/>
  <c r="D352" i="2" s="1"/>
  <c r="K354" i="2"/>
  <c r="M354" i="2" s="1"/>
  <c r="I357" i="2"/>
  <c r="J357" i="2" s="1"/>
  <c r="I406" i="2"/>
  <c r="I371" i="2"/>
  <c r="E421" i="2"/>
  <c r="D62" i="3"/>
  <c r="I163" i="3"/>
  <c r="I145" i="3"/>
  <c r="I88" i="3"/>
  <c r="J88" i="3" s="1"/>
  <c r="I40" i="3"/>
  <c r="J40" i="3" s="1"/>
  <c r="I137" i="3"/>
  <c r="J137" i="3" s="1"/>
  <c r="I142" i="3"/>
  <c r="J142" i="3" s="1"/>
  <c r="I177" i="3"/>
  <c r="I186" i="3"/>
  <c r="I187" i="3"/>
  <c r="I49" i="4"/>
  <c r="K385" i="2"/>
  <c r="M385" i="2" s="1"/>
  <c r="D387" i="2"/>
  <c r="D386" i="2" s="1"/>
  <c r="D385" i="2" s="1"/>
  <c r="I387" i="2"/>
  <c r="K394" i="2"/>
  <c r="I395" i="2"/>
  <c r="J395" i="2" s="1"/>
  <c r="I399" i="2"/>
  <c r="J399" i="2" s="1"/>
  <c r="K399" i="2"/>
  <c r="E404" i="2"/>
  <c r="D405" i="2"/>
  <c r="I405" i="2"/>
  <c r="E406" i="2"/>
  <c r="D407" i="2"/>
  <c r="J407" i="2" s="1"/>
  <c r="I408" i="2"/>
  <c r="J408" i="2" s="1"/>
  <c r="K408" i="2"/>
  <c r="E412" i="2"/>
  <c r="G422" i="2"/>
  <c r="G421" i="2" s="1"/>
  <c r="I422" i="2"/>
  <c r="K422" i="2"/>
  <c r="I426" i="2"/>
  <c r="J426" i="2" s="1"/>
  <c r="K426" i="2"/>
  <c r="I432" i="2"/>
  <c r="J432" i="2" s="1"/>
  <c r="K432" i="2"/>
  <c r="K435" i="2"/>
  <c r="I443" i="2"/>
  <c r="J443" i="2" s="1"/>
  <c r="I483" i="2"/>
  <c r="J483" i="2" s="1"/>
  <c r="D487" i="2"/>
  <c r="D488" i="2"/>
  <c r="I497" i="2"/>
  <c r="I501" i="2"/>
  <c r="I517" i="2"/>
  <c r="J517" i="2" s="1"/>
  <c r="I453" i="2"/>
  <c r="J453" i="2" s="1"/>
  <c r="D459" i="2"/>
  <c r="D460" i="2"/>
  <c r="D451" i="2" s="1"/>
  <c r="I460" i="2"/>
  <c r="D461" i="2"/>
  <c r="E18" i="3"/>
  <c r="E53" i="3"/>
  <c r="D54" i="3"/>
  <c r="I54" i="3"/>
  <c r="E58" i="3"/>
  <c r="D59" i="3"/>
  <c r="D58" i="3" s="1"/>
  <c r="D55" i="3" s="1"/>
  <c r="I59" i="3"/>
  <c r="K61" i="3"/>
  <c r="I68" i="3"/>
  <c r="J68" i="3" s="1"/>
  <c r="E77" i="3"/>
  <c r="D78" i="3"/>
  <c r="D77" i="3" s="1"/>
  <c r="I78" i="3"/>
  <c r="E82" i="3"/>
  <c r="D83" i="3"/>
  <c r="D82" i="3" s="1"/>
  <c r="I83" i="3"/>
  <c r="E86" i="3"/>
  <c r="D87" i="3"/>
  <c r="I87" i="3"/>
  <c r="E91" i="3"/>
  <c r="D92" i="3"/>
  <c r="I92" i="3"/>
  <c r="E157" i="3"/>
  <c r="D158" i="3"/>
  <c r="J158" i="3" s="1"/>
  <c r="E163" i="3"/>
  <c r="D164" i="3"/>
  <c r="D163" i="3" s="1"/>
  <c r="E165" i="3"/>
  <c r="D165" i="3"/>
  <c r="D99" i="3"/>
  <c r="I99" i="3"/>
  <c r="K102" i="3"/>
  <c r="L102" i="3" s="1"/>
  <c r="E103" i="3"/>
  <c r="D104" i="3"/>
  <c r="D103" i="3" s="1"/>
  <c r="D102" i="3" s="1"/>
  <c r="I104" i="3"/>
  <c r="D111" i="3"/>
  <c r="I111" i="3"/>
  <c r="K114" i="3"/>
  <c r="E115" i="3"/>
  <c r="D116" i="3"/>
  <c r="D115" i="3" s="1"/>
  <c r="D114" i="3" s="1"/>
  <c r="I116" i="3"/>
  <c r="E38" i="3"/>
  <c r="I39" i="3"/>
  <c r="J39" i="3" s="1"/>
  <c r="D40" i="3"/>
  <c r="D39" i="3" s="1"/>
  <c r="D38" i="3" s="1"/>
  <c r="I46" i="3"/>
  <c r="K132" i="3"/>
  <c r="I135" i="3"/>
  <c r="J135" i="3" s="1"/>
  <c r="K138" i="3"/>
  <c r="I140" i="3"/>
  <c r="J140" i="3" s="1"/>
  <c r="D147" i="3"/>
  <c r="D145" i="3" s="1"/>
  <c r="I148" i="3"/>
  <c r="J148" i="3" s="1"/>
  <c r="E150" i="3"/>
  <c r="K150" i="3"/>
  <c r="I151" i="3"/>
  <c r="J151" i="3" s="1"/>
  <c r="D154" i="3"/>
  <c r="D153" i="3" s="1"/>
  <c r="I154" i="3"/>
  <c r="E169" i="3"/>
  <c r="K174" i="3"/>
  <c r="I176" i="3"/>
  <c r="I20" i="3" s="1"/>
  <c r="E192" i="3"/>
  <c r="I192" i="3"/>
  <c r="J192" i="3" s="1"/>
  <c r="K192" i="3"/>
  <c r="K198" i="3"/>
  <c r="I199" i="3"/>
  <c r="E19" i="4"/>
  <c r="I19" i="4"/>
  <c r="J19" i="4" s="1"/>
  <c r="K19" i="4"/>
  <c r="E29" i="4"/>
  <c r="D30" i="4"/>
  <c r="J30" i="4" s="1"/>
  <c r="D40" i="4"/>
  <c r="D39" i="4" s="1"/>
  <c r="D38" i="4" s="1"/>
  <c r="I40" i="4"/>
  <c r="D54" i="4"/>
  <c r="J54" i="4" s="1"/>
  <c r="E48" i="4"/>
  <c r="S14" i="7"/>
  <c r="J36" i="7"/>
  <c r="J46" i="7"/>
  <c r="J48" i="7"/>
  <c r="J51" i="7"/>
  <c r="J79" i="7"/>
  <c r="J82" i="7"/>
  <c r="I243" i="8"/>
  <c r="I236" i="8"/>
  <c r="K61" i="5"/>
  <c r="I61" i="5" s="1"/>
  <c r="K94" i="6"/>
  <c r="K25" i="6"/>
  <c r="K30" i="6"/>
  <c r="I16" i="7"/>
  <c r="J16" i="7" s="1"/>
  <c r="K16" i="7"/>
  <c r="M16" i="7" s="1"/>
  <c r="K24" i="7"/>
  <c r="J47" i="7"/>
  <c r="K59" i="7"/>
  <c r="K81" i="7"/>
  <c r="I81" i="7" s="1"/>
  <c r="J84" i="7"/>
  <c r="I75" i="8"/>
  <c r="J75" i="8" s="1"/>
  <c r="J83" i="8"/>
  <c r="J132" i="8"/>
  <c r="J202" i="8"/>
  <c r="I13" i="9"/>
  <c r="J13" i="9" s="1"/>
  <c r="I64" i="9"/>
  <c r="K13" i="8"/>
  <c r="I35" i="8"/>
  <c r="J35" i="8" s="1"/>
  <c r="I38" i="8"/>
  <c r="J38" i="8" s="1"/>
  <c r="I41" i="8"/>
  <c r="J41" i="8" s="1"/>
  <c r="I44" i="8"/>
  <c r="J44" i="8" s="1"/>
  <c r="I49" i="8"/>
  <c r="J49" i="8" s="1"/>
  <c r="I52" i="8"/>
  <c r="J52" i="8" s="1"/>
  <c r="I55" i="8"/>
  <c r="I58" i="8"/>
  <c r="I62" i="8"/>
  <c r="I65" i="8"/>
  <c r="J65" i="8" s="1"/>
  <c r="K67" i="8"/>
  <c r="I79" i="8"/>
  <c r="J79" i="8" s="1"/>
  <c r="J87" i="8"/>
  <c r="I116" i="8"/>
  <c r="J138" i="8"/>
  <c r="J193" i="8"/>
  <c r="J196" i="8"/>
  <c r="I67" i="9"/>
  <c r="J67" i="9" s="1"/>
  <c r="I26" i="9"/>
  <c r="M16" i="10"/>
  <c r="M18" i="10"/>
  <c r="I250" i="8"/>
  <c r="I58" i="9"/>
  <c r="J58" i="9" s="1"/>
  <c r="K58" i="9"/>
  <c r="K54" i="1" l="1"/>
  <c r="M17" i="10"/>
  <c r="F22" i="1"/>
  <c r="K14" i="10"/>
  <c r="M14" i="10" s="1"/>
  <c r="H12" i="10"/>
  <c r="H11" i="10" s="1"/>
  <c r="I67" i="8"/>
  <c r="J67" i="8" s="1"/>
  <c r="J46" i="3"/>
  <c r="I41" i="3"/>
  <c r="J41" i="3" s="1"/>
  <c r="F10" i="3"/>
  <c r="J161" i="3"/>
  <c r="J83" i="3"/>
  <c r="H10" i="3"/>
  <c r="J230" i="2"/>
  <c r="J120" i="2"/>
  <c r="L32" i="1"/>
  <c r="M258" i="2"/>
  <c r="M29" i="2"/>
  <c r="J474" i="2"/>
  <c r="M452" i="2"/>
  <c r="J64" i="9"/>
  <c r="J154" i="3"/>
  <c r="J87" i="3"/>
  <c r="J78" i="3"/>
  <c r="J54" i="3"/>
  <c r="L435" i="2"/>
  <c r="M435" i="2"/>
  <c r="L399" i="2"/>
  <c r="M399" i="2"/>
  <c r="J145" i="3"/>
  <c r="J346" i="2"/>
  <c r="J341" i="2"/>
  <c r="L312" i="2"/>
  <c r="M312" i="2"/>
  <c r="J209" i="2"/>
  <c r="L192" i="2"/>
  <c r="M192" i="2"/>
  <c r="J185" i="2"/>
  <c r="J164" i="2"/>
  <c r="J87" i="2"/>
  <c r="L51" i="2"/>
  <c r="M51" i="2"/>
  <c r="J165" i="3"/>
  <c r="L38" i="4"/>
  <c r="M38" i="4"/>
  <c r="J186" i="3"/>
  <c r="J80" i="3"/>
  <c r="L294" i="2"/>
  <c r="M294" i="2"/>
  <c r="L128" i="2"/>
  <c r="M128" i="2"/>
  <c r="L58" i="2"/>
  <c r="M58" i="2"/>
  <c r="I130" i="6"/>
  <c r="J130" i="6" s="1"/>
  <c r="M130" i="6"/>
  <c r="J172" i="3"/>
  <c r="G11" i="3"/>
  <c r="L156" i="3"/>
  <c r="M156" i="3"/>
  <c r="M186" i="3"/>
  <c r="L186" i="3"/>
  <c r="L104" i="2"/>
  <c r="M104" i="2"/>
  <c r="L403" i="2"/>
  <c r="M403" i="2"/>
  <c r="M45" i="2"/>
  <c r="M88" i="2"/>
  <c r="M174" i="2"/>
  <c r="J137" i="2"/>
  <c r="L272" i="2"/>
  <c r="M272" i="2"/>
  <c r="M210" i="2"/>
  <c r="E469" i="2"/>
  <c r="D51" i="1" s="1"/>
  <c r="D49" i="1" s="1"/>
  <c r="D30" i="2"/>
  <c r="C34" i="1"/>
  <c r="D428" i="2"/>
  <c r="F26" i="2"/>
  <c r="F25" i="2" s="1"/>
  <c r="E32" i="1"/>
  <c r="M19" i="2"/>
  <c r="E12" i="1"/>
  <c r="E78" i="1" s="1"/>
  <c r="M33" i="2"/>
  <c r="J19" i="1"/>
  <c r="L19" i="1" s="1"/>
  <c r="M18" i="2"/>
  <c r="G12" i="1"/>
  <c r="G78" i="1" s="1"/>
  <c r="M204" i="2"/>
  <c r="L528" i="2"/>
  <c r="M528" i="2"/>
  <c r="L158" i="2"/>
  <c r="M158" i="2"/>
  <c r="L360" i="2"/>
  <c r="M360" i="2"/>
  <c r="J62" i="3"/>
  <c r="M28" i="4"/>
  <c r="J189" i="3"/>
  <c r="J201" i="3"/>
  <c r="D14" i="3"/>
  <c r="G10" i="3"/>
  <c r="M496" i="2"/>
  <c r="D472" i="2"/>
  <c r="C54" i="1" s="1"/>
  <c r="J21" i="10"/>
  <c r="J147" i="3"/>
  <c r="J81" i="3"/>
  <c r="M458" i="2"/>
  <c r="M198" i="3"/>
  <c r="L198" i="3"/>
  <c r="L432" i="2"/>
  <c r="M432" i="2"/>
  <c r="L426" i="2"/>
  <c r="M426" i="2"/>
  <c r="L422" i="2"/>
  <c r="M422" i="2"/>
  <c r="L408" i="2"/>
  <c r="M408" i="2"/>
  <c r="J163" i="3"/>
  <c r="L303" i="2"/>
  <c r="M303" i="2"/>
  <c r="L242" i="2"/>
  <c r="M242" i="2"/>
  <c r="L153" i="2"/>
  <c r="M153" i="2"/>
  <c r="L134" i="2"/>
  <c r="M134" i="2"/>
  <c r="L119" i="2"/>
  <c r="M119" i="2"/>
  <c r="M126" i="6"/>
  <c r="I126" i="6"/>
  <c r="L482" i="2"/>
  <c r="M482" i="2"/>
  <c r="L454" i="2"/>
  <c r="M454" i="2"/>
  <c r="M252" i="2"/>
  <c r="I57" i="5"/>
  <c r="K42" i="5"/>
  <c r="M42" i="5" s="1"/>
  <c r="G75" i="1"/>
  <c r="G65" i="1"/>
  <c r="M22" i="4"/>
  <c r="J159" i="3"/>
  <c r="M162" i="3"/>
  <c r="L162" i="3"/>
  <c r="D20" i="3"/>
  <c r="C29" i="1" s="1"/>
  <c r="M450" i="2"/>
  <c r="L373" i="2"/>
  <c r="M373" i="2"/>
  <c r="M429" i="2"/>
  <c r="J17" i="1"/>
  <c r="L17" i="1" s="1"/>
  <c r="M17" i="2"/>
  <c r="J479" i="2"/>
  <c r="M30" i="2"/>
  <c r="M16" i="2"/>
  <c r="M22" i="2"/>
  <c r="F12" i="1"/>
  <c r="F78" i="1" s="1"/>
  <c r="J17" i="7"/>
  <c r="P14" i="7" s="1"/>
  <c r="O14" i="7"/>
  <c r="M276" i="2"/>
  <c r="L463" i="2"/>
  <c r="M463" i="2"/>
  <c r="L524" i="2"/>
  <c r="M524" i="2"/>
  <c r="M335" i="2"/>
  <c r="M285" i="2"/>
  <c r="M147" i="2"/>
  <c r="L442" i="2"/>
  <c r="M442" i="2"/>
  <c r="M299" i="2"/>
  <c r="L221" i="2"/>
  <c r="M221" i="2"/>
  <c r="M99" i="6"/>
  <c r="I99" i="6"/>
  <c r="I114" i="6"/>
  <c r="J114" i="6" s="1"/>
  <c r="M114" i="6"/>
  <c r="L487" i="2"/>
  <c r="M487" i="2"/>
  <c r="J14" i="3"/>
  <c r="I118" i="6"/>
  <c r="J118" i="6" s="1"/>
  <c r="M118" i="6"/>
  <c r="J149" i="3"/>
  <c r="C66" i="1"/>
  <c r="J20" i="10"/>
  <c r="J152" i="3"/>
  <c r="J164" i="3"/>
  <c r="M24" i="2"/>
  <c r="J72" i="2"/>
  <c r="L26" i="1"/>
  <c r="M67" i="8"/>
  <c r="M249" i="8"/>
  <c r="M238" i="8"/>
  <c r="M40" i="8"/>
  <c r="M232" i="8"/>
  <c r="M205" i="8"/>
  <c r="M212" i="8"/>
  <c r="J236" i="8"/>
  <c r="M245" i="8"/>
  <c r="M253" i="8"/>
  <c r="M220" i="8"/>
  <c r="M124" i="8"/>
  <c r="M34" i="8"/>
  <c r="M92" i="8"/>
  <c r="M61" i="8"/>
  <c r="K58" i="1"/>
  <c r="L58" i="1"/>
  <c r="K56" i="1"/>
  <c r="L56" i="1"/>
  <c r="K67" i="1"/>
  <c r="L67" i="1"/>
  <c r="K59" i="1"/>
  <c r="L59" i="1"/>
  <c r="K66" i="1"/>
  <c r="L66" i="1"/>
  <c r="M144" i="8"/>
  <c r="M150" i="8"/>
  <c r="M30" i="6"/>
  <c r="I30" i="6"/>
  <c r="J508" i="2"/>
  <c r="L53" i="1"/>
  <c r="L52" i="1" s="1"/>
  <c r="L508" i="2"/>
  <c r="K469" i="2"/>
  <c r="M508" i="2"/>
  <c r="J49" i="4"/>
  <c r="J17" i="4"/>
  <c r="C59" i="1"/>
  <c r="I59" i="1" s="1"/>
  <c r="J29" i="10"/>
  <c r="I28" i="10"/>
  <c r="M150" i="3"/>
  <c r="L150" i="3"/>
  <c r="M138" i="3"/>
  <c r="L138" i="3"/>
  <c r="M144" i="3"/>
  <c r="L144" i="3"/>
  <c r="L132" i="3"/>
  <c r="M132" i="3"/>
  <c r="I15" i="3"/>
  <c r="K13" i="9"/>
  <c r="M37" i="9"/>
  <c r="M20" i="9"/>
  <c r="M15" i="9"/>
  <c r="L48" i="4"/>
  <c r="M48" i="4"/>
  <c r="L13" i="4"/>
  <c r="M13" i="4"/>
  <c r="L19" i="4"/>
  <c r="M19" i="4"/>
  <c r="L25" i="4"/>
  <c r="M25" i="4"/>
  <c r="M73" i="3"/>
  <c r="L73" i="3"/>
  <c r="I17" i="3"/>
  <c r="M79" i="3"/>
  <c r="L79" i="3"/>
  <c r="I22" i="3"/>
  <c r="I21" i="3" s="1"/>
  <c r="M61" i="3"/>
  <c r="K10" i="3"/>
  <c r="L61" i="3"/>
  <c r="L67" i="3"/>
  <c r="M190" i="8"/>
  <c r="M197" i="8"/>
  <c r="M82" i="8"/>
  <c r="M74" i="8"/>
  <c r="K10" i="8"/>
  <c r="M225" i="8"/>
  <c r="M113" i="8"/>
  <c r="J58" i="8"/>
  <c r="M54" i="8"/>
  <c r="M29" i="8"/>
  <c r="M24" i="8"/>
  <c r="M136" i="8"/>
  <c r="M119" i="8"/>
  <c r="M48" i="8"/>
  <c r="M13" i="8"/>
  <c r="M130" i="8"/>
  <c r="M11" i="8"/>
  <c r="M18" i="8"/>
  <c r="L344" i="2"/>
  <c r="M344" i="2"/>
  <c r="L281" i="2"/>
  <c r="M281" i="2"/>
  <c r="M47" i="2"/>
  <c r="L73" i="2"/>
  <c r="M73" i="2"/>
  <c r="L21" i="3"/>
  <c r="J20" i="3"/>
  <c r="I94" i="6"/>
  <c r="J94" i="6" s="1"/>
  <c r="M94" i="6"/>
  <c r="M25" i="6"/>
  <c r="I25" i="6"/>
  <c r="J25" i="6" s="1"/>
  <c r="M14" i="6"/>
  <c r="L14" i="6"/>
  <c r="M192" i="3"/>
  <c r="L192" i="3"/>
  <c r="M180" i="3"/>
  <c r="L180" i="3"/>
  <c r="J184" i="3"/>
  <c r="L16" i="3"/>
  <c r="D177" i="3"/>
  <c r="J177" i="3" s="1"/>
  <c r="J178" i="3"/>
  <c r="D22" i="3"/>
  <c r="M174" i="3"/>
  <c r="L174" i="3"/>
  <c r="D175" i="3"/>
  <c r="J175" i="3" s="1"/>
  <c r="J176" i="3"/>
  <c r="J173" i="3"/>
  <c r="D17" i="3"/>
  <c r="J17" i="3" s="1"/>
  <c r="D169" i="3"/>
  <c r="M168" i="3"/>
  <c r="L168" i="3"/>
  <c r="D15" i="3"/>
  <c r="J15" i="3" s="1"/>
  <c r="M471" i="2"/>
  <c r="L512" i="2"/>
  <c r="M512" i="2"/>
  <c r="L394" i="2"/>
  <c r="M394" i="2"/>
  <c r="L321" i="2"/>
  <c r="M321" i="2"/>
  <c r="J288" i="2"/>
  <c r="L267" i="2"/>
  <c r="M267" i="2"/>
  <c r="L246" i="2"/>
  <c r="M246" i="2"/>
  <c r="L237" i="2"/>
  <c r="M237" i="2"/>
  <c r="L225" i="2"/>
  <c r="M225" i="2"/>
  <c r="L216" i="2"/>
  <c r="M216" i="2"/>
  <c r="L162" i="2"/>
  <c r="M162" i="2"/>
  <c r="L39" i="2"/>
  <c r="M39" i="2"/>
  <c r="L40" i="2"/>
  <c r="M40" i="2"/>
  <c r="L141" i="2"/>
  <c r="M141" i="2"/>
  <c r="L111" i="2"/>
  <c r="M111" i="2"/>
  <c r="L112" i="2"/>
  <c r="M112" i="2"/>
  <c r="L96" i="2"/>
  <c r="M96" i="2"/>
  <c r="L95" i="2"/>
  <c r="M95" i="2"/>
  <c r="L82" i="2"/>
  <c r="M82" i="2"/>
  <c r="L66" i="2"/>
  <c r="M66" i="2"/>
  <c r="J53" i="1"/>
  <c r="K53" i="1" s="1"/>
  <c r="D360" i="2"/>
  <c r="J360" i="2" s="1"/>
  <c r="L29" i="2"/>
  <c r="J75" i="1"/>
  <c r="I23" i="10"/>
  <c r="J23" i="10" s="1"/>
  <c r="I14" i="10"/>
  <c r="J32" i="4"/>
  <c r="J40" i="4"/>
  <c r="J25" i="4"/>
  <c r="L22" i="4"/>
  <c r="J35" i="4"/>
  <c r="L28" i="4"/>
  <c r="I56" i="4"/>
  <c r="J56" i="4" s="1"/>
  <c r="I9" i="4"/>
  <c r="I34" i="4"/>
  <c r="G12" i="3"/>
  <c r="L13" i="3"/>
  <c r="J42" i="9"/>
  <c r="M51" i="9"/>
  <c r="L51" i="9"/>
  <c r="L17" i="9"/>
  <c r="M17" i="9"/>
  <c r="M48" i="9"/>
  <c r="L48" i="9"/>
  <c r="L32" i="9"/>
  <c r="M32" i="9"/>
  <c r="M58" i="9"/>
  <c r="L58" i="9"/>
  <c r="L23" i="9"/>
  <c r="M23" i="9"/>
  <c r="M41" i="9"/>
  <c r="L41" i="9"/>
  <c r="M28" i="9"/>
  <c r="L28" i="9"/>
  <c r="L37" i="9"/>
  <c r="K19" i="9"/>
  <c r="L20" i="9"/>
  <c r="J38" i="9"/>
  <c r="J35" i="9"/>
  <c r="I32" i="9"/>
  <c r="J33" i="9"/>
  <c r="I20" i="9"/>
  <c r="J21" i="9"/>
  <c r="J26" i="9"/>
  <c r="K14" i="9"/>
  <c r="L15" i="9"/>
  <c r="K12" i="9"/>
  <c r="I14" i="9"/>
  <c r="J14" i="9" s="1"/>
  <c r="J15" i="9"/>
  <c r="L212" i="8"/>
  <c r="L249" i="8"/>
  <c r="L29" i="8"/>
  <c r="L253" i="8"/>
  <c r="L11" i="8"/>
  <c r="L24" i="8"/>
  <c r="L136" i="8"/>
  <c r="L232" i="8"/>
  <c r="L74" i="8"/>
  <c r="L205" i="8"/>
  <c r="L220" i="8"/>
  <c r="L82" i="8"/>
  <c r="L13" i="8"/>
  <c r="L238" i="8"/>
  <c r="L40" i="8"/>
  <c r="L10" i="8"/>
  <c r="L18" i="8"/>
  <c r="L113" i="8"/>
  <c r="L225" i="8"/>
  <c r="L130" i="8"/>
  <c r="L124" i="8"/>
  <c r="L119" i="8"/>
  <c r="L54" i="8"/>
  <c r="L190" i="8"/>
  <c r="L144" i="8"/>
  <c r="L34" i="8"/>
  <c r="L48" i="8"/>
  <c r="J203" i="8"/>
  <c r="I32" i="8"/>
  <c r="J200" i="8"/>
  <c r="I28" i="8"/>
  <c r="J192" i="8"/>
  <c r="J243" i="8"/>
  <c r="I20" i="8"/>
  <c r="J39" i="8"/>
  <c r="J250" i="8"/>
  <c r="J199" i="8"/>
  <c r="I113" i="8"/>
  <c r="J113" i="8" s="1"/>
  <c r="J116" i="8"/>
  <c r="I61" i="8"/>
  <c r="J62" i="8"/>
  <c r="J55" i="8"/>
  <c r="L197" i="8"/>
  <c r="I253" i="8"/>
  <c r="J253" i="8" s="1"/>
  <c r="J254" i="8"/>
  <c r="J247" i="8"/>
  <c r="M19" i="3"/>
  <c r="M13" i="3"/>
  <c r="J116" i="3"/>
  <c r="J111" i="3"/>
  <c r="J104" i="3"/>
  <c r="J99" i="3"/>
  <c r="J92" i="3"/>
  <c r="J59" i="3"/>
  <c r="J47" i="3"/>
  <c r="M38" i="3"/>
  <c r="L38" i="3"/>
  <c r="J56" i="3"/>
  <c r="D50" i="3"/>
  <c r="J50" i="3" s="1"/>
  <c r="J52" i="3"/>
  <c r="L96" i="3"/>
  <c r="M96" i="3"/>
  <c r="J89" i="3"/>
  <c r="J101" i="3"/>
  <c r="M114" i="3"/>
  <c r="L114" i="3"/>
  <c r="M102" i="3"/>
  <c r="J100" i="3"/>
  <c r="J117" i="3"/>
  <c r="M108" i="3"/>
  <c r="L108" i="3"/>
  <c r="J112" i="3"/>
  <c r="J105" i="3"/>
  <c r="J113" i="3"/>
  <c r="J106" i="3"/>
  <c r="J118" i="3"/>
  <c r="J57" i="3"/>
  <c r="I34" i="3"/>
  <c r="I180" i="3"/>
  <c r="J180" i="3" s="1"/>
  <c r="J199" i="3"/>
  <c r="J187" i="3"/>
  <c r="K11" i="3"/>
  <c r="J405" i="2"/>
  <c r="J332" i="2"/>
  <c r="L290" i="2"/>
  <c r="I290" i="2"/>
  <c r="J290" i="2" s="1"/>
  <c r="J291" i="2"/>
  <c r="J123" i="2"/>
  <c r="J460" i="2"/>
  <c r="J387" i="2"/>
  <c r="J350" i="2"/>
  <c r="J194" i="2"/>
  <c r="J102" i="2"/>
  <c r="J352" i="2"/>
  <c r="J196" i="2"/>
  <c r="J186" i="2"/>
  <c r="J499" i="2"/>
  <c r="J498" i="2"/>
  <c r="J195" i="2"/>
  <c r="L252" i="2"/>
  <c r="J156" i="2"/>
  <c r="J96" i="2"/>
  <c r="D52" i="2"/>
  <c r="D51" i="2" s="1"/>
  <c r="J54" i="2"/>
  <c r="H34" i="1"/>
  <c r="J46" i="2"/>
  <c r="J205" i="2"/>
  <c r="J147" i="2"/>
  <c r="J210" i="2"/>
  <c r="J247" i="2"/>
  <c r="J353" i="2"/>
  <c r="L258" i="2"/>
  <c r="J77" i="2"/>
  <c r="J200" i="2"/>
  <c r="J374" i="2"/>
  <c r="L429" i="2"/>
  <c r="L471" i="2"/>
  <c r="L19" i="2"/>
  <c r="J502" i="2"/>
  <c r="L33" i="2"/>
  <c r="L16" i="2"/>
  <c r="L22" i="2"/>
  <c r="J74" i="2"/>
  <c r="L204" i="2"/>
  <c r="J37" i="1"/>
  <c r="L32" i="2"/>
  <c r="L24" i="2"/>
  <c r="I38" i="2"/>
  <c r="J38" i="2" s="1"/>
  <c r="J157" i="2"/>
  <c r="J462" i="2"/>
  <c r="J433" i="2"/>
  <c r="J227" i="2"/>
  <c r="J155" i="2"/>
  <c r="I37" i="2"/>
  <c r="J226" i="2"/>
  <c r="J461" i="2"/>
  <c r="J69" i="2"/>
  <c r="J342" i="2"/>
  <c r="J97" i="2"/>
  <c r="D82" i="2"/>
  <c r="D81" i="2" s="1"/>
  <c r="J84" i="2"/>
  <c r="L88" i="2"/>
  <c r="J217" i="2"/>
  <c r="L210" i="2"/>
  <c r="J107" i="2"/>
  <c r="J41" i="2"/>
  <c r="L30" i="2"/>
  <c r="J488" i="2"/>
  <c r="J390" i="2"/>
  <c r="J504" i="2"/>
  <c r="L335" i="2"/>
  <c r="J322" i="2"/>
  <c r="L285" i="2"/>
  <c r="L147" i="2"/>
  <c r="L299" i="2"/>
  <c r="I454" i="2"/>
  <c r="J454" i="2" s="1"/>
  <c r="J455" i="2"/>
  <c r="J494" i="2"/>
  <c r="J427" i="2"/>
  <c r="J206" i="2"/>
  <c r="J343" i="2"/>
  <c r="J323" i="2"/>
  <c r="J197" i="2"/>
  <c r="J187" i="2"/>
  <c r="J129" i="2"/>
  <c r="J118" i="2"/>
  <c r="J253" i="2"/>
  <c r="H21" i="1"/>
  <c r="H20" i="1"/>
  <c r="I20" i="1" s="1"/>
  <c r="M59" i="7"/>
  <c r="I59" i="7"/>
  <c r="I24" i="7"/>
  <c r="M24" i="7"/>
  <c r="M63" i="7"/>
  <c r="I63" i="7"/>
  <c r="M69" i="7"/>
  <c r="I69" i="7"/>
  <c r="M81" i="7"/>
  <c r="M56" i="7"/>
  <c r="I56" i="7"/>
  <c r="M75" i="7"/>
  <c r="I75" i="7"/>
  <c r="J75" i="7" s="1"/>
  <c r="I50" i="7"/>
  <c r="J50" i="7" s="1"/>
  <c r="M50" i="7"/>
  <c r="M45" i="7"/>
  <c r="I45" i="7"/>
  <c r="J45" i="7" s="1"/>
  <c r="J39" i="7"/>
  <c r="M39" i="7"/>
  <c r="M33" i="7"/>
  <c r="I33" i="7"/>
  <c r="D52" i="1"/>
  <c r="L24" i="7"/>
  <c r="J72" i="7"/>
  <c r="L33" i="7"/>
  <c r="L13" i="7"/>
  <c r="K18" i="7"/>
  <c r="M18" i="7" s="1"/>
  <c r="L21" i="7"/>
  <c r="L19" i="7"/>
  <c r="L39" i="7"/>
  <c r="L81" i="7"/>
  <c r="J81" i="7"/>
  <c r="L16" i="7"/>
  <c r="J64" i="7"/>
  <c r="L56" i="7"/>
  <c r="L50" i="7"/>
  <c r="I21" i="7"/>
  <c r="J21" i="7" s="1"/>
  <c r="J22" i="7"/>
  <c r="K69" i="1"/>
  <c r="J65" i="1"/>
  <c r="K65" i="1" s="1"/>
  <c r="K63" i="1"/>
  <c r="J62" i="1"/>
  <c r="J15" i="6"/>
  <c r="L99" i="6"/>
  <c r="J16" i="6"/>
  <c r="J71" i="1"/>
  <c r="K72" i="1"/>
  <c r="J17" i="9"/>
  <c r="K34" i="1"/>
  <c r="K29" i="1"/>
  <c r="K26" i="1"/>
  <c r="K32" i="1"/>
  <c r="K18" i="1"/>
  <c r="I220" i="8"/>
  <c r="J216" i="8"/>
  <c r="J213" i="8"/>
  <c r="I205" i="8"/>
  <c r="J206" i="8"/>
  <c r="J25" i="8"/>
  <c r="I92" i="8"/>
  <c r="J92" i="8" s="1"/>
  <c r="J93" i="8"/>
  <c r="L25" i="6"/>
  <c r="L94" i="6"/>
  <c r="J128" i="6"/>
  <c r="J47" i="6"/>
  <c r="J83" i="6"/>
  <c r="J97" i="6"/>
  <c r="J119" i="6"/>
  <c r="J73" i="6"/>
  <c r="J124" i="6"/>
  <c r="K109" i="6"/>
  <c r="L126" i="6"/>
  <c r="J37" i="6"/>
  <c r="J100" i="6"/>
  <c r="J131" i="6"/>
  <c r="J95" i="6"/>
  <c r="I17" i="6"/>
  <c r="J18" i="6"/>
  <c r="J76" i="6"/>
  <c r="J77" i="6"/>
  <c r="J79" i="6"/>
  <c r="J80" i="6"/>
  <c r="J70" i="6"/>
  <c r="H50" i="1"/>
  <c r="I50" i="1" s="1"/>
  <c r="G35" i="2"/>
  <c r="J88" i="6"/>
  <c r="L30" i="6"/>
  <c r="I20" i="6"/>
  <c r="J21" i="6"/>
  <c r="I49" i="2"/>
  <c r="J49" i="2" s="1"/>
  <c r="I237" i="2"/>
  <c r="J237" i="2" s="1"/>
  <c r="I188" i="2"/>
  <c r="J188" i="2" s="1"/>
  <c r="I335" i="2"/>
  <c r="J335" i="2" s="1"/>
  <c r="I221" i="2"/>
  <c r="J221" i="2" s="1"/>
  <c r="I22" i="2"/>
  <c r="I528" i="2"/>
  <c r="J528" i="2" s="1"/>
  <c r="K21" i="2"/>
  <c r="H66" i="1"/>
  <c r="I66" i="1" s="1"/>
  <c r="I524" i="2"/>
  <c r="J524" i="2" s="1"/>
  <c r="I512" i="2"/>
  <c r="J512" i="2" s="1"/>
  <c r="I500" i="2"/>
  <c r="I520" i="2"/>
  <c r="J520" i="2" s="1"/>
  <c r="I179" i="2"/>
  <c r="J179" i="2" s="1"/>
  <c r="I158" i="2"/>
  <c r="J158" i="2" s="1"/>
  <c r="I252" i="2"/>
  <c r="J252" i="2" s="1"/>
  <c r="K20" i="2"/>
  <c r="K15" i="2" s="1"/>
  <c r="K103" i="2"/>
  <c r="I73" i="2"/>
  <c r="J20" i="1"/>
  <c r="L20" i="1" s="1"/>
  <c r="K470" i="2"/>
  <c r="I30" i="2"/>
  <c r="K28" i="2"/>
  <c r="K372" i="2"/>
  <c r="I32" i="2"/>
  <c r="J32" i="2" s="1"/>
  <c r="K367" i="2"/>
  <c r="M367" i="2" s="1"/>
  <c r="J24" i="1"/>
  <c r="L24" i="1" s="1"/>
  <c r="J16" i="1"/>
  <c r="L16" i="1" s="1"/>
  <c r="I477" i="2"/>
  <c r="I532" i="2"/>
  <c r="J532" i="2" s="1"/>
  <c r="H63" i="1"/>
  <c r="I63" i="1" s="1"/>
  <c r="I9" i="7"/>
  <c r="J9" i="7" s="1"/>
  <c r="D28" i="10"/>
  <c r="F9" i="3"/>
  <c r="K107" i="6"/>
  <c r="G13" i="2"/>
  <c r="L42" i="5"/>
  <c r="I174" i="3"/>
  <c r="D477" i="2"/>
  <c r="D476" i="2" s="1"/>
  <c r="E450" i="2"/>
  <c r="G467" i="2"/>
  <c r="E31" i="2"/>
  <c r="H72" i="1"/>
  <c r="I72" i="1" s="1"/>
  <c r="E14" i="10"/>
  <c r="H9" i="3"/>
  <c r="G31" i="2"/>
  <c r="I51" i="9"/>
  <c r="J51" i="9" s="1"/>
  <c r="J15" i="7"/>
  <c r="I74" i="8"/>
  <c r="J47" i="5"/>
  <c r="D15" i="4"/>
  <c r="C56" i="1" s="1"/>
  <c r="D11" i="4"/>
  <c r="D16" i="4"/>
  <c r="C57" i="1" s="1"/>
  <c r="H13" i="2"/>
  <c r="G13" i="1" s="1"/>
  <c r="E477" i="2"/>
  <c r="E476" i="2" s="1"/>
  <c r="F467" i="2"/>
  <c r="I246" i="8"/>
  <c r="I240" i="8"/>
  <c r="J112" i="6"/>
  <c r="F13" i="2"/>
  <c r="I111" i="2"/>
  <c r="J111" i="2" s="1"/>
  <c r="K31" i="2"/>
  <c r="J38" i="1"/>
  <c r="L38" i="1" s="1"/>
  <c r="J74" i="1"/>
  <c r="I22" i="4"/>
  <c r="H67" i="1"/>
  <c r="I67" i="1" s="1"/>
  <c r="I15" i="4"/>
  <c r="I28" i="9"/>
  <c r="J28" i="9" s="1"/>
  <c r="I48" i="8"/>
  <c r="J48" i="8" s="1"/>
  <c r="I34" i="8"/>
  <c r="J34" i="8" s="1"/>
  <c r="E22" i="1"/>
  <c r="F28" i="1"/>
  <c r="G28" i="1"/>
  <c r="H55" i="1"/>
  <c r="I55" i="1" s="1"/>
  <c r="D22" i="4"/>
  <c r="E52" i="1"/>
  <c r="I23" i="2"/>
  <c r="I20" i="2"/>
  <c r="E28" i="2"/>
  <c r="D31" i="1" s="1"/>
  <c r="K26" i="2"/>
  <c r="E16" i="2"/>
  <c r="D16" i="1" s="1"/>
  <c r="M12" i="2"/>
  <c r="I429" i="2"/>
  <c r="J429" i="2" s="1"/>
  <c r="I27" i="2"/>
  <c r="J27" i="2" s="1"/>
  <c r="I29" i="2"/>
  <c r="J29" i="2" s="1"/>
  <c r="D422" i="2"/>
  <c r="D421" i="2" s="1"/>
  <c r="D17" i="2"/>
  <c r="F421" i="2"/>
  <c r="D225" i="2"/>
  <c r="H25" i="2"/>
  <c r="I373" i="2"/>
  <c r="D22" i="2"/>
  <c r="G26" i="2"/>
  <c r="D373" i="2"/>
  <c r="G470" i="2"/>
  <c r="D263" i="2"/>
  <c r="J263" i="2" s="1"/>
  <c r="F40" i="2"/>
  <c r="F35" i="2" s="1"/>
  <c r="D363" i="2"/>
  <c r="J363" i="2" s="1"/>
  <c r="D435" i="2"/>
  <c r="J435" i="2" s="1"/>
  <c r="I42" i="2"/>
  <c r="D42" i="2"/>
  <c r="K44" i="2"/>
  <c r="L44" i="2" s="1"/>
  <c r="D45" i="2"/>
  <c r="D501" i="2"/>
  <c r="D500" i="2" s="1"/>
  <c r="I104" i="2"/>
  <c r="J104" i="2" s="1"/>
  <c r="I45" i="2"/>
  <c r="D144" i="3"/>
  <c r="I61" i="3"/>
  <c r="D74" i="3"/>
  <c r="D73" i="3" s="1"/>
  <c r="D97" i="3"/>
  <c r="D96" i="3" s="1"/>
  <c r="D132" i="3"/>
  <c r="E144" i="3"/>
  <c r="D150" i="3"/>
  <c r="I44" i="3"/>
  <c r="J44" i="3" s="1"/>
  <c r="D138" i="3"/>
  <c r="E174" i="3"/>
  <c r="D109" i="3"/>
  <c r="D108" i="3" s="1"/>
  <c r="D79" i="3"/>
  <c r="K18" i="3"/>
  <c r="M18" i="3" s="1"/>
  <c r="K12" i="3"/>
  <c r="M12" i="3" s="1"/>
  <c r="M55" i="3"/>
  <c r="E108" i="3"/>
  <c r="H22" i="4"/>
  <c r="H21" i="4" s="1"/>
  <c r="J58" i="5"/>
  <c r="G22" i="1"/>
  <c r="K11" i="6"/>
  <c r="M11" i="6" s="1"/>
  <c r="I22" i="6"/>
  <c r="J22" i="6" s="1"/>
  <c r="K12" i="6"/>
  <c r="J99" i="6"/>
  <c r="F71" i="1"/>
  <c r="F64" i="1" s="1"/>
  <c r="G71" i="1"/>
  <c r="K13" i="6"/>
  <c r="M13" i="6" s="1"/>
  <c r="I18" i="7"/>
  <c r="I212" i="8"/>
  <c r="J212" i="8" s="1"/>
  <c r="K231" i="8"/>
  <c r="D34" i="4"/>
  <c r="K21" i="4"/>
  <c r="E96" i="3"/>
  <c r="I160" i="3"/>
  <c r="J160" i="3" s="1"/>
  <c r="D497" i="2"/>
  <c r="D496" i="2" s="1"/>
  <c r="D493" i="2"/>
  <c r="J493" i="2" s="1"/>
  <c r="E458" i="2"/>
  <c r="I492" i="2"/>
  <c r="J492" i="2" s="1"/>
  <c r="D216" i="2"/>
  <c r="J216" i="2" s="1"/>
  <c r="I258" i="2"/>
  <c r="J258" i="2" s="1"/>
  <c r="E40" i="2"/>
  <c r="E24" i="2"/>
  <c r="D26" i="1" s="1"/>
  <c r="K36" i="2"/>
  <c r="J21" i="1"/>
  <c r="H15" i="2"/>
  <c r="F21" i="2"/>
  <c r="J41" i="9"/>
  <c r="K237" i="8"/>
  <c r="L14" i="9"/>
  <c r="I119" i="8"/>
  <c r="J119" i="8" s="1"/>
  <c r="I30" i="8"/>
  <c r="K23" i="8"/>
  <c r="J56" i="7"/>
  <c r="D452" i="2"/>
  <c r="K449" i="2"/>
  <c r="M449" i="2" s="1"/>
  <c r="K127" i="2"/>
  <c r="E95" i="2"/>
  <c r="D73" i="2"/>
  <c r="I58" i="2"/>
  <c r="J58" i="2" s="1"/>
  <c r="E20" i="2"/>
  <c r="E36" i="2"/>
  <c r="G15" i="2"/>
  <c r="G14" i="2" s="1"/>
  <c r="F15" i="2"/>
  <c r="E35" i="1"/>
  <c r="H21" i="2"/>
  <c r="I136" i="3"/>
  <c r="J136" i="3" s="1"/>
  <c r="E348" i="2"/>
  <c r="I340" i="2"/>
  <c r="J340" i="2" s="1"/>
  <c r="E339" i="2"/>
  <c r="E330" i="2"/>
  <c r="I276" i="2"/>
  <c r="J276" i="2" s="1"/>
  <c r="I272" i="2"/>
  <c r="J272" i="2" s="1"/>
  <c r="I208" i="2"/>
  <c r="J208" i="2" s="1"/>
  <c r="I193" i="2"/>
  <c r="J193" i="2" s="1"/>
  <c r="E183" i="2"/>
  <c r="I174" i="2"/>
  <c r="J174" i="2" s="1"/>
  <c r="E162" i="2"/>
  <c r="K81" i="2"/>
  <c r="I65" i="2"/>
  <c r="I66" i="9"/>
  <c r="I194" i="8"/>
  <c r="I21" i="8"/>
  <c r="K12" i="8"/>
  <c r="I62" i="9"/>
  <c r="J62" i="9" s="1"/>
  <c r="I245" i="8"/>
  <c r="I131" i="8"/>
  <c r="I16" i="8"/>
  <c r="J24" i="7"/>
  <c r="K12" i="7"/>
  <c r="M12" i="7" s="1"/>
  <c r="I242" i="8"/>
  <c r="J63" i="7"/>
  <c r="I29" i="4"/>
  <c r="E28" i="4"/>
  <c r="K12" i="4"/>
  <c r="E12" i="4"/>
  <c r="I198" i="3"/>
  <c r="J198" i="3" s="1"/>
  <c r="I133" i="3"/>
  <c r="J133" i="3" s="1"/>
  <c r="I115" i="3"/>
  <c r="J115" i="3" s="1"/>
  <c r="E114" i="3"/>
  <c r="I109" i="3"/>
  <c r="J109" i="3" s="1"/>
  <c r="D162" i="3"/>
  <c r="E156" i="3"/>
  <c r="E11" i="3" s="1"/>
  <c r="D91" i="3"/>
  <c r="D90" i="3" s="1"/>
  <c r="D86" i="3"/>
  <c r="D85" i="3" s="1"/>
  <c r="I77" i="3"/>
  <c r="J77" i="3" s="1"/>
  <c r="E73" i="3"/>
  <c r="I58" i="3"/>
  <c r="J58" i="3" s="1"/>
  <c r="E55" i="3"/>
  <c r="D53" i="3"/>
  <c r="D49" i="3" s="1"/>
  <c r="D450" i="2"/>
  <c r="I516" i="2"/>
  <c r="J516" i="2" s="1"/>
  <c r="I496" i="2"/>
  <c r="D482" i="2"/>
  <c r="K428" i="2"/>
  <c r="K421" i="2"/>
  <c r="D371" i="2"/>
  <c r="D23" i="2" s="1"/>
  <c r="C24" i="1" s="1"/>
  <c r="D406" i="2"/>
  <c r="J406" i="2" s="1"/>
  <c r="D369" i="2"/>
  <c r="D368" i="2" s="1"/>
  <c r="D404" i="2"/>
  <c r="D403" i="2" s="1"/>
  <c r="T14" i="7"/>
  <c r="T15" i="7" s="1"/>
  <c r="I141" i="3"/>
  <c r="J141" i="3" s="1"/>
  <c r="D48" i="4"/>
  <c r="I370" i="2"/>
  <c r="I354" i="2"/>
  <c r="J354" i="2" s="1"/>
  <c r="I349" i="2"/>
  <c r="J349" i="2" s="1"/>
  <c r="D345" i="2"/>
  <c r="D344" i="2" s="1"/>
  <c r="I331" i="2"/>
  <c r="J331" i="2" s="1"/>
  <c r="I303" i="2"/>
  <c r="J303" i="2" s="1"/>
  <c r="I267" i="2"/>
  <c r="J267" i="2" s="1"/>
  <c r="I246" i="2"/>
  <c r="J246" i="2" s="1"/>
  <c r="E204" i="2"/>
  <c r="E192" i="2"/>
  <c r="I184" i="2"/>
  <c r="J184" i="2" s="1"/>
  <c r="I168" i="2"/>
  <c r="J168" i="2" s="1"/>
  <c r="I163" i="2"/>
  <c r="J163" i="2" s="1"/>
  <c r="I154" i="2"/>
  <c r="E153" i="2"/>
  <c r="I141" i="2"/>
  <c r="J141" i="2" s="1"/>
  <c r="I127" i="2"/>
  <c r="J127" i="2" s="1"/>
  <c r="I88" i="2"/>
  <c r="J88" i="2" s="1"/>
  <c r="E65" i="2"/>
  <c r="I249" i="8"/>
  <c r="I23" i="9"/>
  <c r="J23" i="9" s="1"/>
  <c r="I198" i="8"/>
  <c r="I191" i="8"/>
  <c r="I26" i="8"/>
  <c r="I137" i="8"/>
  <c r="I54" i="8"/>
  <c r="J54" i="8" s="1"/>
  <c r="I40" i="8"/>
  <c r="J40" i="8" s="1"/>
  <c r="I201" i="8"/>
  <c r="I31" i="8"/>
  <c r="I14" i="8"/>
  <c r="R18" i="7"/>
  <c r="P16" i="7"/>
  <c r="J61" i="5"/>
  <c r="I233" i="8"/>
  <c r="I39" i="4"/>
  <c r="J39" i="4" s="1"/>
  <c r="D29" i="4"/>
  <c r="D28" i="4" s="1"/>
  <c r="I169" i="3"/>
  <c r="E168" i="3"/>
  <c r="I153" i="3"/>
  <c r="J153" i="3" s="1"/>
  <c r="I139" i="3"/>
  <c r="J139" i="3" s="1"/>
  <c r="I43" i="3"/>
  <c r="J43" i="3" s="1"/>
  <c r="I38" i="3"/>
  <c r="I103" i="3"/>
  <c r="E102" i="3"/>
  <c r="I97" i="3"/>
  <c r="J97" i="3" s="1"/>
  <c r="E162" i="3"/>
  <c r="D157" i="3"/>
  <c r="D156" i="3" s="1"/>
  <c r="D11" i="3" s="1"/>
  <c r="I91" i="3"/>
  <c r="E90" i="3"/>
  <c r="H17" i="1"/>
  <c r="E85" i="3"/>
  <c r="I82" i="3"/>
  <c r="J82" i="3" s="1"/>
  <c r="E79" i="3"/>
  <c r="I67" i="3"/>
  <c r="J67" i="3" s="1"/>
  <c r="I53" i="3"/>
  <c r="J53" i="3" s="1"/>
  <c r="E49" i="3"/>
  <c r="I451" i="2"/>
  <c r="J451" i="2" s="1"/>
  <c r="I459" i="2"/>
  <c r="J459" i="2" s="1"/>
  <c r="D458" i="2"/>
  <c r="I452" i="2"/>
  <c r="I482" i="2"/>
  <c r="I442" i="2"/>
  <c r="J442" i="2" s="1"/>
  <c r="I428" i="2"/>
  <c r="I421" i="2"/>
  <c r="I404" i="2"/>
  <c r="I369" i="2"/>
  <c r="E403" i="2"/>
  <c r="I394" i="2"/>
  <c r="J394" i="2" s="1"/>
  <c r="I386" i="2"/>
  <c r="J386" i="2" s="1"/>
  <c r="I48" i="4"/>
  <c r="I144" i="3"/>
  <c r="J144" i="3" s="1"/>
  <c r="I162" i="3"/>
  <c r="J162" i="3" s="1"/>
  <c r="D61" i="3"/>
  <c r="D348" i="2"/>
  <c r="I345" i="2"/>
  <c r="I294" i="2"/>
  <c r="J294" i="2" s="1"/>
  <c r="I198" i="2"/>
  <c r="J198" i="2" s="1"/>
  <c r="D192" i="2"/>
  <c r="D183" i="2"/>
  <c r="D166" i="2"/>
  <c r="D162" i="2" s="1"/>
  <c r="D154" i="2"/>
  <c r="D153" i="2" s="1"/>
  <c r="D37" i="2"/>
  <c r="D16" i="2" s="1"/>
  <c r="C16" i="1" s="1"/>
  <c r="I100" i="2"/>
  <c r="J100" i="2" s="1"/>
  <c r="I85" i="2"/>
  <c r="J85" i="2" s="1"/>
  <c r="K65" i="2"/>
  <c r="D66" i="2"/>
  <c r="D65" i="2" s="1"/>
  <c r="D39" i="2"/>
  <c r="I51" i="2"/>
  <c r="J51" i="2" s="1"/>
  <c r="I86" i="3"/>
  <c r="J86" i="3" s="1"/>
  <c r="I225" i="2"/>
  <c r="J225" i="2" s="1"/>
  <c r="I12" i="10" l="1"/>
  <c r="J12" i="10" s="1"/>
  <c r="L14" i="10"/>
  <c r="K17" i="1"/>
  <c r="E10" i="3"/>
  <c r="D469" i="2"/>
  <c r="D467" i="2" s="1"/>
  <c r="J421" i="2"/>
  <c r="J369" i="2"/>
  <c r="K43" i="2"/>
  <c r="M26" i="2"/>
  <c r="M15" i="2"/>
  <c r="G25" i="2"/>
  <c r="E28" i="1"/>
  <c r="E27" i="1" s="1"/>
  <c r="E41" i="1" s="1"/>
  <c r="L22" i="1"/>
  <c r="L74" i="1"/>
  <c r="D28" i="1"/>
  <c r="L421" i="2"/>
  <c r="M421" i="2"/>
  <c r="L127" i="2"/>
  <c r="M127" i="2"/>
  <c r="L28" i="2"/>
  <c r="M28" i="2"/>
  <c r="L103" i="2"/>
  <c r="M103" i="2"/>
  <c r="J14" i="10"/>
  <c r="I469" i="2"/>
  <c r="J469" i="2" s="1"/>
  <c r="J74" i="3"/>
  <c r="J39" i="2"/>
  <c r="C21" i="1"/>
  <c r="I21" i="1" s="1"/>
  <c r="I73" i="3"/>
  <c r="J73" i="3" s="1"/>
  <c r="J404" i="2"/>
  <c r="J428" i="2"/>
  <c r="J482" i="2"/>
  <c r="J452" i="2"/>
  <c r="J91" i="3"/>
  <c r="J38" i="3"/>
  <c r="L428" i="2"/>
  <c r="M428" i="2"/>
  <c r="J496" i="2"/>
  <c r="D449" i="2"/>
  <c r="J66" i="9"/>
  <c r="J32" i="8"/>
  <c r="G64" i="1"/>
  <c r="J17" i="2"/>
  <c r="C17" i="1"/>
  <c r="I17" i="1" s="1"/>
  <c r="F13" i="1"/>
  <c r="F11" i="1" s="1"/>
  <c r="L372" i="2"/>
  <c r="M372" i="2"/>
  <c r="J30" i="2"/>
  <c r="M109" i="6"/>
  <c r="I109" i="6"/>
  <c r="J52" i="1"/>
  <c r="J34" i="3"/>
  <c r="I42" i="5"/>
  <c r="I40" i="5" s="1"/>
  <c r="J57" i="5"/>
  <c r="J157" i="3"/>
  <c r="F11" i="2"/>
  <c r="E13" i="1"/>
  <c r="G79" i="1"/>
  <c r="G11" i="1"/>
  <c r="M231" i="8"/>
  <c r="J61" i="8"/>
  <c r="J233" i="8"/>
  <c r="M237" i="8"/>
  <c r="J246" i="8"/>
  <c r="L75" i="1"/>
  <c r="L65" i="1"/>
  <c r="L64" i="1" s="1"/>
  <c r="K21" i="1"/>
  <c r="L21" i="1"/>
  <c r="L15" i="1" s="1"/>
  <c r="K75" i="1"/>
  <c r="L37" i="1"/>
  <c r="L35" i="1" s="1"/>
  <c r="K74" i="1"/>
  <c r="D9" i="4"/>
  <c r="C51" i="1"/>
  <c r="C53" i="1"/>
  <c r="C74" i="1"/>
  <c r="M107" i="6"/>
  <c r="I107" i="6"/>
  <c r="J28" i="10"/>
  <c r="J22" i="3"/>
  <c r="L11" i="3"/>
  <c r="M11" i="3"/>
  <c r="M13" i="9"/>
  <c r="L13" i="9"/>
  <c r="M19" i="9"/>
  <c r="J32" i="9"/>
  <c r="M14" i="9"/>
  <c r="L12" i="4"/>
  <c r="M12" i="4"/>
  <c r="L21" i="4"/>
  <c r="M21" i="4"/>
  <c r="J61" i="3"/>
  <c r="H25" i="1"/>
  <c r="J194" i="8"/>
  <c r="J14" i="8"/>
  <c r="J198" i="8"/>
  <c r="J191" i="8"/>
  <c r="J201" i="8"/>
  <c r="H36" i="1"/>
  <c r="I36" i="1" s="1"/>
  <c r="M10" i="8"/>
  <c r="K9" i="8"/>
  <c r="H30" i="1"/>
  <c r="I30" i="1" s="1"/>
  <c r="M23" i="8"/>
  <c r="M12" i="8"/>
  <c r="G35" i="1"/>
  <c r="L31" i="2"/>
  <c r="M31" i="2"/>
  <c r="L43" i="2"/>
  <c r="M43" i="2"/>
  <c r="M44" i="2"/>
  <c r="L18" i="3"/>
  <c r="L12" i="6"/>
  <c r="M12" i="6"/>
  <c r="L12" i="3"/>
  <c r="D174" i="3"/>
  <c r="D168" i="3"/>
  <c r="J169" i="3"/>
  <c r="M470" i="2"/>
  <c r="L469" i="2"/>
  <c r="M469" i="2"/>
  <c r="L20" i="2"/>
  <c r="M20" i="2"/>
  <c r="L21" i="2"/>
  <c r="M21" i="2"/>
  <c r="L81" i="2"/>
  <c r="M81" i="2"/>
  <c r="L65" i="2"/>
  <c r="M65" i="2"/>
  <c r="L36" i="2"/>
  <c r="M36" i="2"/>
  <c r="J345" i="2"/>
  <c r="E15" i="2"/>
  <c r="J35" i="1"/>
  <c r="I13" i="4"/>
  <c r="J15" i="4"/>
  <c r="J9" i="4"/>
  <c r="J11" i="4"/>
  <c r="J48" i="4"/>
  <c r="J29" i="4"/>
  <c r="J22" i="4"/>
  <c r="J34" i="4"/>
  <c r="J16" i="4"/>
  <c r="H56" i="1"/>
  <c r="I56" i="1" s="1"/>
  <c r="G9" i="3"/>
  <c r="L10" i="3"/>
  <c r="M10" i="3"/>
  <c r="L12" i="9"/>
  <c r="M12" i="9"/>
  <c r="L19" i="9"/>
  <c r="I19" i="9"/>
  <c r="J20" i="9"/>
  <c r="I12" i="9"/>
  <c r="J12" i="9" s="1"/>
  <c r="L12" i="8"/>
  <c r="L237" i="8"/>
  <c r="L23" i="8"/>
  <c r="F35" i="1"/>
  <c r="I25" i="1"/>
  <c r="I136" i="8"/>
  <c r="J137" i="8"/>
  <c r="J242" i="8"/>
  <c r="J82" i="8"/>
  <c r="J16" i="8"/>
  <c r="H18" i="1"/>
  <c r="I18" i="1" s="1"/>
  <c r="J51" i="1"/>
  <c r="K51" i="1" s="1"/>
  <c r="L231" i="8"/>
  <c r="H33" i="1"/>
  <c r="I33" i="1" s="1"/>
  <c r="J28" i="8"/>
  <c r="J249" i="8"/>
  <c r="I130" i="8"/>
  <c r="J131" i="8"/>
  <c r="J245" i="8"/>
  <c r="H68" i="1"/>
  <c r="I68" i="1" s="1"/>
  <c r="J240" i="8"/>
  <c r="J20" i="8"/>
  <c r="J103" i="3"/>
  <c r="J42" i="2"/>
  <c r="J65" i="2"/>
  <c r="J45" i="2"/>
  <c r="L26" i="2"/>
  <c r="L15" i="2"/>
  <c r="J477" i="2"/>
  <c r="L367" i="2"/>
  <c r="J73" i="2"/>
  <c r="J500" i="2"/>
  <c r="J22" i="2"/>
  <c r="J472" i="2"/>
  <c r="J166" i="2"/>
  <c r="J66" i="2"/>
  <c r="J371" i="2"/>
  <c r="J82" i="2"/>
  <c r="J501" i="2"/>
  <c r="J154" i="2"/>
  <c r="J373" i="2"/>
  <c r="H24" i="1"/>
  <c r="I24" i="1" s="1"/>
  <c r="J23" i="2"/>
  <c r="L470" i="2"/>
  <c r="J37" i="2"/>
  <c r="I16" i="2"/>
  <c r="J497" i="2"/>
  <c r="J52" i="2"/>
  <c r="J422" i="2"/>
  <c r="I33" i="2"/>
  <c r="H32" i="1"/>
  <c r="I32" i="1" s="1"/>
  <c r="H37" i="1"/>
  <c r="D28" i="2"/>
  <c r="C31" i="1" s="1"/>
  <c r="H29" i="1"/>
  <c r="H57" i="1"/>
  <c r="I57" i="1" s="1"/>
  <c r="J18" i="7"/>
  <c r="L18" i="7"/>
  <c r="J34" i="7"/>
  <c r="J69" i="7"/>
  <c r="L107" i="6"/>
  <c r="L109" i="6"/>
  <c r="K71" i="1"/>
  <c r="J64" i="1"/>
  <c r="K64" i="1" s="1"/>
  <c r="K16" i="1"/>
  <c r="K20" i="1"/>
  <c r="I34" i="1"/>
  <c r="K38" i="1"/>
  <c r="K24" i="1"/>
  <c r="K37" i="1"/>
  <c r="J220" i="8"/>
  <c r="J31" i="8"/>
  <c r="J26" i="8"/>
  <c r="J21" i="8"/>
  <c r="J205" i="8"/>
  <c r="J30" i="8"/>
  <c r="J74" i="8"/>
  <c r="L12" i="7"/>
  <c r="J11" i="7"/>
  <c r="J127" i="6"/>
  <c r="L13" i="6"/>
  <c r="J36" i="6"/>
  <c r="J69" i="6"/>
  <c r="J72" i="6"/>
  <c r="J28" i="6"/>
  <c r="J123" i="6"/>
  <c r="J26" i="6"/>
  <c r="L11" i="6"/>
  <c r="K10" i="6"/>
  <c r="J17" i="6"/>
  <c r="J33" i="6"/>
  <c r="J31" i="6"/>
  <c r="J20" i="6"/>
  <c r="K13" i="2"/>
  <c r="I81" i="2"/>
  <c r="J81" i="2" s="1"/>
  <c r="H58" i="1"/>
  <c r="I58" i="1" s="1"/>
  <c r="I18" i="2"/>
  <c r="I28" i="2"/>
  <c r="K25" i="2"/>
  <c r="J31" i="1"/>
  <c r="K35" i="2"/>
  <c r="I24" i="2"/>
  <c r="I31" i="2"/>
  <c r="I476" i="2"/>
  <c r="J476" i="2" s="1"/>
  <c r="D13" i="2"/>
  <c r="C13" i="1" s="1"/>
  <c r="H54" i="1"/>
  <c r="I54" i="1" s="1"/>
  <c r="H65" i="1"/>
  <c r="E9" i="3"/>
  <c r="H11" i="2"/>
  <c r="J42" i="5"/>
  <c r="D13" i="4"/>
  <c r="I11" i="10"/>
  <c r="J11" i="10" s="1"/>
  <c r="K40" i="5"/>
  <c r="I168" i="3"/>
  <c r="E13" i="2"/>
  <c r="D13" i="1" s="1"/>
  <c r="E467" i="2"/>
  <c r="J111" i="6"/>
  <c r="I238" i="8"/>
  <c r="D35" i="1"/>
  <c r="J44" i="5"/>
  <c r="C75" i="1"/>
  <c r="C65" i="1"/>
  <c r="G11" i="2"/>
  <c r="E449" i="2"/>
  <c r="K14" i="2"/>
  <c r="K9" i="3"/>
  <c r="I21" i="4"/>
  <c r="J12" i="1"/>
  <c r="K11" i="9"/>
  <c r="J15" i="1"/>
  <c r="G15" i="1"/>
  <c r="G14" i="1" s="1"/>
  <c r="D22" i="1"/>
  <c r="E15" i="1"/>
  <c r="E14" i="1" s="1"/>
  <c r="F15" i="1"/>
  <c r="F14" i="1" s="1"/>
  <c r="F40" i="1" s="1"/>
  <c r="D21" i="4"/>
  <c r="G62" i="1"/>
  <c r="G52" i="1" s="1"/>
  <c r="F62" i="1"/>
  <c r="D15" i="1"/>
  <c r="C15" i="1"/>
  <c r="D19" i="3"/>
  <c r="D12" i="2"/>
  <c r="E12" i="2"/>
  <c r="D12" i="1" s="1"/>
  <c r="D78" i="1" s="1"/>
  <c r="E26" i="2"/>
  <c r="E25" i="2" s="1"/>
  <c r="K467" i="2"/>
  <c r="I21" i="2"/>
  <c r="I26" i="2"/>
  <c r="I471" i="2"/>
  <c r="F14" i="2"/>
  <c r="E35" i="2"/>
  <c r="I372" i="2"/>
  <c r="D372" i="2"/>
  <c r="D44" i="2"/>
  <c r="I44" i="2"/>
  <c r="I103" i="2"/>
  <c r="J103" i="2" s="1"/>
  <c r="I156" i="3"/>
  <c r="J156" i="3" s="1"/>
  <c r="D13" i="3"/>
  <c r="C71" i="1"/>
  <c r="I12" i="6"/>
  <c r="J12" i="6" s="1"/>
  <c r="I19" i="6"/>
  <c r="J19" i="6" s="1"/>
  <c r="C62" i="1"/>
  <c r="K229" i="8"/>
  <c r="H14" i="2"/>
  <c r="E21" i="2"/>
  <c r="E14" i="2" s="1"/>
  <c r="D24" i="2"/>
  <c r="C26" i="1" s="1"/>
  <c r="D40" i="2"/>
  <c r="I47" i="2"/>
  <c r="I368" i="2"/>
  <c r="J368" i="2" s="1"/>
  <c r="I19" i="3"/>
  <c r="I96" i="3"/>
  <c r="J96" i="3" s="1"/>
  <c r="I138" i="3"/>
  <c r="J138" i="3" s="1"/>
  <c r="I38" i="4"/>
  <c r="J38" i="4" s="1"/>
  <c r="I13" i="8"/>
  <c r="I24" i="8"/>
  <c r="I190" i="8"/>
  <c r="I10" i="8" s="1"/>
  <c r="I183" i="2"/>
  <c r="J183" i="2" s="1"/>
  <c r="D370" i="2"/>
  <c r="J370" i="2" s="1"/>
  <c r="I55" i="3"/>
  <c r="J55" i="3" s="1"/>
  <c r="I108" i="3"/>
  <c r="J108" i="3" s="1"/>
  <c r="I231" i="8"/>
  <c r="J231" i="8" s="1"/>
  <c r="I14" i="6"/>
  <c r="J14" i="6" s="1"/>
  <c r="J122" i="6"/>
  <c r="I65" i="9"/>
  <c r="I192" i="2"/>
  <c r="J192" i="2" s="1"/>
  <c r="I204" i="2"/>
  <c r="J204" i="2" s="1"/>
  <c r="I339" i="2"/>
  <c r="J339" i="2" s="1"/>
  <c r="H71" i="1"/>
  <c r="D20" i="2"/>
  <c r="J20" i="2" s="1"/>
  <c r="I385" i="2"/>
  <c r="J385" i="2" s="1"/>
  <c r="I403" i="2"/>
  <c r="J403" i="2" s="1"/>
  <c r="I49" i="3"/>
  <c r="J49" i="3" s="1"/>
  <c r="I90" i="3"/>
  <c r="J90" i="3" s="1"/>
  <c r="I197" i="8"/>
  <c r="I330" i="2"/>
  <c r="J330" i="2" s="1"/>
  <c r="I348" i="2"/>
  <c r="J348" i="2" s="1"/>
  <c r="D26" i="2"/>
  <c r="I132" i="3"/>
  <c r="J132" i="3" s="1"/>
  <c r="I28" i="4"/>
  <c r="J28" i="4" s="1"/>
  <c r="I13" i="7"/>
  <c r="J13" i="7" s="1"/>
  <c r="I40" i="2"/>
  <c r="I85" i="3"/>
  <c r="J85" i="3" s="1"/>
  <c r="I95" i="2"/>
  <c r="J95" i="2" s="1"/>
  <c r="D36" i="2"/>
  <c r="D35" i="2" s="1"/>
  <c r="I344" i="2"/>
  <c r="J344" i="2" s="1"/>
  <c r="D471" i="2"/>
  <c r="D470" i="2" s="1"/>
  <c r="I458" i="2"/>
  <c r="J458" i="2" s="1"/>
  <c r="I450" i="2"/>
  <c r="J450" i="2" s="1"/>
  <c r="I16" i="3"/>
  <c r="H62" i="1"/>
  <c r="I79" i="3"/>
  <c r="J79" i="3" s="1"/>
  <c r="I102" i="3"/>
  <c r="I150" i="3"/>
  <c r="J150" i="3" s="1"/>
  <c r="D12" i="4"/>
  <c r="I232" i="8"/>
  <c r="J126" i="6"/>
  <c r="I29" i="8"/>
  <c r="I11" i="8"/>
  <c r="I36" i="2"/>
  <c r="J36" i="2" s="1"/>
  <c r="I153" i="2"/>
  <c r="J153" i="2" s="1"/>
  <c r="I162" i="2"/>
  <c r="J162" i="2" s="1"/>
  <c r="D33" i="2"/>
  <c r="D47" i="2"/>
  <c r="D43" i="2" s="1"/>
  <c r="D21" i="3"/>
  <c r="D16" i="3"/>
  <c r="I114" i="3"/>
  <c r="J114" i="3" s="1"/>
  <c r="P18" i="7"/>
  <c r="J33" i="7"/>
  <c r="I18" i="8"/>
  <c r="I13" i="3"/>
  <c r="J13" i="3" s="1"/>
  <c r="I71" i="1" l="1"/>
  <c r="F79" i="1"/>
  <c r="C28" i="1"/>
  <c r="D27" i="1"/>
  <c r="D41" i="1" s="1"/>
  <c r="L51" i="1"/>
  <c r="L49" i="1" s="1"/>
  <c r="J40" i="2"/>
  <c r="C52" i="1"/>
  <c r="J49" i="1"/>
  <c r="L14" i="1"/>
  <c r="D31" i="2"/>
  <c r="C38" i="1"/>
  <c r="J65" i="9"/>
  <c r="M10" i="6"/>
  <c r="D10" i="3"/>
  <c r="C12" i="1" s="1"/>
  <c r="D79" i="1"/>
  <c r="D11" i="1"/>
  <c r="E11" i="1"/>
  <c r="E79" i="1"/>
  <c r="C22" i="1"/>
  <c r="C14" i="1" s="1"/>
  <c r="K35" i="1"/>
  <c r="J232" i="8"/>
  <c r="M229" i="8"/>
  <c r="J238" i="8"/>
  <c r="K12" i="1"/>
  <c r="J78" i="1"/>
  <c r="K31" i="1"/>
  <c r="L31" i="1"/>
  <c r="L28" i="1" s="1"/>
  <c r="L27" i="1" s="1"/>
  <c r="C49" i="1"/>
  <c r="C79" i="1"/>
  <c r="F77" i="1"/>
  <c r="E80" i="1"/>
  <c r="K49" i="1"/>
  <c r="L40" i="5"/>
  <c r="M40" i="5"/>
  <c r="I37" i="1"/>
  <c r="I10" i="3"/>
  <c r="L12" i="1"/>
  <c r="J197" i="8"/>
  <c r="J10" i="8"/>
  <c r="L9" i="8"/>
  <c r="M9" i="8"/>
  <c r="J24" i="8"/>
  <c r="J136" i="8"/>
  <c r="J13" i="8"/>
  <c r="J11" i="8"/>
  <c r="J130" i="8"/>
  <c r="L25" i="2"/>
  <c r="M25" i="2"/>
  <c r="J19" i="3"/>
  <c r="D18" i="3"/>
  <c r="J21" i="3"/>
  <c r="J174" i="3"/>
  <c r="J168" i="3"/>
  <c r="L467" i="2"/>
  <c r="M467" i="2"/>
  <c r="L14" i="2"/>
  <c r="M14" i="2"/>
  <c r="L35" i="2"/>
  <c r="M35" i="2"/>
  <c r="J13" i="1"/>
  <c r="J11" i="1" s="1"/>
  <c r="M13" i="2"/>
  <c r="L13" i="1" s="1"/>
  <c r="L79" i="1" s="1"/>
  <c r="D11" i="2"/>
  <c r="J21" i="4"/>
  <c r="J13" i="4"/>
  <c r="D12" i="3"/>
  <c r="J16" i="3"/>
  <c r="D9" i="3"/>
  <c r="M9" i="3"/>
  <c r="L9" i="3"/>
  <c r="L11" i="9"/>
  <c r="M11" i="9"/>
  <c r="J19" i="9"/>
  <c r="L229" i="8"/>
  <c r="H75" i="1"/>
  <c r="I75" i="1" s="1"/>
  <c r="J190" i="8"/>
  <c r="J102" i="3"/>
  <c r="I11" i="3"/>
  <c r="J11" i="3" s="1"/>
  <c r="J44" i="2"/>
  <c r="J31" i="2"/>
  <c r="H19" i="1"/>
  <c r="I19" i="1" s="1"/>
  <c r="J18" i="2"/>
  <c r="J47" i="2"/>
  <c r="J372" i="2"/>
  <c r="J471" i="2"/>
  <c r="J26" i="2"/>
  <c r="J24" i="2"/>
  <c r="L13" i="2"/>
  <c r="K11" i="2"/>
  <c r="J33" i="2"/>
  <c r="J16" i="2"/>
  <c r="I15" i="2"/>
  <c r="H38" i="1"/>
  <c r="H31" i="1"/>
  <c r="I31" i="1" s="1"/>
  <c r="J28" i="2"/>
  <c r="H16" i="1"/>
  <c r="H26" i="1"/>
  <c r="H28" i="1"/>
  <c r="I29" i="1"/>
  <c r="I62" i="1"/>
  <c r="H74" i="1"/>
  <c r="I74" i="1" s="1"/>
  <c r="L10" i="6"/>
  <c r="I65" i="1"/>
  <c r="F52" i="1"/>
  <c r="K52" i="1" s="1"/>
  <c r="K62" i="1"/>
  <c r="K15" i="1"/>
  <c r="J29" i="8"/>
  <c r="J18" i="8"/>
  <c r="J30" i="6"/>
  <c r="I467" i="2"/>
  <c r="C64" i="1"/>
  <c r="I449" i="2"/>
  <c r="J449" i="2" s="1"/>
  <c r="I470" i="2"/>
  <c r="J470" i="2" s="1"/>
  <c r="I25" i="2"/>
  <c r="J28" i="1"/>
  <c r="K28" i="1" s="1"/>
  <c r="I12" i="2"/>
  <c r="J12" i="2" s="1"/>
  <c r="D14" i="1"/>
  <c r="J40" i="5"/>
  <c r="E11" i="2"/>
  <c r="I237" i="8"/>
  <c r="I13" i="2"/>
  <c r="J13" i="2" s="1"/>
  <c r="J10" i="3"/>
  <c r="H64" i="1"/>
  <c r="E40" i="1"/>
  <c r="G40" i="1"/>
  <c r="J22" i="1"/>
  <c r="K22" i="1" s="1"/>
  <c r="D367" i="2"/>
  <c r="I11" i="6"/>
  <c r="J11" i="6" s="1"/>
  <c r="I12" i="3"/>
  <c r="J12" i="3" s="1"/>
  <c r="I12" i="4"/>
  <c r="J12" i="4" s="1"/>
  <c r="D25" i="2"/>
  <c r="H53" i="1"/>
  <c r="D15" i="2"/>
  <c r="I12" i="8"/>
  <c r="I9" i="8"/>
  <c r="I35" i="2"/>
  <c r="I11" i="9"/>
  <c r="J11" i="9" s="1"/>
  <c r="I12" i="7"/>
  <c r="J12" i="7" s="1"/>
  <c r="G27" i="1"/>
  <c r="F27" i="1"/>
  <c r="F41" i="1" s="1"/>
  <c r="I13" i="6"/>
  <c r="J13" i="6" s="1"/>
  <c r="I229" i="8"/>
  <c r="J229" i="8" s="1"/>
  <c r="D21" i="2"/>
  <c r="J21" i="2" s="1"/>
  <c r="I23" i="8"/>
  <c r="I18" i="3"/>
  <c r="I367" i="2"/>
  <c r="I43" i="2"/>
  <c r="D80" i="1" l="1"/>
  <c r="J367" i="2"/>
  <c r="C78" i="1"/>
  <c r="C11" i="1"/>
  <c r="J43" i="2"/>
  <c r="C35" i="1"/>
  <c r="C27" i="1" s="1"/>
  <c r="J35" i="2"/>
  <c r="J237" i="8"/>
  <c r="I64" i="1"/>
  <c r="K11" i="1"/>
  <c r="L11" i="1"/>
  <c r="L78" i="1"/>
  <c r="K13" i="1"/>
  <c r="J79" i="1"/>
  <c r="K78" i="1"/>
  <c r="E77" i="1"/>
  <c r="G77" i="1"/>
  <c r="J467" i="2"/>
  <c r="H12" i="1"/>
  <c r="H78" i="1" s="1"/>
  <c r="I78" i="1" s="1"/>
  <c r="J23" i="8"/>
  <c r="J9" i="8"/>
  <c r="J18" i="3"/>
  <c r="L11" i="2"/>
  <c r="M11" i="2"/>
  <c r="J25" i="2"/>
  <c r="J15" i="2"/>
  <c r="I38" i="1"/>
  <c r="H35" i="1"/>
  <c r="I35" i="1" s="1"/>
  <c r="H15" i="1"/>
  <c r="I16" i="1"/>
  <c r="H22" i="1"/>
  <c r="I22" i="1" s="1"/>
  <c r="I26" i="1"/>
  <c r="I28" i="1"/>
  <c r="H52" i="1"/>
  <c r="I52" i="1" s="1"/>
  <c r="I53" i="1"/>
  <c r="C40" i="1"/>
  <c r="C77" i="1" s="1"/>
  <c r="J12" i="8"/>
  <c r="H51" i="1"/>
  <c r="J109" i="6"/>
  <c r="J110" i="6"/>
  <c r="I11" i="2"/>
  <c r="J11" i="2" s="1"/>
  <c r="J107" i="6"/>
  <c r="D40" i="1"/>
  <c r="I14" i="2"/>
  <c r="H13" i="1"/>
  <c r="I9" i="3"/>
  <c r="J9" i="3" s="1"/>
  <c r="G41" i="1"/>
  <c r="C41" i="1"/>
  <c r="C80" i="1" s="1"/>
  <c r="J14" i="1"/>
  <c r="L41" i="1"/>
  <c r="J27" i="1"/>
  <c r="I10" i="6"/>
  <c r="J10" i="6" s="1"/>
  <c r="F80" i="1"/>
  <c r="D14" i="2"/>
  <c r="K79" i="1" l="1"/>
  <c r="I13" i="1"/>
  <c r="H79" i="1"/>
  <c r="D77" i="1"/>
  <c r="G80" i="1"/>
  <c r="L80" i="1"/>
  <c r="J14" i="2"/>
  <c r="H27" i="1"/>
  <c r="H14" i="1"/>
  <c r="I15" i="1"/>
  <c r="H49" i="1"/>
  <c r="I49" i="1" s="1"/>
  <c r="I51" i="1"/>
  <c r="I12" i="1"/>
  <c r="H11" i="1"/>
  <c r="I11" i="1" s="1"/>
  <c r="J41" i="1"/>
  <c r="K27" i="1"/>
  <c r="J40" i="1"/>
  <c r="K14" i="1"/>
  <c r="L40" i="1"/>
  <c r="I79" i="1" l="1"/>
  <c r="K40" i="1"/>
  <c r="K41" i="1"/>
  <c r="L77" i="1"/>
  <c r="H41" i="1"/>
  <c r="I41" i="1" s="1"/>
  <c r="I27" i="1"/>
  <c r="H40" i="1"/>
  <c r="I40" i="1" s="1"/>
  <c r="I14" i="1"/>
  <c r="J80" i="1"/>
  <c r="J77" i="1"/>
  <c r="K80" i="1" l="1"/>
  <c r="K77" i="1"/>
  <c r="H77" i="1"/>
  <c r="I77" i="1" s="1"/>
  <c r="H80" i="1"/>
  <c r="I80" i="1" s="1"/>
  <c r="I487" i="2" l="1"/>
  <c r="J487" i="2" s="1"/>
</calcChain>
</file>

<file path=xl/comments1.xml><?xml version="1.0" encoding="utf-8"?>
<comments xmlns="http://schemas.openxmlformats.org/spreadsheetml/2006/main">
  <authors>
    <author>WStachera</author>
    <author>Magdalena Szczerba</author>
  </authors>
  <commentList>
    <comment ref="G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K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L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G7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F14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G144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F156" authorId="0">
      <text>
        <r>
          <rPr>
            <b/>
            <sz val="8"/>
            <color indexed="81"/>
            <rFont val="Tahoma"/>
            <family val="2"/>
            <charset val="238"/>
          </rPr>
          <t>MSzczerba: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122.701 zł</t>
        </r>
      </text>
    </comment>
    <comment ref="G156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8.000 zł</t>
        </r>
      </text>
    </comment>
  </commentList>
</comments>
</file>

<file path=xl/comments2.xml><?xml version="1.0" encoding="utf-8"?>
<comments xmlns="http://schemas.openxmlformats.org/spreadsheetml/2006/main">
  <authors>
    <author>WStachera</author>
  </authors>
  <commentLis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65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3.xml><?xml version="1.0" encoding="utf-8"?>
<comments xmlns="http://schemas.openxmlformats.org/spreadsheetml/2006/main">
  <authors>
    <author>WStachera</author>
  </authors>
  <commentLis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  <comment ref="B133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nowy projekt finansowany ze środków własnych</t>
        </r>
      </text>
    </comment>
  </commentList>
</comments>
</file>

<file path=xl/comments4.xml><?xml version="1.0" encoding="utf-8"?>
<comments xmlns="http://schemas.openxmlformats.org/spreadsheetml/2006/main">
  <authors>
    <author>MSWiA</author>
    <author>WStachera</author>
  </authors>
  <commentList>
    <comment ref="F43" authorId="0">
      <text>
        <r>
          <rPr>
            <b/>
            <sz val="8"/>
            <color indexed="81"/>
            <rFont val="Tahoma"/>
            <family val="2"/>
            <charset val="238"/>
          </rPr>
          <t>MSWiA:</t>
        </r>
        <r>
          <rPr>
            <sz val="8"/>
            <color indexed="81"/>
            <rFont val="Tahoma"/>
            <family val="2"/>
            <charset val="238"/>
          </rPr>
          <t xml:space="preserve">
kwota ma wpłynąć jako refundacja wydatków poniesionych w latach ubiegłych na rozpoczecie realizacji projektów w ramach POIiŚ</t>
        </r>
      </text>
    </comment>
    <comment ref="E190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E205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F205" authorId="1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<sst xmlns="http://schemas.openxmlformats.org/spreadsheetml/2006/main" count="2312" uniqueCount="371">
  <si>
    <t>Planowana wartość kosztorysowa zadania / planowane dochody uzyskane na realizację zadania</t>
  </si>
  <si>
    <t>Lp.</t>
  </si>
  <si>
    <t>Wyszczególnienie</t>
  </si>
  <si>
    <t>Wydatki ogółem, z tego:</t>
  </si>
  <si>
    <t>środki z budżetu krajowego, z tego:</t>
  </si>
  <si>
    <t>środki z budżetu województwa</t>
  </si>
  <si>
    <t>dotacja z budżetu województwa dla jos</t>
  </si>
  <si>
    <t>środki własne jos (poza budżetem)</t>
  </si>
  <si>
    <t>dotacje celowe z budżetu państwa</t>
  </si>
  <si>
    <t xml:space="preserve">dotacje z budżetu państwa na zadania zlecone </t>
  </si>
  <si>
    <t>dotacje celowe od innych jst</t>
  </si>
  <si>
    <t>środki z funduszy</t>
  </si>
  <si>
    <t>dotacje z budżetu państwa - kontrakt wojewódzki</t>
  </si>
  <si>
    <t>środki z budżetu UE, z tego:</t>
  </si>
  <si>
    <t>środki z Unii Europejskiej</t>
  </si>
  <si>
    <t>dotacje celowe / płatności z UE</t>
  </si>
  <si>
    <t>dotacje celowe / płatności z UE (poza budżetem)</t>
  </si>
  <si>
    <t>Dochody ogółem, z tego:</t>
  </si>
  <si>
    <t xml:space="preserve">środki z budżetu krajowego, z tego: </t>
  </si>
  <si>
    <t>Wydatki z budżetu województwa  - razem</t>
  </si>
  <si>
    <t>Dochody budżetu województwa  - razem</t>
  </si>
  <si>
    <t>środki na wkład własny krajowy</t>
  </si>
  <si>
    <t>Dochody budżetu województwa - razem</t>
  </si>
  <si>
    <t>Dochody budżetu województwa ogółem</t>
  </si>
  <si>
    <t>Koncepcja obejścia m Gryfice w ciągu drogi woj. Nr 105 (zachodnie obejscie Gryfic  
w powiązaniu  z drogą  nr 110, drogami gminnymi i powiatowymi)</t>
  </si>
  <si>
    <t>Lp</t>
  </si>
  <si>
    <t>Nazwa zadania 
(Lokalizacja)</t>
  </si>
  <si>
    <t>Klasyfikacja budżetowa</t>
  </si>
  <si>
    <t xml:space="preserve">Jednostka organizacyjna odpowiedzialna
za realizację </t>
  </si>
  <si>
    <t xml:space="preserve">dotacje celowe z budżetu państwa </t>
  </si>
  <si>
    <t xml:space="preserve">środki z funduszy </t>
  </si>
  <si>
    <t>I</t>
  </si>
  <si>
    <t>PROJEKTY  REALIZOWANE  W  RAMACH  RPO  WZ</t>
  </si>
  <si>
    <t>1.</t>
  </si>
  <si>
    <t>rozdz. 60001</t>
  </si>
  <si>
    <t>rozdz. 75861</t>
  </si>
  <si>
    <t>2.</t>
  </si>
  <si>
    <t>KONTRAKT</t>
  </si>
  <si>
    <t>ZZDW / WIiT
w ramach RPO</t>
  </si>
  <si>
    <t>rozdz. 60013</t>
  </si>
  <si>
    <t>WZRPO / WIiT</t>
  </si>
  <si>
    <t>3.</t>
  </si>
  <si>
    <t>4.</t>
  </si>
  <si>
    <t xml:space="preserve">                </t>
  </si>
  <si>
    <t>5.</t>
  </si>
  <si>
    <t>6.</t>
  </si>
  <si>
    <t>7.</t>
  </si>
  <si>
    <t>8.</t>
  </si>
  <si>
    <t>Przebudowa drogi woj. nr 203 na odcinku Iwięcino - Darłowo w ramach Osi II RPO (2007-2014)</t>
  </si>
  <si>
    <t>9.</t>
  </si>
  <si>
    <t>rodz. 75861</t>
  </si>
  <si>
    <t>10.</t>
  </si>
  <si>
    <t>rodz. 75861 / 60013</t>
  </si>
  <si>
    <t>11.</t>
  </si>
  <si>
    <t>Przebudowa drogi woj. nr 142 na odcinku Krzywnica - Lisowo w ramach Osi II RPO (2008-2012)</t>
  </si>
  <si>
    <t>12.</t>
  </si>
  <si>
    <t>Przebudowa drogi woj. nr 177 na odcinku Sośnica - Mirosławiec w ramach Osi II RPO (2008-2012)</t>
  </si>
  <si>
    <t>13.</t>
  </si>
  <si>
    <t>14.</t>
  </si>
  <si>
    <t>dotacja celowa od innych jst</t>
  </si>
  <si>
    <t>15.</t>
  </si>
  <si>
    <t>16.</t>
  </si>
  <si>
    <t>17.</t>
  </si>
  <si>
    <t>Budowa obejścia m. Darłowo w ciągu drogi nr 203 w ramach Osi II RPO (2011-2013)</t>
  </si>
  <si>
    <t>18.</t>
  </si>
  <si>
    <t>19.</t>
  </si>
  <si>
    <t>Przebudowa drogi woj. nr 114 na odcinku Trzebież - Police w ramach Osi II RPO (2008-2013)</t>
  </si>
  <si>
    <t>20.</t>
  </si>
  <si>
    <t>Przebudowa drogi woj. nr 163 na odcinku Czaplinek - Wałcz w ramach Osi II RPO (2007-2013)</t>
  </si>
  <si>
    <t>21.</t>
  </si>
  <si>
    <t>Przebudowa drogi woj. nr 151 na odcinku Węgorzyno - Ińsko w ramach Osi II RPO (2007-2012)</t>
  </si>
  <si>
    <t>22.</t>
  </si>
  <si>
    <t>23.</t>
  </si>
  <si>
    <t>24.</t>
  </si>
  <si>
    <t>25.</t>
  </si>
  <si>
    <t>26.</t>
  </si>
  <si>
    <t>27.</t>
  </si>
  <si>
    <t>Przebudowa przejścia przez m. Sławoborze w ciągu drogi nr 162 w ramach Osi II RPO (2007-2012)</t>
  </si>
  <si>
    <t>28.</t>
  </si>
  <si>
    <t>Budowa obejścia m. Trzebiatów - połączenie dróg nr 109 i 103 w ramach Osi II RPO (2010-2012)</t>
  </si>
  <si>
    <t>29.</t>
  </si>
  <si>
    <t>30.</t>
  </si>
  <si>
    <t>Modernizacja kolejowego taboru pasażerskiego o napędzie elektrycznym w ramach Osi II RPO (2013-2014)</t>
  </si>
  <si>
    <t>II</t>
  </si>
  <si>
    <t>PROJEKTY  REALIZOWANE  W  RAMACH  IW  INTERREG IV A</t>
  </si>
  <si>
    <t>środki z budżetu UE, w tego:</t>
  </si>
  <si>
    <t>Przebudowa i rozbudowa przejścia drogowego przez m. Pilchowo na drodze woj. nr 115  (2010)</t>
  </si>
  <si>
    <t>ZZDW / w ramach INTERREG IV A</t>
  </si>
  <si>
    <t>31.</t>
  </si>
  <si>
    <t>x</t>
  </si>
  <si>
    <t>32.</t>
  </si>
  <si>
    <t>fundusze pomocowe (refundacja)</t>
  </si>
  <si>
    <t>Przebudowa i rozbudowa przejścia drogowego przez m. Gryfino na drodze woj. Nr 120 w ramach IW INTERREG IV A (2011-2012)</t>
  </si>
  <si>
    <t>Zadanie zostało przeniesione do części III POZOSTAŁE PROJEKTY INWESTYCYJNE (poz.44.)</t>
  </si>
  <si>
    <t>III</t>
  </si>
  <si>
    <t>PROJEKTY  REALIZOWANE  W  RAMACH PROGRAMU  OPERACYJNEGO INFRASTRUKTURA I ŚRODOWISKO</t>
  </si>
  <si>
    <t>WIiT 
w ramach
 POiŚ</t>
  </si>
  <si>
    <t>środki z funduszy celowych</t>
  </si>
  <si>
    <t xml:space="preserve">dotacje celowe z budzetu państwa </t>
  </si>
  <si>
    <t>33.</t>
  </si>
  <si>
    <t>Zakup elektrycznych zespołów trakcyjnych w ramach PO Infrastruktura i Środowisko (2013-2015)</t>
  </si>
  <si>
    <t>WIiT</t>
  </si>
  <si>
    <t>rozdz. 
60003</t>
  </si>
  <si>
    <t>środki z funduszy celowych - Fundusz Kolejowy</t>
  </si>
  <si>
    <t>rozdz. 
60001</t>
  </si>
  <si>
    <t>IV</t>
  </si>
  <si>
    <t>34.</t>
  </si>
  <si>
    <t>WIT</t>
  </si>
  <si>
    <t>Zakup taboru kolejowego do przewozów regionalnych (2012-2013)</t>
  </si>
  <si>
    <t>Przebudowa mostu zwodzonego w Dziwnowie w ciągu drogi nr 102 (2010-2012)</t>
  </si>
  <si>
    <t>ZZDW w Koszalinie</t>
  </si>
  <si>
    <t>rozdz. 60095</t>
  </si>
  <si>
    <t>Dokumentacje techniczne na zadania drogowe (2011-2016)</t>
  </si>
  <si>
    <t>Przebudowa dróg wojewódzkich (2011-2012)</t>
  </si>
  <si>
    <t>Wypłata odszkodowań pod planowane inwestycje drogowe (2012-2013)</t>
  </si>
  <si>
    <t>Poprawienie zewnętrznej i wewnętrznej dostępności obszaru Europy Środkowej w ramach działania 2.1  Programu dla Europy Środkowej  - EWT (2008-2012)</t>
  </si>
  <si>
    <t>rodz. 60095</t>
  </si>
  <si>
    <t>Doradca zawodowy i pośrednik pracy w standardach unijnych w ramach działania 6.1. PO KL (2008-2012)</t>
  </si>
  <si>
    <t xml:space="preserve">Zadanie o nakładach zrealizowanych do końca 2010 r. w kwocie 7.147.888 zł zostało wyjęte z WPF a w jego miesce wprowadzono nowe zadanie pn."Pramida kompetencji" </t>
  </si>
  <si>
    <t>Wojewódzki Urząd Pracy w Szczecinie</t>
  </si>
  <si>
    <t>rozdz. 85395</t>
  </si>
  <si>
    <t>rozdz. 75862</t>
  </si>
  <si>
    <t>Regionalny Ośrodek Polityki Społecznej</t>
  </si>
  <si>
    <t>rodz. 
75862</t>
  </si>
  <si>
    <t>rozdz. 
85395</t>
  </si>
  <si>
    <t>rozdz. 
75862</t>
  </si>
  <si>
    <t>rozdz. 75071</t>
  </si>
  <si>
    <t>rodz.
 75071</t>
  </si>
  <si>
    <t>Z korzyścią dla regionu. Rozwój Ekonomii Społecznej w ramach działania 7.2 PO KL (2009-2012)</t>
  </si>
  <si>
    <t>rodz.
 75862</t>
  </si>
  <si>
    <t>rozdz. 15013</t>
  </si>
  <si>
    <t>Inwestycja w wiedzę motorem rozwoju innowacyjności w regionie w ramach działania 8.2 PO KL (2008-2013)</t>
  </si>
  <si>
    <t>Zachodniopomorskie talenty - regionalny system stypendialny w ramach działania 9.1 PO KL (2009-2013)</t>
  </si>
  <si>
    <t>rozdz.
75862</t>
  </si>
  <si>
    <t>rozdz. 85332</t>
  </si>
  <si>
    <t>rodz. 
85332</t>
  </si>
  <si>
    <t>Projekt pn. "Rozwój sieci centrów obsługi inwestorów i eksporterów" w ramach PO Innowacyjna Gospodarka, Priorytetu VI, Działania 6.2. (2010-2015)</t>
  </si>
  <si>
    <t>Centrum Obsługi Inwestorów i Eksporterów</t>
  </si>
  <si>
    <t>rozdz. 15011</t>
  </si>
  <si>
    <t>rodz. 
15011</t>
  </si>
  <si>
    <t>Wzrost atrakcyjności inwestycyjnej Województwa Zachodniopomorskiego - Promocja walorów inwestycyjnych Województwa Zachodniopomorskiego  - etap I i II  w ramach osi I RPO  (2012-2014)</t>
  </si>
  <si>
    <t>Misje eksportowe - etap I i II w ramach osi I RPO (2012-2014)</t>
  </si>
  <si>
    <t>dotacje celowe od innych jst (pomoc finansowa i porozumienia)</t>
  </si>
  <si>
    <t>Centrum Zabiegowe z zapleczem łóżkowym w Szpitalu Wojewódzkim w Szczecinie w ramach osi VII RPO (2008-2013)</t>
  </si>
  <si>
    <t xml:space="preserve">Wojewódzki Szpital Zespolony w Szczecinie 
</t>
  </si>
  <si>
    <t>rozdz. 85111</t>
  </si>
  <si>
    <t>środki własne jos</t>
  </si>
  <si>
    <t>X</t>
  </si>
  <si>
    <t xml:space="preserve">Specjalistyczny Szpital im. A. Sokołowskiego 
w Szczecinie - Zdunowo 
</t>
  </si>
  <si>
    <t>dotacja z budżetu wojewodztwa dla jos</t>
  </si>
  <si>
    <t xml:space="preserve">SPS ZOZ ZDROJE Szczecin 
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</si>
  <si>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</si>
  <si>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</si>
  <si>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80130
85410</t>
  </si>
  <si>
    <t>Opracowanie projektu i modernizacja obiektu przy ul. J. Sowińskiego 68 w Szczecinie w zakresie montażu klimatyzacji (2011-2012)</t>
  </si>
  <si>
    <t>Zachodniopomorskie Centrum Doskonalenia Nauczycieli - nadzór WEiS</t>
  </si>
  <si>
    <t>rozdz. 80146</t>
  </si>
  <si>
    <t>Klasyfikacja budże towa</t>
  </si>
  <si>
    <t>rozdz. 75018</t>
  </si>
  <si>
    <t>Konsolidacja Urzędu Marszałkowskiego Województwa Zachodniopomorskiego w jednej siedzibie I etap (2011 - 2012)</t>
  </si>
  <si>
    <t>Wydział Administracyjny</t>
  </si>
  <si>
    <t>Adaptacja poddasza na potrzeby biurowe w budynku położonym w Szczecinie przy ul.Szafera 10 (2010-2012)</t>
  </si>
  <si>
    <t>Wydział Inwestycji i Nieruchomości</t>
  </si>
  <si>
    <t>rozdz. 70005</t>
  </si>
  <si>
    <t>e-Administracja i e-Turystyka w województwie zachodniopomorskim (2011-2013) w ramach działania 3.2 Osi III RPO WZ</t>
  </si>
  <si>
    <t>Wydział Społeczeństwa Informacyjnego i Informatyki</t>
  </si>
  <si>
    <t>rozdz. 60052</t>
  </si>
  <si>
    <t>Adaptacja II piętra w budynku położonym w Szczecinie przy ul. Sokołowskiego na lokale mieszkalne (2011-2012)</t>
  </si>
  <si>
    <t>Główny Punkt Informacyjny Funduszy Europejskich (GPI) przy ul.Kuśnierskiej 12b w ramach PO Pomoc Techniczna  (2009-2015)</t>
  </si>
  <si>
    <t>Wydział Zarządzania RPO</t>
  </si>
  <si>
    <t>Kompleksowy program wspierania kluczowych obszarów funkcjonowania i kompetencji kadr Urzędu Marszałkowskiego Województwa Zachodniopomorskiego w ramach działania 5.2.PO KL   (2010-2012)</t>
  </si>
  <si>
    <t>Wydział Organizacji i Rozwoju Zasobów Ludzkich</t>
  </si>
  <si>
    <t xml:space="preserve">Projekty w ramach Pomocy technicznej - Oś VIII RPO WZ (2007-2015) </t>
  </si>
  <si>
    <t xml:space="preserve">dotacje z budżetu województwa dla jos </t>
  </si>
  <si>
    <t>środki budżetu województwa (np. zwrot podatku VAT)</t>
  </si>
  <si>
    <t>Rozbudowa Muzeum Narodowego w Szczecinie - Muzeum Morskie (2011-2013)</t>
  </si>
  <si>
    <t>Muzeum Narodowe 
w Szczecinie - nadzór WKNiDN</t>
  </si>
  <si>
    <t>rozdz. 92118</t>
  </si>
  <si>
    <t>Budowa pawilonu wystawowego służącego celom Centrum Dialogu Przełomy w ramach RPO WZ, Osi VI: Rozwój funkcji Metropolitarnych (2009-2014)</t>
  </si>
  <si>
    <t>Muzeum Narodowe
 w Szczecinie - nadzór WKNiDN</t>
  </si>
  <si>
    <t>Opera na Zamku 
w Szczecinie - nadzór WKNiDN</t>
  </si>
  <si>
    <t>rozdz. 92106</t>
  </si>
  <si>
    <t>Rozbudowa Teatru Polskiego w Szczecinie 
(2011 - 2013)</t>
  </si>
  <si>
    <t>Teatr Polski w Szczecinie - nadzór WKNiDN</t>
  </si>
  <si>
    <t>Modernizacja skrzydła północnego Zamku Książąt Pomorskich w Szczecinie w ramach RPO WZ, Osi VI: Rozwój funkcji Metropolitarnych (2012 - 2014)</t>
  </si>
  <si>
    <t>Zamek Książąt Pomorskich 
 w Szczecinie - nadzór WKNiDN</t>
  </si>
  <si>
    <t>rozdz. 92109</t>
  </si>
  <si>
    <t xml:space="preserve">I PRZEDSIĘWZIĘCIA  FINANSOWANE PRZY WSPÓŁUDZIALE ŚRODKÓW, O KTÓRYCH MOWA W ART. 5 UST. 1 PKT. 2 I 3 UFP W ZAKRESIE ROLNICTWA I OCHRONY ŚRODOWISKA </t>
  </si>
  <si>
    <t>Wielkość nakładów poniesiona do końca 2011 r. / uzyskanych dochodów</t>
  </si>
  <si>
    <t>WYDATKI Z BUDŻETU OGÓŁEM, z tego:</t>
  </si>
  <si>
    <t xml:space="preserve"> - wydatki bieżące</t>
  </si>
  <si>
    <t xml:space="preserve"> - wydatki majątkowe</t>
  </si>
  <si>
    <t xml:space="preserve">środki na wkład własny krajowy </t>
  </si>
  <si>
    <t>MAJĄTKOWE</t>
  </si>
  <si>
    <t xml:space="preserve">Zachodniopomorski Zarząd Melioracji i Urządzeń Wodnych pod nadzorem Wydziału Rolnictwa i Rybactwa
</t>
  </si>
  <si>
    <t>rozdz. 01008</t>
  </si>
  <si>
    <t>Zachodniopomorski Zarząd Melioracji i Urządzeń Wodnych pod nadzorem Wydziału Rolnictwa i Rybactwa</t>
  </si>
  <si>
    <t>rozdz. 05011</t>
  </si>
  <si>
    <t>BIEŻĄCE</t>
  </si>
  <si>
    <t xml:space="preserve">Wydział Rolnictwa i Rybactwa
</t>
  </si>
  <si>
    <t>Budowa niebieskiego korytarza ekologicznego wzdłuż doliny rzeki Iny i jej dopływów w ramach Instrumentu Finansowego LIFE+ (2011-2016)</t>
  </si>
  <si>
    <t>Ochrona  gruntów rolnych - zadanie  polegające na dofinansowywaniu, w formie dotacji celowych, gminom i powiatom budowy i modernizacji dróg dojazdowych do gruntów leśnych oraz zakupu sprzętu informatycznego (2011-2016)</t>
  </si>
  <si>
    <t>Wydział Rolnictwa i Rybactwa</t>
  </si>
  <si>
    <t>rozdz. 01095</t>
  </si>
  <si>
    <t>Likwidacja mogilników zawierających przeterminowane środki ochrony roślin znajdujących się na terenie województwa zachodniopomorskiego (2010 r.)</t>
  </si>
  <si>
    <t xml:space="preserve">WRiOŚ </t>
  </si>
  <si>
    <t>rozdz. 90002</t>
  </si>
  <si>
    <t xml:space="preserve">Przepławki dla ryb  (2010-2014) w ramach Programu Operacyjnego "Zrównoważony rozwój sektora rybołówstwa i nadbrzeżnych obszarów rybackich", Środka - Ochrona i rozwój fauny i flory wodnej, Osi priorytetowej 3 - Środki służące wspólnemu interesowi </t>
  </si>
  <si>
    <t xml:space="preserve">Zachodniopomorski Zarząd Melioracji i Urządzeń Wodnych pod nadzorem Wydziału Rolnictwa i Ochrony Środowiska 
</t>
  </si>
  <si>
    <t>Poprawianie i rozwijanie infrastruktury związanej rozwojem i dostosowaniem rolnictwa i leśnictwa (2009-2014), w ramach PROW, Osi 1, Działania 125</t>
  </si>
  <si>
    <t>ZZMiUW / WRiOŚ 
w ramach PROW</t>
  </si>
  <si>
    <t xml:space="preserve">Wydział  Programów Rozwoju Obszarów Wiejskich 
</t>
  </si>
  <si>
    <t>rozdz. 01041</t>
  </si>
  <si>
    <t>Higiena i bezpieczeństwo żywności w regionie Morza Bałtyckiego - Focus on Food w ramach Współpracy Transgranicznej Południowy Bałtyk - EWT (2011-2013)</t>
  </si>
  <si>
    <t>rozdz.
75095</t>
  </si>
  <si>
    <t>rozdz. 75095</t>
  </si>
  <si>
    <t xml:space="preserve">II. POZOSTAŁE PRZEDSIĘWZIĘCIA W ZAKRESIE ROLNICTWA I OCHRONY ŚRODOWISKA </t>
  </si>
  <si>
    <t>Likwidacja mogilników zawierających przeterminowane środki ochrony roślin znajdujących się na terenie województwa zachodniopomorskiego (2010-2011)</t>
  </si>
  <si>
    <t>Wydział Ochrony Środowiska</t>
  </si>
  <si>
    <t>Zbiornik retencyjny na rzece Dzierżęcince (2012-2013)</t>
  </si>
  <si>
    <t>I PRZEDSIĘWZIĘCIA  FINANSOWANE PRZY WSPÓŁUDZIALE ŚRODKÓW, O KTÓRYCH MOWA W ART. 5 UST. 1 PKT. 2 I 3 UFP  W ZAKRESIE KULTURY FIZYCZNEJ I TURYSTYKI</t>
  </si>
  <si>
    <t>"Rewitalizacja europejskiego szlaku kulturowego na obszarze Południowego Bałtyku - Pomorski Szlak św. Jakuba" w ramach Programu Współpracy Transgranicznej Południowy Bałtyk - EWT (2011-2013)</t>
  </si>
  <si>
    <t>Wydział Turystyki Gospodarki i Promocji</t>
  </si>
  <si>
    <t>rozdz.        63003</t>
  </si>
  <si>
    <t>rozdz. 
63003</t>
  </si>
  <si>
    <t>"MARRIAGE - Lepsze zarządzanie mariną, konsolidacja sieci przystani i marketingu turystyki wodnej w obszarze Południowego Bałtyku" w ramach Programu Współpracy Transgranicznej Południowy Bałtyk - EWT (2012-2014)</t>
  </si>
  <si>
    <t>"Zachodniopomorskie - Morze Przygody. Promocja turystyczna Województwa Zachodniopomorskiego" w ramach RPO WZ, Osi 5 (2012-2014)</t>
  </si>
  <si>
    <t>rozdz. 
75861</t>
  </si>
  <si>
    <t>"Zachodniopomorskie - Morze Przygody. Promocja turystyczna Województwa Zachodniopomorskiego i Szczecińskiego Obszaru Metropolitarnego" w ramach RPO WZ, Osi 6 (2012-2014)</t>
  </si>
  <si>
    <t>"Zachodniopomorskie - Morze Przygody. Promocja turystyczna Województwa Zachodniopomorskiego i Szczecińskiego Obszaru Metropolitarnego" w ramach RPO WZ, Osi 6 - zakupy inwestycyjne (2012-2014)</t>
  </si>
  <si>
    <t>II. POZOSTAŁE PRZEDSIĘWZIĘCIA W ZAKRESIE KULTURY FIZYCZNEJ  I TURYSTYKI</t>
  </si>
  <si>
    <t>Wydział Edukacji i Sportu</t>
  </si>
  <si>
    <t>rozdz.        92601</t>
  </si>
  <si>
    <t>rozdz.        71003</t>
  </si>
  <si>
    <t>rozdz. 
71003</t>
  </si>
  <si>
    <t xml:space="preserve">POZOSTAŁE PRZEDSIĘWZIĘCIA W ZAKRESIE KULTURY I OCHRONY DZIEDZICTWA NARODOWEGO </t>
  </si>
  <si>
    <t xml:space="preserve">MAJĄTKOWE </t>
  </si>
  <si>
    <t xml:space="preserve">I. PRZEDSIĘWZIĘCIA  FINANSOWANE PRZY WSPÓŁUDZIALE ŚRODKÓW, O KTÓRYCH MOWA W ART. 5 UST. 1 PKT. 2 I 3 UFP  W ZAKRESIE ADMINISTRACJI I  TELEKOMUNIKACJI </t>
  </si>
  <si>
    <t>Główny Punkt Informacyjny Funduszy Europejskich (GPI) przy ul.Kuśnierskiej 12b w ramach PO Pomoc Techniczna - zakupy inwestycyjne (2009-2015)</t>
  </si>
  <si>
    <t>Kompleksowy program wspierania kluczowych obszarów funkcjonowania i kompetencji kadr Urzędu Marszałkowskiego Województwa Zachodniopomorskiego w ramach działania 5.2.PO KL - zakupy inwestycyjne(2010-2012)</t>
  </si>
  <si>
    <t>I. PRZEDSIĘWZIĘCIA  FINANSOWANE PRZY WSPÓŁUDZIALE ŚRODKÓW, O KTÓRYCH MOWA W ART. 5 UST. 1 PKT. 2 I 3 UFP  W ZAKRESIE OŚWIATY I EDUKACYJNEJ OPIEKI WYCHOWAWCZEJ</t>
  </si>
  <si>
    <t>II. PRZEDSIĘWZIĘCIA POZOSTAŁE W ZAKRESIE OŚWIATY I EDUKACYJNEJ OPIEKI WYCHOWAWCZEJ</t>
  </si>
  <si>
    <t xml:space="preserve">
Sekretariat ds.Młodzieży Województwa Zachodnio - pomorskiego </t>
  </si>
  <si>
    <t>Projekt pn. "Akademia Zmienia Szczecin - Modernizacja Pałacu pod Globusem" w ramach RPO WZ, Osi VI: Rozwój Funkcji Metropolitarnych (2012-2014)</t>
  </si>
  <si>
    <t>dotacja z budżetu państwa (poza budżetem)</t>
  </si>
  <si>
    <t>rozdz. 80395</t>
  </si>
  <si>
    <t>Akademia Sztuki             w Szczecinie pod nadzorem Wydziału Edukacji  i Sportu</t>
  </si>
  <si>
    <t>dotacja z budżetu województwa</t>
  </si>
  <si>
    <t>środki z budżetu województwa (zwrot podatku VAT)</t>
  </si>
  <si>
    <t xml:space="preserve">POZOSTAŁE PRZEDSIĘWZIĘCIA W ZAKRESIE OCHRONY ZDROWIA </t>
  </si>
  <si>
    <t>Wydział Zdrowia</t>
  </si>
  <si>
    <t>Prognozowane nakłady / dochody z tytułu realizacji projektów
w latach 2014-2017 i latach następnych</t>
  </si>
  <si>
    <t>I. PRZEDSIĘWZIĘCIA  FINANSOWANE PRZY WSPÓŁUDZIALE ŚRODKÓW, O KTÓRYCH MOWA W ART. 5 UST. 1 PKT. 2 I 3 UFP  W ZAKRESIE POLITYKI  SPOŁECZNEJ  I  ROZWOJU  PRZEDSIĘBIORCZOŚCI</t>
  </si>
  <si>
    <t>Piramida kompetencji w ramach działania 6.1. PO KL (2008-2013)</t>
  </si>
  <si>
    <t>Piramida kompetencji - II edycja w ramach działania 6.1. PO KL (2013-2014)</t>
  </si>
  <si>
    <t>Priorytet: X. Pomoc Techniczna w ramach  PO KL - zakupy inwestycyjne (2007-2013)</t>
  </si>
  <si>
    <t>I. PRZEDSIĘWZIĘCIA  FINANSOWANE PRZY WSPÓŁUDZIALE ŚRODKÓW, O KTÓRYCH MOWA W ART. 5 UST. 1 PKT. 2 I 3 UFP  W ZAKRESIE TRANSPORTU I ŁĄCZNOŚCI</t>
  </si>
  <si>
    <t>PROJEKTY REALIZOWANE W RAMACH PROGRAMU DLA EUROPY ŚRODKOWEJ</t>
  </si>
  <si>
    <t>II. POZOSTAŁE  PRZEDSIĘWZIĘCIA W ZAKRESIE TRANSPORTU I ŁĄCZNOŚCI</t>
  </si>
  <si>
    <t>Pozostałe zadania z zakresu transportu - ubezpieczenie taboru kolejowego Województwa (2011-2016)</t>
  </si>
  <si>
    <t>Dofinansowanie kolejowych przewozów pasażerskich (2013-2016)</t>
  </si>
  <si>
    <t>Opracowanie planu transportowego Województwa Zachodniopomorskiego (2013-2014)</t>
  </si>
  <si>
    <t>Zimowe utrzymanie dróg (2011-2016)</t>
  </si>
  <si>
    <t>Obsługa i utrzymanie mostów zwodzonych i mostu granicznego (2011-2016)</t>
  </si>
  <si>
    <t>dotacja z budżetu województwa (m.in. dla jos)</t>
  </si>
  <si>
    <t>dotacje celowe z budżetu państwa (poza budżetem)</t>
  </si>
  <si>
    <t>środki  budżetu województwa (zwrot podatku VAT)</t>
  </si>
  <si>
    <t xml:space="preserve">Projekty w ramach Pomocy technicznej - Oś VIII RPO WZ - wydatki inwestycyjne  (2007-2015) </t>
  </si>
  <si>
    <t>Priorytet: X. Pomoc Techniczna w ramach  PO KL (2007-2015)</t>
  </si>
  <si>
    <t>Priorytet: X. Pomoc Techniczna - środki w ramach działania ROEFS w ramach PO KL (2008-2014)</t>
  </si>
  <si>
    <t>Przebudowa drogi woj. nr 124 na odcinku Cedynia - Chojna w ramach Osi II RPO (2008-2013)</t>
  </si>
  <si>
    <t>Przebudowa drogi woj. nr 205 na odcinku Krupy - Sławno w ramach Osi II RPO (2008-2013)</t>
  </si>
  <si>
    <t>Przebudowa drogi woj. nr 106 na odcinku Rzewnowo - Golczewo w ramach Osi II RPO (2008-2013)</t>
  </si>
  <si>
    <t>Przebudowa drogi woj. nr 203 na odcinku Koszalin - Iwięcino w ramach Osi II RPO (2007-2013)</t>
  </si>
  <si>
    <t>Przebudowa drogi woj. nr 107 na odcinku Dziwnówek - Kamień Pomorski w ramach Osi II RPO (2007-2013)</t>
  </si>
  <si>
    <t>Przebudowa drogi woj. nr 109 na odcinku Mrzeżyno - Trzebiatów w ramach Osi II RPO (2008-2013)</t>
  </si>
  <si>
    <t>Przebudowa drogi woj. nr 110 na odcinku Lędzin - Cerkwica w ramach Osi II RPO WZ (2008-2013)</t>
  </si>
  <si>
    <t>Przebudowa drogi woj. nr 156 na odcinku Mostkowo - Barlinek w ramach Osi II RPO WZ (2008-2013)</t>
  </si>
  <si>
    <t>Budowa obejścia m. Goleniów w ciągu drogi nr 113 w ramach Osi II RPO (2009-2013)</t>
  </si>
  <si>
    <t>Budowa obejścia m. Trzebiatów w ciągu drogi nr 102 w ramach Osi II RPO (2008-2013)</t>
  </si>
  <si>
    <t>Przebudowa przejścia przez m. Kołobrzeg w ciagu drogi nr 102 w ramach Osi II RPO (2008-2013)</t>
  </si>
  <si>
    <t>Budowa obejścia m. Szczecinek w ciągu drogi nr 172 w ramach Osi II RPO (2009-2013)</t>
  </si>
  <si>
    <t>Przebudowa drogi woj. nr 151 na odcinku Choszczno - Pełczyce w ramach Osi II RPO (2007-2013)</t>
  </si>
  <si>
    <t>Budowa obejścia m. Choszczno w ciągu drogi nr 151 w ramach Osi II RPO (2008-2013)</t>
  </si>
  <si>
    <t>Budowa obejścia m. Barlinek w ciągu drogi nr 151 w ramach Osi II RPO (2010-2013)</t>
  </si>
  <si>
    <t>Budowa obejścia m. Dobra w ciągu drogi nr 144 w ramach Osi II RPO (2011-2013)</t>
  </si>
  <si>
    <t>Przebudowa przejścia przez m. Połczyn Zdrój w ciągu drogi nr 163 (2008-2012)</t>
  </si>
  <si>
    <t>Przebudowa i rozbudowa mostu na Odrze Zachodniej na drodze woj. nr 120 w Gryfinie w ramach IW INTERREG IV A (2010-2012)</t>
  </si>
  <si>
    <t>Przebudowa i rozbudowa przejścia drogowego przez m. Krzywin na drodze woj. Nr 122 w ramach IW INTERREG IV A (2010-2013)</t>
  </si>
  <si>
    <t>Studium wykonalności Zachodniego Drogowego Obejścia Miasta Szczecina wraz z Raportem oddziaływania na środowisko (2009-2012)</t>
  </si>
  <si>
    <t>Objęcie nowych udziałów w Spółce Port Lotniczy Szczecin-Goleniów (2008-2020)</t>
  </si>
  <si>
    <t>Przebudowa i rozbudowa przejścia drogowego przez m. Tanowo na drodze woj. Nr 115  (2010-2013)</t>
  </si>
  <si>
    <t>w tym:</t>
  </si>
  <si>
    <t>środki z budżetu województwa *</t>
  </si>
  <si>
    <t xml:space="preserve">I. ZBIORCZE ZESTAWIENIE WYKONANYCH DOCHODÓW I WYDATKÓW PRZEDSIĘWZIĘĆ FINANSOWANYCH PRZY WSPÓŁUDZIALE ŚRODKÓW, O KTÓRYCH MOWA W ART. 5 UST. 1 PKT 2 I 3 UFP </t>
  </si>
  <si>
    <t xml:space="preserve">II. ZBIORCZE  ZESTAWIENIE WYKONANYCH DOCHODÓW I WYDATKÓW  W POZOSTAŁYCH  PRZEDSIĘWZIĘCIACH </t>
  </si>
  <si>
    <r>
      <t xml:space="preserve">Uwaga!  </t>
    </r>
    <r>
      <rPr>
        <i/>
        <sz val="8"/>
        <color theme="1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</si>
  <si>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r>
      <t xml:space="preserve">środki z budżetu krajowego, </t>
    </r>
    <r>
      <rPr>
        <i/>
        <sz val="10"/>
        <color theme="1"/>
        <rFont val="Arial CE"/>
        <charset val="238"/>
      </rPr>
      <t>z tego</t>
    </r>
    <r>
      <rPr>
        <b/>
        <i/>
        <sz val="10"/>
        <color theme="1"/>
        <rFont val="Arial CE"/>
        <family val="2"/>
        <charset val="238"/>
      </rPr>
      <t>:</t>
    </r>
  </si>
  <si>
    <r>
      <t xml:space="preserve">środki z budżetu krajowego, </t>
    </r>
    <r>
      <rPr>
        <i/>
        <sz val="10"/>
        <color theme="1"/>
        <rFont val="Arial CE"/>
        <charset val="238"/>
      </rPr>
      <t>z tego:</t>
    </r>
    <r>
      <rPr>
        <b/>
        <i/>
        <sz val="10"/>
        <color theme="1"/>
        <rFont val="Arial CE"/>
        <charset val="238"/>
      </rPr>
      <t xml:space="preserve"> </t>
    </r>
  </si>
  <si>
    <t>Rozbudowa przejścia drogowego przez m. Żarczyn na drodze woj. Nr 122 w ramach IW INTERREG IVA (2010-2013)</t>
  </si>
  <si>
    <t xml:space="preserve">II. PRZEDSIĘWZIĘCIA POZOSTAŁE W ZAKRESIE ADMINISTRACJI I  TELEKOMUNIKACJI </t>
  </si>
  <si>
    <t>Plan na
 2013 r. wg uchwały 
z dnia
 25.06.2013 r.</t>
  </si>
  <si>
    <t>Wykonanie od początku realizacji do 30.06.2013 r.</t>
  </si>
  <si>
    <t xml:space="preserve">w tym 
wykonanie za I półrocze 2013 r. </t>
  </si>
  <si>
    <t>Wykonanie 
na 
30.06.2013</t>
  </si>
  <si>
    <t>Wskaźnik wykonania 
w %
 (kol. 9 : 5)</t>
  </si>
  <si>
    <t>Projekt pn."Lider Zachodniopomorski" 
w ramach Programu "Młodzież w działaniu", Akcja 5.1. - Spotkania młodzieży i osób odpowiedzialnych za politykę młodzieżową (2013 - 2014)</t>
  </si>
  <si>
    <t>rozdz.        80195</t>
  </si>
  <si>
    <t>rozdz. 
80195</t>
  </si>
  <si>
    <t>Prowadzenie Punktu Informacji Europejskiej Europe Direct - Szczecin (2013 - 2017)</t>
  </si>
  <si>
    <t>rozdz.
80195</t>
  </si>
  <si>
    <t>Wieloletnie umowy mające na celu zapewnienie ciągłości działania Urzędu Marszałkowskiego Województwa Zachodniopomorskiego (2012 - 2015)</t>
  </si>
  <si>
    <t>Przebudowa Opery na Zamku w Szczecinie w ramach RPO WZ. Osi V: Rozwój Funkcji Metropolitarnych (2009-2014)</t>
  </si>
  <si>
    <t>Razem jesteśmy silni - centralne muzea pomorskie wspólnie tworzą nowoczesne wystawy promujące historię i kulturę Pomorza, w ramach INTERREG IV A (2008 - 2013)</t>
  </si>
  <si>
    <t>Gospodarowanie nieruchomościami należącymi do zasobu Województwa Zachodniopomorskiego (2010-2013)</t>
  </si>
  <si>
    <t xml:space="preserve">Modernizacja budynku internatu przy pl. Orła Białego 2 w Szczecinie Akademii Sztuki w Szczecinie (2013-2014) </t>
  </si>
  <si>
    <t>WYKONANIE OD POCZĄTKU REALIZACJI DO 30.06.2013 r.</t>
  </si>
  <si>
    <t>Monitoring  i analizy porealizacyjne inwestycji (2013-2016)</t>
  </si>
  <si>
    <t>Przebudowa i rozbudowa przejścia drogowego przez m. Gryfino na drodze woj. Nr 120 (2011-2013)</t>
  </si>
  <si>
    <t>Przebudowa drogi woj. nr 167 na odcinku Koszalin - droga nr 168 w ramach Osi II RPO (2008-2014)</t>
  </si>
  <si>
    <t>Budowa obejścia w m. Gościno w ciągu drogi nr 162 w ramach Osi II RPO (2010-2013)</t>
  </si>
  <si>
    <t xml:space="preserve">w tym:
wykonanie za I półrocze 2013 r. </t>
  </si>
  <si>
    <t>Wydział Zarządzania RPO , Wydział Wdrażania RPO, Wydział Organizacji i Rozwoju Zasobów Ludzkich</t>
  </si>
  <si>
    <t xml:space="preserve">WIiT
</t>
  </si>
  <si>
    <t>Zachodniopomorskie talenty - regionalny system stypendialny - IV edycja w ramach działania 9.1 PO KL (2013-2015)</t>
  </si>
  <si>
    <t>środki z budzetu województwa</t>
  </si>
  <si>
    <t>Załącznik Nr  2</t>
  </si>
  <si>
    <t xml:space="preserve">WYKONANANIE  W OKRESIE I PÓŁROCZA 2013 ROKU DOCHODÓW I WYDATKÓW  PLANOWANYCH NA PRZEDSIĘWZIĘCIA  UJĘTE W WPF I  FINANSOWANE ZE ŚRODKÓW WŁASNYCH ORAZ PRZY WSPÓŁUDZIALE ŚRODKÓW, O KTÓRYCH MOWA W ART. 5 UST. 1 PKT. 2 I 3 UFP - WG ŹRÓDEŁ FINANSOWANIA </t>
  </si>
  <si>
    <t>Wydział Współpracy Terytorialnej</t>
  </si>
  <si>
    <t>WWT</t>
  </si>
  <si>
    <t>Wydział Administracyjny
Wydział Rolnictwa 
i Rybactwa
Wydział Wdrażania RPO
Wydział Zarządzania Strategicznego
Wydział Programów Rozwoju Obszarów Wiejskich</t>
  </si>
  <si>
    <t>Wydatki z budżetu województwa ogółem, z tego:</t>
  </si>
  <si>
    <t>Zrealizowane nakłady / dochody 
w 2012 roku</t>
  </si>
  <si>
    <t>Regionalne Biuro Gospodarki Przestrzennej Województwa Zachodniopomorskiego w Szczecinie pod nadzorem Wydziału  Zarządzania Strategicznego</t>
  </si>
  <si>
    <t>Projekt pn. "Partnerstwo miejsko - wiejskie w obszarach metropolitalnych  - URMA" w ramach programu INTERREG IVC (2011-2015)</t>
  </si>
  <si>
    <t>Poręczenie kredytu dla Szpitala Specjalistycznego 
w Szczecinie Zdunowie (2014-2022)*</t>
  </si>
  <si>
    <t>Poręczenie kredytu dla Szpitala Wojewódzkiego 
w Koszalinie (2009-2017)</t>
  </si>
  <si>
    <t>Poręczenie kredytu dla Samodzielnego Publicznego Wojewódzkiego Zakładu Gruźlicy i Chorób Płuc w Szczecinie - następca prawny Szpital Specjalistyczny 
w Szczecinie Zdunowie (2006-2016)</t>
  </si>
  <si>
    <t>PLAN PO ZMIANACH WYNIKAJĄCY Z UCHWAŁY NR XXVI/368/13 SWZ Z DNIA 25 CZERWCA 2013 R.</t>
  </si>
  <si>
    <t>Wskaźnik wykonania 
w % 
(kol. 8 : 3)</t>
  </si>
  <si>
    <t>Wskaźnik wykonania 
w %
 (kol. 10 : 6)</t>
  </si>
  <si>
    <t>Odchylenie wykonania od planu za I półrocze 2013 r. (kol. 10 - 50% kol. 6)</t>
  </si>
  <si>
    <r>
      <t xml:space="preserve">* </t>
    </r>
    <r>
      <rPr>
        <i/>
        <sz val="8"/>
        <color theme="1"/>
        <rFont val="Arial CE"/>
        <charset val="238"/>
      </rPr>
      <t>W latach 2019 - 2022  kwota poręczenia dla Szpitala Specjalistycznego w Szczecinie Zdunowie wynosi</t>
    </r>
    <r>
      <rPr>
        <b/>
        <i/>
        <sz val="8"/>
        <color theme="1"/>
        <rFont val="Arial CE"/>
        <charset val="238"/>
      </rPr>
      <t xml:space="preserve"> 3.680.000 zł.
**</t>
    </r>
    <r>
      <rPr>
        <i/>
        <sz val="8"/>
        <color theme="1"/>
        <rFont val="Arial CE"/>
        <charset val="238"/>
      </rPr>
      <t>Brak dostosowania wykonania na dzień 25.06.2013 r.  dotacji celowej z budżetu państwa otrzymanej w roku 2012  z powodu braku informacji z Ministerstwa Zdrowia</t>
    </r>
  </si>
  <si>
    <t>Pomoc Techniczna w ramach  Programu EWT INTERREG IV A (2011-2013)*</t>
  </si>
  <si>
    <t>*Brak dostosowania wykonania 2012 r. na dzień 25.06.2013 r.  do rzeczywiście otrzymanych dochodów i poniesionych wydatków.</t>
  </si>
  <si>
    <t>Profesjonalne kadry - lepsze jutro w ramach działania 7.1 PO KL (2007-2012)</t>
  </si>
  <si>
    <t>Profesjonalne kadry - lepsze jutro II w ramach działania 7.1 PO KL (2012-2015)</t>
  </si>
  <si>
    <t>Koordynacja na rzecz aktywnej integracji w ramach działania 1.2 PO KL (2009-2013)</t>
  </si>
  <si>
    <t>Rozbudowa części środkowej budynku głównego wraz z dostosowaniem oddziałów chirurgicznych do wymogów fachowo-sanitarnych  w Specjalistycznym Szpitalu im. A.Sokołowskiego w Szczecinie-Zdunowie w ramach osi VII RPO (2006-2013)</t>
  </si>
  <si>
    <t xml:space="preserve">Załącznik Nr 2A  </t>
  </si>
  <si>
    <t>Załącznik Nr 2B</t>
  </si>
  <si>
    <t>Załącznik Nr 2C</t>
  </si>
  <si>
    <t>Załącznik Nr 2D</t>
  </si>
  <si>
    <t>Załącznik Nr 2E</t>
  </si>
  <si>
    <t>Załącznik Nr 2F</t>
  </si>
  <si>
    <t>Załącznik Nr 2G</t>
  </si>
  <si>
    <t>Załącznik Nr 2H</t>
  </si>
  <si>
    <t>Załącznik Nr  2I</t>
  </si>
  <si>
    <t>Pomoc Techniczna Programu Operacyjnego „Zrównoważony rozwój sektora rybołówstwa i nadbrzeżnych obszarów rybackich - Oś 5 (2009-2015)</t>
  </si>
  <si>
    <t>Przepławki dla ryb  w ramach Programu Operacyjnego "Zrównoważony rozwój sektora rybołówstwa i nadbrzeżnych obszarów rybackich", Środka - Ochrona i rozwój fauny i flory wodnej, Osi priorytetowej 3 - Środki służące wspólnemu interesowi  (2010-2012)</t>
  </si>
  <si>
    <t>Zabezpieczenie przeciwpowodziowe doliny rzeki Regi ze szczególnym uwzględnieniem m. Trzebiatów, w ramach PO IiŚ, Priorytetu III, Działania 3.1. (2010-2013)</t>
  </si>
  <si>
    <t>Zabezpieczenie przeciwpowodziowe doliny rzeki Parsęty poniżej m. Osówko, w tym m. Kołobrzegu, Karlina i Białogardu , w ramach PO IiŚ, Priorytetu III, Działania 3.1. (2010-2013)</t>
  </si>
  <si>
    <t>Pomoc Techniczna PO „Zrównoważony rozwój sektora rybołówstwa i nadbrzeżnych obszarów rybackich - Oś 5 - zakupy inwestycyjne (2009-2012)</t>
  </si>
  <si>
    <t>Budowa niebieskiego korytarza ekologicznego wzdłuż doliny rzeki Regi i jej dopływów w ramach Instrumentu Finansowego LIFE+ (2012-2017)</t>
  </si>
  <si>
    <t>Poprawianie i rozwijanie infrastruktury związanej rozwojem i dostosowaniem rolnictwa i leśnictwa, w ramach PROW, Osi 1, Działania 125 (2007-2013)</t>
  </si>
  <si>
    <t>Pomoc Techniczna w ramach PROW, Schematu I, III i III (2007-2015)</t>
  </si>
  <si>
    <t>Pomoc Techniczna, w ramach PROW, Schematu I, III i III - zakupy inwestycyjne (2007-2013)</t>
  </si>
  <si>
    <t>Program "Moje boisko Orlik 2011" (2008-2012)</t>
  </si>
  <si>
    <t>I. PRZEDSIĘWZIĘCIA  FINANSOWANE PRZY WSPÓŁUDZIALE ŚRODKÓW, O KTÓRYCH MOWA W ART. 5 UST. 1 PKT. 2 I 3 UFP 
W ZAKRESIE PLANOWANIA PRZESTRZENNEGO</t>
  </si>
  <si>
    <r>
      <t xml:space="preserve">Prace modernizacyjne i adaptacyjne w nieruchomościach należących do zasobu Województwa </t>
    </r>
    <r>
      <rPr>
        <sz val="10"/>
        <color theme="1"/>
        <rFont val="Arial CE"/>
        <charset val="238"/>
      </rPr>
      <t>(jednoroczne zadania inwestycyjne)</t>
    </r>
  </si>
  <si>
    <t>Rozbudowa Szpitala Dziecięcego SPS ZOZ "Zdroje" 
w Szczecinie - utworzenie Zachodniopomorskiego Centrum Opieki Nad Kobietą i Dzieckiem (2010-2014)**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</si>
</sst>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"/>
    <numFmt numFmtId="165" formatCode="0.0"/>
    <numFmt numFmtId="167" formatCode="#,##0_ ;\-#,##0\ 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theme="1"/>
      <name val="Arial CE"/>
      <family val="2"/>
      <charset val="238"/>
    </font>
    <font>
      <b/>
      <i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8"/>
      <color theme="1"/>
      <name val="Arial CE"/>
      <charset val="238"/>
    </font>
    <font>
      <b/>
      <sz val="18"/>
      <color theme="1"/>
      <name val="Arial CE"/>
      <charset val="238"/>
    </font>
    <font>
      <b/>
      <sz val="16"/>
      <color theme="1"/>
      <name val="Arial CE"/>
      <charset val="238"/>
    </font>
    <font>
      <b/>
      <i/>
      <sz val="14"/>
      <color theme="1"/>
      <name val="Arial Black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9"/>
      <color theme="1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 CE"/>
      <family val="2"/>
      <charset val="238"/>
    </font>
    <font>
      <b/>
      <sz val="8"/>
      <color theme="1"/>
      <name val="Arial CE"/>
      <charset val="238"/>
    </font>
    <font>
      <sz val="9"/>
      <color theme="1"/>
      <name val="Arial CE"/>
      <family val="2"/>
      <charset val="238"/>
    </font>
    <font>
      <b/>
      <i/>
      <sz val="10"/>
      <color theme="1"/>
      <name val="Arial CE"/>
      <charset val="238"/>
    </font>
    <font>
      <b/>
      <i/>
      <sz val="9"/>
      <color theme="1"/>
      <name val="Arial CE"/>
      <charset val="238"/>
    </font>
    <font>
      <sz val="11"/>
      <color theme="1"/>
      <name val="Arial CE"/>
      <family val="2"/>
      <charset val="238"/>
    </font>
    <font>
      <sz val="10"/>
      <color theme="1"/>
      <name val="Arial CE"/>
      <charset val="238"/>
    </font>
    <font>
      <b/>
      <sz val="11"/>
      <color theme="1"/>
      <name val="Arial CE"/>
      <family val="2"/>
      <charset val="238"/>
    </font>
    <font>
      <sz val="12"/>
      <color theme="1"/>
      <name val="Arial CE"/>
      <charset val="238"/>
    </font>
    <font>
      <sz val="8"/>
      <color theme="1"/>
      <name val="Arial CE"/>
      <charset val="238"/>
    </font>
    <font>
      <b/>
      <i/>
      <sz val="8"/>
      <color theme="1"/>
      <name val="Arial CE"/>
      <charset val="238"/>
    </font>
    <font>
      <i/>
      <sz val="9"/>
      <color theme="1"/>
      <name val="Arial CE"/>
      <charset val="238"/>
    </font>
    <font>
      <b/>
      <sz val="14"/>
      <color theme="1"/>
      <name val="Arial Black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 CE"/>
      <charset val="238"/>
    </font>
    <font>
      <sz val="14"/>
      <color theme="1"/>
      <name val="Arial Black"/>
      <family val="2"/>
      <charset val="238"/>
    </font>
    <font>
      <sz val="8"/>
      <color theme="1"/>
      <name val="Arial Black"/>
      <family val="2"/>
      <charset val="238"/>
    </font>
    <font>
      <sz val="9"/>
      <color theme="1"/>
      <name val="Arial"/>
      <family val="2"/>
      <charset val="238"/>
    </font>
    <font>
      <b/>
      <i/>
      <sz val="8"/>
      <color theme="1"/>
      <name val="Arial CE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 Black"/>
      <family val="2"/>
      <charset val="238"/>
    </font>
    <font>
      <i/>
      <sz val="8"/>
      <color theme="1"/>
      <name val="Arial"/>
      <family val="2"/>
      <charset val="238"/>
    </font>
    <font>
      <b/>
      <sz val="7"/>
      <color theme="1"/>
      <name val="Arial CE"/>
      <family val="2"/>
      <charset val="238"/>
    </font>
    <font>
      <i/>
      <sz val="10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8"/>
      <color theme="1"/>
      <name val="Arial CE"/>
      <family val="2"/>
      <charset val="238"/>
    </font>
    <font>
      <i/>
      <sz val="9"/>
      <color theme="1"/>
      <name val="Arial CE"/>
      <family val="2"/>
      <charset val="238"/>
    </font>
    <font>
      <b/>
      <sz val="9"/>
      <color theme="1"/>
      <name val="Arial CE"/>
      <charset val="238"/>
    </font>
    <font>
      <b/>
      <sz val="14"/>
      <color theme="1"/>
      <name val="Arial CE"/>
      <family val="2"/>
      <charset val="238"/>
    </font>
    <font>
      <sz val="11"/>
      <color theme="1"/>
      <name val="Arial CE"/>
      <charset val="238"/>
    </font>
    <font>
      <b/>
      <i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theme="0"/>
        <bgColor indexed="9"/>
      </patternFill>
    </fill>
  </fills>
  <borders count="1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692">
    <xf numFmtId="0" fontId="0" fillId="0" borderId="0" xfId="0"/>
    <xf numFmtId="3" fontId="5" fillId="4" borderId="63" xfId="0" applyNumberFormat="1" applyFont="1" applyFill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19" xfId="0" quotePrefix="1" applyFont="1" applyBorder="1" applyAlignment="1">
      <alignment horizontal="center"/>
    </xf>
    <xf numFmtId="0" fontId="21" fillId="0" borderId="20" xfId="0" quotePrefix="1" applyFont="1" applyFill="1" applyBorder="1" applyAlignment="1">
      <alignment horizontal="center"/>
    </xf>
    <xf numFmtId="0" fontId="21" fillId="0" borderId="20" xfId="0" quotePrefix="1" applyFont="1" applyBorder="1" applyAlignment="1">
      <alignment horizontal="center"/>
    </xf>
    <xf numFmtId="0" fontId="21" fillId="2" borderId="17" xfId="0" quotePrefix="1" applyFont="1" applyFill="1" applyBorder="1" applyAlignment="1">
      <alignment horizontal="center"/>
    </xf>
    <xf numFmtId="0" fontId="21" fillId="2" borderId="20" xfId="0" quotePrefix="1" applyFont="1" applyFill="1" applyBorder="1" applyAlignment="1">
      <alignment horizontal="center"/>
    </xf>
    <xf numFmtId="0" fontId="21" fillId="2" borderId="81" xfId="0" quotePrefix="1" applyFont="1" applyFill="1" applyBorder="1" applyAlignment="1">
      <alignment horizontal="center"/>
    </xf>
    <xf numFmtId="0" fontId="17" fillId="2" borderId="87" xfId="0" quotePrefix="1" applyFont="1" applyFill="1" applyBorder="1" applyAlignment="1">
      <alignment horizontal="center"/>
    </xf>
    <xf numFmtId="0" fontId="21" fillId="0" borderId="41" xfId="0" applyFont="1" applyBorder="1" applyAlignment="1">
      <alignment horizontal="center" vertical="center"/>
    </xf>
    <xf numFmtId="0" fontId="22" fillId="0" borderId="113" xfId="0" applyFont="1" applyBorder="1" applyAlignment="1">
      <alignment horizontal="left" vertical="center"/>
    </xf>
    <xf numFmtId="3" fontId="22" fillId="2" borderId="113" xfId="0" quotePrefix="1" applyNumberFormat="1" applyFont="1" applyFill="1" applyBorder="1" applyAlignment="1">
      <alignment vertical="center"/>
    </xf>
    <xf numFmtId="3" fontId="22" fillId="2" borderId="109" xfId="0" quotePrefix="1" applyNumberFormat="1" applyFont="1" applyFill="1" applyBorder="1" applyAlignment="1">
      <alignment vertical="center"/>
    </xf>
    <xf numFmtId="3" fontId="22" fillId="2" borderId="107" xfId="0" quotePrefix="1" applyNumberFormat="1" applyFont="1" applyFill="1" applyBorder="1" applyAlignment="1">
      <alignment vertical="center"/>
    </xf>
    <xf numFmtId="3" fontId="22" fillId="2" borderId="108" xfId="0" quotePrefix="1" applyNumberFormat="1" applyFont="1" applyFill="1" applyBorder="1" applyAlignment="1">
      <alignment vertical="center"/>
    </xf>
    <xf numFmtId="3" fontId="22" fillId="2" borderId="127" xfId="0" quotePrefix="1" applyNumberFormat="1" applyFont="1" applyFill="1" applyBorder="1" applyAlignment="1">
      <alignment vertical="center"/>
    </xf>
    <xf numFmtId="165" fontId="22" fillId="0" borderId="113" xfId="2" applyNumberFormat="1" applyFont="1" applyFill="1" applyBorder="1" applyAlignment="1">
      <alignment horizontal="right" vertical="center"/>
    </xf>
    <xf numFmtId="165" fontId="22" fillId="0" borderId="108" xfId="2" applyNumberFormat="1" applyFont="1" applyFill="1" applyBorder="1" applyAlignment="1">
      <alignment horizontal="right" vertical="center"/>
    </xf>
    <xf numFmtId="0" fontId="22" fillId="0" borderId="114" xfId="0" applyFont="1" applyBorder="1" applyAlignment="1">
      <alignment horizontal="left" vertical="center"/>
    </xf>
    <xf numFmtId="3" fontId="22" fillId="2" borderId="114" xfId="0" quotePrefix="1" applyNumberFormat="1" applyFont="1" applyFill="1" applyBorder="1" applyAlignment="1">
      <alignment vertical="center"/>
    </xf>
    <xf numFmtId="3" fontId="22" fillId="2" borderId="112" xfId="0" quotePrefix="1" applyNumberFormat="1" applyFont="1" applyFill="1" applyBorder="1" applyAlignment="1">
      <alignment vertical="center"/>
    </xf>
    <xf numFmtId="3" fontId="22" fillId="2" borderId="110" xfId="0" quotePrefix="1" applyNumberFormat="1" applyFont="1" applyFill="1" applyBorder="1" applyAlignment="1">
      <alignment vertical="center"/>
    </xf>
    <xf numFmtId="3" fontId="22" fillId="2" borderId="111" xfId="0" quotePrefix="1" applyNumberFormat="1" applyFont="1" applyFill="1" applyBorder="1" applyAlignment="1">
      <alignment vertical="center"/>
    </xf>
    <xf numFmtId="3" fontId="22" fillId="2" borderId="121" xfId="0" quotePrefix="1" applyNumberFormat="1" applyFont="1" applyFill="1" applyBorder="1" applyAlignment="1">
      <alignment vertical="center"/>
    </xf>
    <xf numFmtId="165" fontId="22" fillId="0" borderId="114" xfId="2" applyNumberFormat="1" applyFont="1" applyFill="1" applyBorder="1" applyAlignment="1">
      <alignment horizontal="right" vertical="center"/>
    </xf>
    <xf numFmtId="165" fontId="22" fillId="0" borderId="111" xfId="2" applyNumberFormat="1" applyFont="1" applyFill="1" applyBorder="1" applyAlignment="1">
      <alignment horizontal="right" vertical="center"/>
    </xf>
    <xf numFmtId="0" fontId="22" fillId="0" borderId="47" xfId="0" applyFont="1" applyBorder="1" applyAlignment="1">
      <alignment horizontal="left" vertical="top"/>
    </xf>
    <xf numFmtId="3" fontId="22" fillId="2" borderId="33" xfId="0" quotePrefix="1" applyNumberFormat="1" applyFont="1" applyFill="1" applyBorder="1" applyAlignment="1">
      <alignment vertical="center"/>
    </xf>
    <xf numFmtId="3" fontId="22" fillId="2" borderId="32" xfId="0" quotePrefix="1" applyNumberFormat="1" applyFont="1" applyFill="1" applyBorder="1" applyAlignment="1">
      <alignment vertical="center"/>
    </xf>
    <xf numFmtId="165" fontId="22" fillId="0" borderId="106" xfId="2" applyNumberFormat="1" applyFont="1" applyFill="1" applyBorder="1" applyAlignment="1">
      <alignment horizontal="right" vertical="center"/>
    </xf>
    <xf numFmtId="165" fontId="22" fillId="0" borderId="105" xfId="2" applyNumberFormat="1" applyFont="1" applyFill="1" applyBorder="1" applyAlignment="1">
      <alignment horizontal="right" vertical="center"/>
    </xf>
    <xf numFmtId="0" fontId="15" fillId="4" borderId="30" xfId="2" applyFont="1" applyFill="1" applyBorder="1" applyAlignment="1">
      <alignment horizontal="left" vertical="center"/>
    </xf>
    <xf numFmtId="3" fontId="15" fillId="4" borderId="28" xfId="0" applyNumberFormat="1" applyFont="1" applyFill="1" applyBorder="1" applyAlignment="1">
      <alignment horizontal="right" vertical="center" wrapText="1"/>
    </xf>
    <xf numFmtId="3" fontId="15" fillId="4" borderId="26" xfId="0" applyNumberFormat="1" applyFont="1" applyFill="1" applyBorder="1" applyAlignment="1">
      <alignment horizontal="right" vertical="center" wrapText="1"/>
    </xf>
    <xf numFmtId="164" fontId="15" fillId="4" borderId="28" xfId="0" applyNumberFormat="1" applyFont="1" applyFill="1" applyBorder="1" applyAlignment="1">
      <alignment horizontal="right" vertical="center" wrapText="1"/>
    </xf>
    <xf numFmtId="164" fontId="15" fillId="4" borderId="57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/>
    <xf numFmtId="0" fontId="22" fillId="5" borderId="30" xfId="2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 wrapText="1"/>
    </xf>
    <xf numFmtId="3" fontId="22" fillId="5" borderId="26" xfId="0" applyNumberFormat="1" applyFont="1" applyFill="1" applyBorder="1" applyAlignment="1">
      <alignment horizontal="right" vertical="center" wrapText="1"/>
    </xf>
    <xf numFmtId="164" fontId="22" fillId="5" borderId="4" xfId="0" applyNumberFormat="1" applyFont="1" applyFill="1" applyBorder="1" applyAlignment="1">
      <alignment horizontal="right" vertical="center" wrapText="1"/>
    </xf>
    <xf numFmtId="164" fontId="22" fillId="5" borderId="56" xfId="0" applyNumberFormat="1" applyFont="1" applyFill="1" applyBorder="1" applyAlignment="1">
      <alignment horizontal="right" vertical="center" wrapText="1"/>
    </xf>
    <xf numFmtId="3" fontId="22" fillId="5" borderId="89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/>
    <xf numFmtId="0" fontId="25" fillId="0" borderId="30" xfId="0" applyFont="1" applyFill="1" applyBorder="1" applyAlignment="1">
      <alignment vertical="center" wrapText="1"/>
    </xf>
    <xf numFmtId="3" fontId="25" fillId="0" borderId="28" xfId="0" applyNumberFormat="1" applyFont="1" applyFill="1" applyBorder="1" applyAlignment="1">
      <alignment vertical="center" wrapText="1"/>
    </xf>
    <xf numFmtId="3" fontId="25" fillId="0" borderId="25" xfId="0" applyNumberFormat="1" applyFont="1" applyFill="1" applyBorder="1" applyAlignment="1">
      <alignment vertical="center" wrapText="1"/>
    </xf>
    <xf numFmtId="3" fontId="25" fillId="0" borderId="26" xfId="0" applyNumberFormat="1" applyFont="1" applyFill="1" applyBorder="1" applyAlignment="1">
      <alignment vertical="center" wrapText="1"/>
    </xf>
    <xf numFmtId="3" fontId="25" fillId="0" borderId="89" xfId="0" applyNumberFormat="1" applyFont="1" applyFill="1" applyBorder="1" applyAlignment="1">
      <alignment vertical="center" wrapText="1"/>
    </xf>
    <xf numFmtId="165" fontId="25" fillId="0" borderId="4" xfId="0" applyNumberFormat="1" applyFont="1" applyFill="1" applyBorder="1" applyAlignment="1">
      <alignment vertical="center" wrapText="1"/>
    </xf>
    <xf numFmtId="165" fontId="25" fillId="0" borderId="56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5" fillId="0" borderId="29" xfId="0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3" fontId="25" fillId="0" borderId="4" xfId="0" applyNumberFormat="1" applyFont="1" applyFill="1" applyBorder="1" applyAlignment="1">
      <alignment vertical="center" wrapText="1"/>
    </xf>
    <xf numFmtId="3" fontId="25" fillId="0" borderId="21" xfId="0" applyNumberFormat="1" applyFont="1" applyFill="1" applyBorder="1" applyAlignment="1">
      <alignment vertical="center" wrapText="1"/>
    </xf>
    <xf numFmtId="43" fontId="25" fillId="0" borderId="22" xfId="1" applyFont="1" applyFill="1" applyBorder="1" applyAlignment="1">
      <alignment vertical="center" wrapText="1"/>
    </xf>
    <xf numFmtId="3" fontId="25" fillId="0" borderId="29" xfId="0" applyNumberFormat="1" applyFont="1" applyFill="1" applyBorder="1" applyAlignment="1">
      <alignment vertical="center" wrapText="1"/>
    </xf>
    <xf numFmtId="43" fontId="25" fillId="0" borderId="56" xfId="1" applyFont="1" applyFill="1" applyBorder="1" applyAlignment="1">
      <alignment vertical="center" wrapText="1"/>
    </xf>
    <xf numFmtId="43" fontId="25" fillId="0" borderId="4" xfId="1" applyFont="1" applyFill="1" applyBorder="1" applyAlignment="1">
      <alignment vertical="center" wrapText="1"/>
    </xf>
    <xf numFmtId="0" fontId="22" fillId="5" borderId="30" xfId="2" applyFont="1" applyFill="1" applyBorder="1" applyAlignment="1">
      <alignment vertical="center" wrapText="1"/>
    </xf>
    <xf numFmtId="3" fontId="22" fillId="5" borderId="4" xfId="0" applyNumberFormat="1" applyFont="1" applyFill="1" applyBorder="1" applyAlignment="1">
      <alignment vertical="center" wrapText="1"/>
    </xf>
    <xf numFmtId="3" fontId="22" fillId="5" borderId="21" xfId="0" applyNumberFormat="1" applyFont="1" applyFill="1" applyBorder="1" applyAlignment="1">
      <alignment vertical="center" wrapText="1"/>
    </xf>
    <xf numFmtId="164" fontId="22" fillId="5" borderId="28" xfId="0" applyNumberFormat="1" applyFont="1" applyFill="1" applyBorder="1" applyAlignment="1">
      <alignment horizontal="right" vertical="center" wrapText="1"/>
    </xf>
    <xf numFmtId="164" fontId="22" fillId="5" borderId="57" xfId="0" applyNumberFormat="1" applyFont="1" applyFill="1" applyBorder="1" applyAlignment="1">
      <alignment horizontal="right" vertical="center" wrapText="1"/>
    </xf>
    <xf numFmtId="0" fontId="15" fillId="4" borderId="29" xfId="2" applyFont="1" applyFill="1" applyBorder="1" applyAlignment="1">
      <alignment horizontal="left" vertical="center"/>
    </xf>
    <xf numFmtId="3" fontId="15" fillId="4" borderId="4" xfId="0" applyNumberFormat="1" applyFont="1" applyFill="1" applyBorder="1" applyAlignment="1">
      <alignment vertical="center" wrapText="1"/>
    </xf>
    <xf numFmtId="3" fontId="15" fillId="4" borderId="21" xfId="0" applyNumberFormat="1" applyFont="1" applyFill="1" applyBorder="1" applyAlignment="1">
      <alignment vertical="center" wrapText="1"/>
    </xf>
    <xf numFmtId="164" fontId="15" fillId="4" borderId="4" xfId="0" applyNumberFormat="1" applyFont="1" applyFill="1" applyBorder="1" applyAlignment="1">
      <alignment horizontal="right" vertical="center" wrapText="1"/>
    </xf>
    <xf numFmtId="164" fontId="15" fillId="4" borderId="56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3" fontId="25" fillId="2" borderId="28" xfId="0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2" fillId="5" borderId="24" xfId="0" applyNumberFormat="1" applyFont="1" applyFill="1" applyBorder="1" applyAlignment="1">
      <alignment vertical="center" wrapText="1"/>
    </xf>
    <xf numFmtId="3" fontId="25" fillId="0" borderId="126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3" fontId="21" fillId="0" borderId="10" xfId="0" applyNumberFormat="1" applyFont="1" applyFill="1" applyBorder="1" applyAlignment="1">
      <alignment vertical="center" wrapText="1"/>
    </xf>
    <xf numFmtId="3" fontId="17" fillId="0" borderId="9" xfId="0" applyNumberFormat="1" applyFont="1" applyFill="1" applyBorder="1" applyAlignment="1">
      <alignment vertical="center" wrapText="1"/>
    </xf>
    <xf numFmtId="3" fontId="14" fillId="6" borderId="38" xfId="0" applyNumberFormat="1" applyFont="1" applyFill="1" applyBorder="1" applyAlignment="1">
      <alignment vertical="center" wrapText="1"/>
    </xf>
    <xf numFmtId="3" fontId="14" fillId="6" borderId="36" xfId="0" applyNumberFormat="1" applyFont="1" applyFill="1" applyBorder="1" applyAlignment="1">
      <alignment vertical="center" wrapText="1"/>
    </xf>
    <xf numFmtId="3" fontId="14" fillId="6" borderId="49" xfId="0" applyNumberFormat="1" applyFont="1" applyFill="1" applyBorder="1" applyAlignment="1">
      <alignment vertical="center" wrapText="1"/>
    </xf>
    <xf numFmtId="164" fontId="14" fillId="6" borderId="38" xfId="0" applyNumberFormat="1" applyFont="1" applyFill="1" applyBorder="1" applyAlignment="1">
      <alignment vertical="center" wrapText="1"/>
    </xf>
    <xf numFmtId="3" fontId="14" fillId="6" borderId="50" xfId="0" applyNumberFormat="1" applyFont="1" applyFill="1" applyBorder="1" applyAlignment="1">
      <alignment vertical="center" wrapText="1"/>
    </xf>
    <xf numFmtId="3" fontId="17" fillId="0" borderId="19" xfId="0" applyNumberFormat="1" applyFont="1" applyFill="1" applyBorder="1" applyAlignment="1">
      <alignment vertical="center" wrapText="1"/>
    </xf>
    <xf numFmtId="0" fontId="5" fillId="2" borderId="40" xfId="0" applyFont="1" applyFill="1" applyBorder="1" applyAlignment="1">
      <alignment horizontal="center"/>
    </xf>
    <xf numFmtId="165" fontId="22" fillId="0" borderId="107" xfId="2" applyNumberFormat="1" applyFont="1" applyFill="1" applyBorder="1" applyAlignment="1">
      <alignment horizontal="right" vertical="center"/>
    </xf>
    <xf numFmtId="165" fontId="22" fillId="0" borderId="110" xfId="2" applyNumberFormat="1" applyFont="1" applyFill="1" applyBorder="1" applyAlignment="1">
      <alignment horizontal="right" vertical="center"/>
    </xf>
    <xf numFmtId="3" fontId="22" fillId="2" borderId="13" xfId="0" quotePrefix="1" applyNumberFormat="1" applyFont="1" applyFill="1" applyBorder="1" applyAlignment="1">
      <alignment vertical="center"/>
    </xf>
    <xf numFmtId="3" fontId="22" fillId="2" borderId="15" xfId="0" quotePrefix="1" applyNumberFormat="1" applyFont="1" applyFill="1" applyBorder="1" applyAlignment="1">
      <alignment vertical="center"/>
    </xf>
    <xf numFmtId="3" fontId="22" fillId="2" borderId="11" xfId="0" quotePrefix="1" applyNumberFormat="1" applyFont="1" applyFill="1" applyBorder="1" applyAlignment="1">
      <alignment vertical="center"/>
    </xf>
    <xf numFmtId="165" fontId="22" fillId="0" borderId="33" xfId="2" applyNumberFormat="1" applyFont="1" applyFill="1" applyBorder="1" applyAlignment="1">
      <alignment horizontal="right" vertical="center"/>
    </xf>
    <xf numFmtId="3" fontId="25" fillId="0" borderId="30" xfId="0" applyNumberFormat="1" applyFont="1" applyFill="1" applyBorder="1" applyAlignment="1">
      <alignment vertical="center" wrapText="1"/>
    </xf>
    <xf numFmtId="3" fontId="22" fillId="5" borderId="29" xfId="0" applyNumberFormat="1" applyFont="1" applyFill="1" applyBorder="1" applyAlignment="1">
      <alignment vertical="center" wrapText="1"/>
    </xf>
    <xf numFmtId="165" fontId="22" fillId="5" borderId="28" xfId="0" applyNumberFormat="1" applyFont="1" applyFill="1" applyBorder="1" applyAlignment="1">
      <alignment horizontal="right" vertical="center" wrapText="1"/>
    </xf>
    <xf numFmtId="165" fontId="22" fillId="5" borderId="57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vertical="center" wrapText="1"/>
    </xf>
    <xf numFmtId="3" fontId="25" fillId="2" borderId="30" xfId="0" applyNumberFormat="1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4" fillId="6" borderId="45" xfId="0" applyNumberFormat="1" applyFont="1" applyFill="1" applyBorder="1" applyAlignment="1">
      <alignment vertical="center" wrapText="1"/>
    </xf>
    <xf numFmtId="3" fontId="14" fillId="6" borderId="13" xfId="0" applyNumberFormat="1" applyFont="1" applyFill="1" applyBorder="1" applyAlignment="1">
      <alignment vertical="center" wrapText="1"/>
    </xf>
    <xf numFmtId="3" fontId="14" fillId="6" borderId="15" xfId="0" applyNumberFormat="1" applyFont="1" applyFill="1" applyBorder="1" applyAlignment="1">
      <alignment vertical="center" wrapText="1"/>
    </xf>
    <xf numFmtId="3" fontId="14" fillId="6" borderId="47" xfId="0" applyNumberFormat="1" applyFont="1" applyFill="1" applyBorder="1" applyAlignment="1">
      <alignment vertical="center" wrapText="1"/>
    </xf>
    <xf numFmtId="164" fontId="14" fillId="6" borderId="13" xfId="0" applyNumberFormat="1" applyFont="1" applyFill="1" applyBorder="1" applyAlignment="1">
      <alignment vertical="center" wrapText="1"/>
    </xf>
    <xf numFmtId="3" fontId="14" fillId="7" borderId="38" xfId="0" applyNumberFormat="1" applyFont="1" applyFill="1" applyBorder="1" applyAlignment="1">
      <alignment vertical="center" wrapText="1"/>
    </xf>
    <xf numFmtId="3" fontId="14" fillId="7" borderId="36" xfId="0" applyNumberFormat="1" applyFont="1" applyFill="1" applyBorder="1" applyAlignment="1">
      <alignment vertical="center" wrapText="1"/>
    </xf>
    <xf numFmtId="3" fontId="14" fillId="7" borderId="45" xfId="0" applyNumberFormat="1" applyFont="1" applyFill="1" applyBorder="1" applyAlignment="1">
      <alignment vertical="center" wrapText="1"/>
    </xf>
    <xf numFmtId="164" fontId="14" fillId="7" borderId="38" xfId="0" applyNumberFormat="1" applyFont="1" applyFill="1" applyBorder="1" applyAlignment="1">
      <alignment vertical="center" wrapText="1"/>
    </xf>
    <xf numFmtId="0" fontId="25" fillId="0" borderId="0" xfId="0" applyFont="1" applyBorder="1"/>
    <xf numFmtId="0" fontId="7" fillId="0" borderId="10" xfId="0" applyFont="1" applyBorder="1"/>
    <xf numFmtId="0" fontId="27" fillId="2" borderId="0" xfId="0" applyFont="1" applyFill="1" applyAlignment="1">
      <alignment vertical="top"/>
    </xf>
    <xf numFmtId="0" fontId="27" fillId="2" borderId="0" xfId="0" applyFont="1" applyFill="1" applyBorder="1" applyAlignment="1"/>
    <xf numFmtId="0" fontId="28" fillId="2" borderId="0" xfId="0" applyFont="1" applyFill="1" applyBorder="1" applyAlignment="1">
      <alignment vertical="top"/>
    </xf>
    <xf numFmtId="0" fontId="27" fillId="2" borderId="0" xfId="0" applyFont="1" applyFill="1" applyBorder="1" applyAlignment="1">
      <alignment vertical="top"/>
    </xf>
    <xf numFmtId="3" fontId="27" fillId="2" borderId="0" xfId="0" applyNumberFormat="1" applyFont="1" applyFill="1" applyBorder="1" applyAlignment="1">
      <alignment horizontal="left" vertical="top"/>
    </xf>
    <xf numFmtId="0" fontId="29" fillId="2" borderId="0" xfId="0" applyFont="1" applyFill="1" applyBorder="1" applyAlignment="1">
      <alignment horizontal="right" vertical="center"/>
    </xf>
    <xf numFmtId="0" fontId="27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27" fillId="10" borderId="0" xfId="0" applyFont="1" applyFill="1" applyAlignment="1">
      <alignment vertical="top"/>
    </xf>
    <xf numFmtId="0" fontId="8" fillId="2" borderId="0" xfId="0" applyFont="1" applyFill="1" applyBorder="1" applyAlignment="1"/>
    <xf numFmtId="0" fontId="30" fillId="0" borderId="0" xfId="0" applyFont="1" applyFill="1" applyAlignment="1">
      <alignment horizontal="left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16" fillId="0" borderId="0" xfId="0" applyFont="1" applyFill="1"/>
    <xf numFmtId="0" fontId="28" fillId="0" borderId="35" xfId="0" quotePrefix="1" applyFont="1" applyBorder="1" applyAlignment="1">
      <alignment horizontal="center" vertical="top"/>
    </xf>
    <xf numFmtId="0" fontId="17" fillId="2" borderId="38" xfId="0" quotePrefix="1" applyFont="1" applyFill="1" applyBorder="1" applyAlignment="1">
      <alignment horizontal="center" vertical="top"/>
    </xf>
    <xf numFmtId="0" fontId="17" fillId="2" borderId="50" xfId="0" quotePrefix="1" applyFont="1" applyFill="1" applyBorder="1" applyAlignment="1">
      <alignment horizontal="center" vertical="top"/>
    </xf>
    <xf numFmtId="0" fontId="17" fillId="0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25" fillId="0" borderId="17" xfId="0" applyFont="1" applyBorder="1" applyAlignment="1">
      <alignment vertical="top"/>
    </xf>
    <xf numFmtId="0" fontId="22" fillId="0" borderId="107" xfId="0" applyFont="1" applyBorder="1" applyAlignment="1">
      <alignment horizontal="left" vertical="center"/>
    </xf>
    <xf numFmtId="3" fontId="22" fillId="2" borderId="119" xfId="0" quotePrefix="1" applyNumberFormat="1" applyFont="1" applyFill="1" applyBorder="1" applyAlignment="1">
      <alignment vertical="center"/>
    </xf>
    <xf numFmtId="165" fontId="6" fillId="0" borderId="107" xfId="2" applyNumberFormat="1" applyFont="1" applyFill="1" applyBorder="1" applyAlignment="1">
      <alignment horizontal="right" vertical="center"/>
    </xf>
    <xf numFmtId="3" fontId="6" fillId="2" borderId="107" xfId="0" quotePrefix="1" applyNumberFormat="1" applyFont="1" applyFill="1" applyBorder="1" applyAlignment="1">
      <alignment vertical="center"/>
    </xf>
    <xf numFmtId="0" fontId="34" fillId="0" borderId="88" xfId="0" applyFont="1" applyBorder="1"/>
    <xf numFmtId="0" fontId="28" fillId="2" borderId="0" xfId="0" quotePrefix="1" applyFont="1" applyFill="1" applyBorder="1" applyAlignment="1">
      <alignment horizontal="center" vertical="top"/>
    </xf>
    <xf numFmtId="0" fontId="28" fillId="0" borderId="0" xfId="0" applyFont="1" applyAlignment="1">
      <alignment vertical="top"/>
    </xf>
    <xf numFmtId="0" fontId="25" fillId="0" borderId="7" xfId="0" applyFont="1" applyBorder="1" applyAlignment="1">
      <alignment vertical="top"/>
    </xf>
    <xf numFmtId="0" fontId="22" fillId="0" borderId="110" xfId="0" applyFont="1" applyBorder="1" applyAlignment="1">
      <alignment horizontal="left" vertical="top"/>
    </xf>
    <xf numFmtId="0" fontId="29" fillId="0" borderId="114" xfId="0" quotePrefix="1" applyFont="1" applyBorder="1" applyAlignment="1">
      <alignment horizontal="center" vertical="top"/>
    </xf>
    <xf numFmtId="43" fontId="22" fillId="2" borderId="110" xfId="1" quotePrefix="1" applyFont="1" applyFill="1" applyBorder="1" applyAlignment="1">
      <alignment vertical="top"/>
    </xf>
    <xf numFmtId="43" fontId="22" fillId="2" borderId="111" xfId="1" quotePrefix="1" applyFont="1" applyFill="1" applyBorder="1" applyAlignment="1">
      <alignment vertical="top"/>
    </xf>
    <xf numFmtId="43" fontId="22" fillId="2" borderId="121" xfId="1" quotePrefix="1" applyFont="1" applyFill="1" applyBorder="1" applyAlignment="1">
      <alignment vertical="top"/>
    </xf>
    <xf numFmtId="0" fontId="25" fillId="0" borderId="11" xfId="0" applyFont="1" applyBorder="1" applyAlignment="1">
      <alignment vertical="top"/>
    </xf>
    <xf numFmtId="0" fontId="22" fillId="0" borderId="13" xfId="0" applyFont="1" applyBorder="1" applyAlignment="1">
      <alignment horizontal="left" vertical="top"/>
    </xf>
    <xf numFmtId="3" fontId="22" fillId="2" borderId="33" xfId="0" quotePrefix="1" applyNumberFormat="1" applyFont="1" applyFill="1" applyBorder="1" applyAlignment="1">
      <alignment vertical="top"/>
    </xf>
    <xf numFmtId="3" fontId="22" fillId="2" borderId="106" xfId="0" quotePrefix="1" applyNumberFormat="1" applyFont="1" applyFill="1" applyBorder="1" applyAlignment="1">
      <alignment vertical="top"/>
    </xf>
    <xf numFmtId="3" fontId="22" fillId="2" borderId="125" xfId="0" quotePrefix="1" applyNumberFormat="1" applyFont="1" applyFill="1" applyBorder="1" applyAlignment="1">
      <alignment vertical="top"/>
    </xf>
    <xf numFmtId="165" fontId="6" fillId="0" borderId="33" xfId="2" applyNumberFormat="1" applyFont="1" applyFill="1" applyBorder="1" applyAlignment="1">
      <alignment horizontal="right" vertical="center"/>
    </xf>
    <xf numFmtId="3" fontId="22" fillId="2" borderId="13" xfId="0" quotePrefix="1" applyNumberFormat="1" applyFont="1" applyFill="1" applyBorder="1" applyAlignment="1">
      <alignment vertical="top"/>
    </xf>
    <xf numFmtId="0" fontId="15" fillId="4" borderId="28" xfId="2" applyFont="1" applyFill="1" applyBorder="1" applyAlignment="1">
      <alignment horizontal="left" vertical="center"/>
    </xf>
    <xf numFmtId="3" fontId="28" fillId="0" borderId="0" xfId="0" applyNumberFormat="1" applyFont="1" applyFill="1" applyAlignment="1">
      <alignment vertical="top"/>
    </xf>
    <xf numFmtId="0" fontId="28" fillId="10" borderId="0" xfId="0" applyFont="1" applyFill="1" applyAlignment="1">
      <alignment vertical="top"/>
    </xf>
    <xf numFmtId="0" fontId="15" fillId="4" borderId="4" xfId="2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top"/>
    </xf>
    <xf numFmtId="43" fontId="22" fillId="0" borderId="4" xfId="1" applyFont="1" applyFill="1" applyBorder="1" applyAlignment="1">
      <alignment vertical="top"/>
    </xf>
    <xf numFmtId="43" fontId="22" fillId="0" borderId="22" xfId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22" fillId="0" borderId="4" xfId="2" applyFont="1" applyFill="1" applyBorder="1" applyAlignment="1">
      <alignment vertical="center"/>
    </xf>
    <xf numFmtId="0" fontId="25" fillId="0" borderId="33" xfId="2" applyFont="1" applyFill="1" applyBorder="1" applyAlignment="1">
      <alignment vertical="center"/>
    </xf>
    <xf numFmtId="43" fontId="25" fillId="0" borderId="44" xfId="1" applyFont="1" applyFill="1" applyBorder="1" applyAlignment="1">
      <alignment vertical="top"/>
    </xf>
    <xf numFmtId="43" fontId="25" fillId="0" borderId="33" xfId="1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34" fillId="0" borderId="0" xfId="0" applyFont="1" applyBorder="1" applyAlignment="1">
      <alignment horizontal="center" vertical="center"/>
    </xf>
    <xf numFmtId="3" fontId="28" fillId="0" borderId="0" xfId="0" applyNumberFormat="1" applyFont="1" applyFill="1" applyBorder="1" applyAlignment="1">
      <alignment vertical="top"/>
    </xf>
    <xf numFmtId="164" fontId="28" fillId="0" borderId="0" xfId="0" applyNumberFormat="1" applyFont="1" applyFill="1" applyBorder="1" applyAlignment="1">
      <alignment vertical="top"/>
    </xf>
    <xf numFmtId="0" fontId="34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3" fontId="20" fillId="0" borderId="0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horizontal="right" vertical="top"/>
    </xf>
    <xf numFmtId="3" fontId="28" fillId="0" borderId="0" xfId="0" applyNumberFormat="1" applyFont="1" applyFill="1" applyBorder="1" applyAlignment="1"/>
    <xf numFmtId="0" fontId="28" fillId="0" borderId="0" xfId="0" applyFont="1" applyBorder="1" applyAlignment="1">
      <alignment vertical="top"/>
    </xf>
    <xf numFmtId="0" fontId="28" fillId="0" borderId="0" xfId="0" applyFont="1" applyAlignment="1">
      <alignment horizontal="center" vertical="top" wrapText="1"/>
    </xf>
    <xf numFmtId="0" fontId="20" fillId="0" borderId="40" xfId="0" applyFont="1" applyBorder="1" applyAlignment="1">
      <alignment vertical="top"/>
    </xf>
    <xf numFmtId="0" fontId="20" fillId="0" borderId="19" xfId="0" applyFont="1" applyBorder="1" applyAlignment="1">
      <alignment vertical="top" wrapText="1"/>
    </xf>
    <xf numFmtId="0" fontId="28" fillId="0" borderId="19" xfId="0" applyFont="1" applyBorder="1" applyAlignment="1">
      <alignment vertical="top"/>
    </xf>
    <xf numFmtId="0" fontId="28" fillId="0" borderId="87" xfId="0" applyFont="1" applyBorder="1" applyAlignment="1">
      <alignment vertical="top"/>
    </xf>
    <xf numFmtId="0" fontId="28" fillId="0" borderId="87" xfId="0" applyFont="1" applyBorder="1" applyAlignment="1">
      <alignment horizontal="center" vertical="top" wrapText="1"/>
    </xf>
    <xf numFmtId="0" fontId="20" fillId="0" borderId="48" xfId="0" applyFont="1" applyBorder="1" applyAlignment="1">
      <alignment vertical="top"/>
    </xf>
    <xf numFmtId="0" fontId="28" fillId="0" borderId="88" xfId="0" applyFont="1" applyBorder="1" applyAlignment="1">
      <alignment vertical="top"/>
    </xf>
    <xf numFmtId="0" fontId="28" fillId="0" borderId="88" xfId="0" applyFont="1" applyBorder="1" applyAlignment="1">
      <alignment horizontal="center" vertical="top" wrapText="1"/>
    </xf>
    <xf numFmtId="0" fontId="20" fillId="0" borderId="47" xfId="0" applyFont="1" applyBorder="1" applyAlignment="1">
      <alignment vertical="top"/>
    </xf>
    <xf numFmtId="0" fontId="28" fillId="0" borderId="12" xfId="0" applyFont="1" applyBorder="1" applyAlignment="1">
      <alignment vertical="top"/>
    </xf>
    <xf numFmtId="0" fontId="28" fillId="0" borderId="92" xfId="0" applyFont="1" applyBorder="1" applyAlignment="1">
      <alignment vertical="top"/>
    </xf>
    <xf numFmtId="0" fontId="28" fillId="0" borderId="92" xfId="0" applyFont="1" applyBorder="1" applyAlignment="1">
      <alignment horizontal="center" vertical="top" wrapText="1"/>
    </xf>
    <xf numFmtId="0" fontId="16" fillId="0" borderId="0" xfId="0" applyFont="1"/>
    <xf numFmtId="0" fontId="34" fillId="0" borderId="0" xfId="0" applyFont="1"/>
    <xf numFmtId="0" fontId="29" fillId="2" borderId="0" xfId="0" applyFont="1" applyFill="1" applyBorder="1" applyAlignment="1">
      <alignment horizontal="right" vertical="center" wrapText="1"/>
    </xf>
    <xf numFmtId="0" fontId="36" fillId="0" borderId="0" xfId="0" applyFont="1" applyFill="1" applyAlignment="1">
      <alignment horizontal="left"/>
    </xf>
    <xf numFmtId="0" fontId="34" fillId="0" borderId="0" xfId="0" applyFont="1" applyBorder="1"/>
    <xf numFmtId="0" fontId="36" fillId="0" borderId="0" xfId="0" applyFont="1" applyFill="1" applyBorder="1" applyAlignment="1">
      <alignment horizontal="left"/>
    </xf>
    <xf numFmtId="0" fontId="17" fillId="2" borderId="49" xfId="0" quotePrefix="1" applyFont="1" applyFill="1" applyBorder="1" applyAlignment="1">
      <alignment horizontal="center" vertical="top"/>
    </xf>
    <xf numFmtId="0" fontId="39" fillId="2" borderId="0" xfId="0" applyFont="1" applyFill="1"/>
    <xf numFmtId="0" fontId="10" fillId="0" borderId="108" xfId="0" quotePrefix="1" applyFont="1" applyBorder="1" applyAlignment="1">
      <alignment horizontal="center" vertical="center"/>
    </xf>
    <xf numFmtId="0" fontId="34" fillId="0" borderId="88" xfId="0" applyFont="1" applyBorder="1" applyAlignment="1">
      <alignment wrapText="1"/>
    </xf>
    <xf numFmtId="0" fontId="25" fillId="0" borderId="7" xfId="0" applyFont="1" applyBorder="1" applyAlignment="1">
      <alignment vertical="center"/>
    </xf>
    <xf numFmtId="0" fontId="22" fillId="0" borderId="110" xfId="0" applyFont="1" applyBorder="1" applyAlignment="1">
      <alignment horizontal="left" vertical="center"/>
    </xf>
    <xf numFmtId="0" fontId="29" fillId="0" borderId="111" xfId="0" quotePrefix="1" applyFont="1" applyBorder="1" applyAlignment="1">
      <alignment horizontal="center" vertical="center"/>
    </xf>
    <xf numFmtId="43" fontId="22" fillId="2" borderId="110" xfId="1" quotePrefix="1" applyFont="1" applyFill="1" applyBorder="1" applyAlignment="1">
      <alignment vertical="center"/>
    </xf>
    <xf numFmtId="43" fontId="22" fillId="0" borderId="110" xfId="1" applyFont="1" applyFill="1" applyBorder="1" applyAlignment="1">
      <alignment horizontal="right" vertical="center"/>
    </xf>
    <xf numFmtId="0" fontId="34" fillId="0" borderId="88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2" fillId="0" borderId="28" xfId="0" applyFont="1" applyBorder="1" applyAlignment="1">
      <alignment horizontal="left" vertical="top"/>
    </xf>
    <xf numFmtId="0" fontId="29" fillId="0" borderId="57" xfId="0" quotePrefix="1" applyFont="1" applyBorder="1" applyAlignment="1">
      <alignment horizontal="center" vertical="top"/>
    </xf>
    <xf numFmtId="3" fontId="22" fillId="2" borderId="105" xfId="0" quotePrefix="1" applyNumberFormat="1" applyFont="1" applyFill="1" applyBorder="1" applyAlignment="1">
      <alignment vertical="top"/>
    </xf>
    <xf numFmtId="3" fontId="22" fillId="2" borderId="32" xfId="0" quotePrefix="1" applyNumberFormat="1" applyFont="1" applyFill="1" applyBorder="1" applyAlignment="1">
      <alignment vertical="top"/>
    </xf>
    <xf numFmtId="0" fontId="15" fillId="4" borderId="59" xfId="2" applyFont="1" applyFill="1" applyBorder="1" applyAlignment="1">
      <alignment horizontal="left" vertical="center"/>
    </xf>
    <xf numFmtId="0" fontId="20" fillId="4" borderId="60" xfId="2" applyFont="1" applyFill="1" applyBorder="1" applyAlignment="1">
      <alignment horizontal="left" vertical="center"/>
    </xf>
    <xf numFmtId="3" fontId="5" fillId="4" borderId="59" xfId="2" applyNumberFormat="1" applyFont="1" applyFill="1" applyBorder="1" applyAlignment="1">
      <alignment vertical="top"/>
    </xf>
    <xf numFmtId="165" fontId="5" fillId="4" borderId="59" xfId="2" applyNumberFormat="1" applyFont="1" applyFill="1" applyBorder="1" applyAlignment="1">
      <alignment vertical="top"/>
    </xf>
    <xf numFmtId="3" fontId="16" fillId="0" borderId="0" xfId="0" applyNumberFormat="1" applyFont="1"/>
    <xf numFmtId="0" fontId="6" fillId="5" borderId="63" xfId="2" applyFont="1" applyFill="1" applyBorder="1" applyAlignment="1">
      <alignment vertical="top"/>
    </xf>
    <xf numFmtId="3" fontId="6" fillId="5" borderId="63" xfId="2" applyNumberFormat="1" applyFont="1" applyFill="1" applyBorder="1" applyAlignment="1">
      <alignment vertical="top"/>
    </xf>
    <xf numFmtId="165" fontId="6" fillId="5" borderId="63" xfId="2" applyNumberFormat="1" applyFont="1" applyFill="1" applyBorder="1" applyAlignment="1">
      <alignment vertical="top"/>
    </xf>
    <xf numFmtId="0" fontId="41" fillId="0" borderId="0" xfId="0" applyFont="1"/>
    <xf numFmtId="0" fontId="7" fillId="5" borderId="63" xfId="2" applyFont="1" applyFill="1" applyBorder="1" applyAlignment="1">
      <alignment vertical="top"/>
    </xf>
    <xf numFmtId="3" fontId="7" fillId="5" borderId="62" xfId="2" applyNumberFormat="1" applyFont="1" applyFill="1" applyBorder="1" applyAlignment="1">
      <alignment vertical="top"/>
    </xf>
    <xf numFmtId="165" fontId="7" fillId="5" borderId="63" xfId="2" applyNumberFormat="1" applyFont="1" applyFill="1" applyBorder="1" applyAlignment="1">
      <alignment vertical="top"/>
    </xf>
    <xf numFmtId="3" fontId="7" fillId="5" borderId="63" xfId="2" applyNumberFormat="1" applyFont="1" applyFill="1" applyBorder="1" applyAlignment="1">
      <alignment vertical="top"/>
    </xf>
    <xf numFmtId="3" fontId="7" fillId="5" borderId="63" xfId="2" applyNumberFormat="1" applyFont="1" applyFill="1" applyBorder="1" applyAlignment="1">
      <alignment vertical="top" wrapText="1"/>
    </xf>
    <xf numFmtId="43" fontId="7" fillId="5" borderId="63" xfId="1" applyFont="1" applyFill="1" applyBorder="1" applyAlignment="1">
      <alignment vertical="top"/>
    </xf>
    <xf numFmtId="43" fontId="25" fillId="5" borderId="63" xfId="1" applyFont="1" applyFill="1" applyBorder="1" applyAlignment="1">
      <alignment vertical="top"/>
    </xf>
    <xf numFmtId="43" fontId="25" fillId="5" borderId="65" xfId="1" applyFont="1" applyFill="1" applyBorder="1" applyAlignment="1">
      <alignment vertical="top"/>
    </xf>
    <xf numFmtId="43" fontId="25" fillId="5" borderId="64" xfId="1" applyFont="1" applyFill="1" applyBorder="1" applyAlignment="1">
      <alignment vertical="top"/>
    </xf>
    <xf numFmtId="0" fontId="7" fillId="5" borderId="63" xfId="2" applyFont="1" applyFill="1" applyBorder="1" applyAlignment="1">
      <alignment vertical="top" wrapText="1"/>
    </xf>
    <xf numFmtId="0" fontId="15" fillId="4" borderId="63" xfId="2" applyFont="1" applyFill="1" applyBorder="1" applyAlignment="1">
      <alignment horizontal="left" vertical="center"/>
    </xf>
    <xf numFmtId="0" fontId="20" fillId="4" borderId="64" xfId="2" applyFont="1" applyFill="1" applyBorder="1" applyAlignment="1">
      <alignment horizontal="left" vertical="center"/>
    </xf>
    <xf numFmtId="3" fontId="15" fillId="4" borderId="63" xfId="2" applyNumberFormat="1" applyFont="1" applyFill="1" applyBorder="1" applyAlignment="1">
      <alignment vertical="top"/>
    </xf>
    <xf numFmtId="3" fontId="22" fillId="5" borderId="63" xfId="2" applyNumberFormat="1" applyFont="1" applyFill="1" applyBorder="1" applyAlignment="1">
      <alignment vertical="top" wrapText="1"/>
    </xf>
    <xf numFmtId="3" fontId="22" fillId="5" borderId="62" xfId="2" applyNumberFormat="1" applyFont="1" applyFill="1" applyBorder="1" applyAlignment="1">
      <alignment vertical="top"/>
    </xf>
    <xf numFmtId="3" fontId="22" fillId="5" borderId="63" xfId="2" applyNumberFormat="1" applyFont="1" applyFill="1" applyBorder="1" applyAlignment="1">
      <alignment vertical="top"/>
    </xf>
    <xf numFmtId="3" fontId="22" fillId="5" borderId="64" xfId="2" applyNumberFormat="1" applyFont="1" applyFill="1" applyBorder="1" applyAlignment="1">
      <alignment vertical="top"/>
    </xf>
    <xf numFmtId="165" fontId="22" fillId="5" borderId="63" xfId="2" applyNumberFormat="1" applyFont="1" applyFill="1" applyBorder="1" applyAlignment="1">
      <alignment vertical="top"/>
    </xf>
    <xf numFmtId="3" fontId="25" fillId="5" borderId="62" xfId="2" applyNumberFormat="1" applyFont="1" applyFill="1" applyBorder="1" applyAlignment="1">
      <alignment vertical="top"/>
    </xf>
    <xf numFmtId="3" fontId="25" fillId="5" borderId="72" xfId="2" applyNumberFormat="1" applyFont="1" applyFill="1" applyBorder="1" applyAlignment="1">
      <alignment vertical="top"/>
    </xf>
    <xf numFmtId="3" fontId="25" fillId="5" borderId="65" xfId="2" applyNumberFormat="1" applyFont="1" applyFill="1" applyBorder="1" applyAlignment="1">
      <alignment vertical="top"/>
    </xf>
    <xf numFmtId="3" fontId="25" fillId="5" borderId="63" xfId="2" applyNumberFormat="1" applyFont="1" applyFill="1" applyBorder="1" applyAlignment="1">
      <alignment vertical="top"/>
    </xf>
    <xf numFmtId="0" fontId="7" fillId="5" borderId="63" xfId="2" applyFont="1" applyFill="1" applyBorder="1" applyAlignment="1">
      <alignment horizontal="left" vertical="center"/>
    </xf>
    <xf numFmtId="0" fontId="22" fillId="5" borderId="63" xfId="2" applyFont="1" applyFill="1" applyBorder="1" applyAlignment="1">
      <alignment vertical="top"/>
    </xf>
    <xf numFmtId="0" fontId="7" fillId="5" borderId="69" xfId="2" applyFont="1" applyFill="1" applyBorder="1" applyAlignment="1">
      <alignment vertical="center"/>
    </xf>
    <xf numFmtId="0" fontId="5" fillId="17" borderId="59" xfId="2" applyFont="1" applyFill="1" applyBorder="1" applyAlignment="1">
      <alignment vertical="center" wrapText="1"/>
    </xf>
    <xf numFmtId="0" fontId="33" fillId="17" borderId="60" xfId="2" applyFont="1" applyFill="1" applyBorder="1" applyAlignment="1">
      <alignment vertical="top" wrapText="1"/>
    </xf>
    <xf numFmtId="3" fontId="7" fillId="17" borderId="58" xfId="2" applyNumberFormat="1" applyFont="1" applyFill="1" applyBorder="1" applyAlignment="1">
      <alignment horizontal="right" vertical="center"/>
    </xf>
    <xf numFmtId="3" fontId="7" fillId="17" borderId="59" xfId="2" applyNumberFormat="1" applyFont="1" applyFill="1" applyBorder="1" applyAlignment="1">
      <alignment horizontal="right" vertical="center"/>
    </xf>
    <xf numFmtId="3" fontId="6" fillId="17" borderId="77" xfId="2" applyNumberFormat="1" applyFont="1" applyFill="1" applyBorder="1" applyAlignment="1">
      <alignment horizontal="right" vertical="center"/>
    </xf>
    <xf numFmtId="3" fontId="6" fillId="17" borderId="79" xfId="2" applyNumberFormat="1" applyFont="1" applyFill="1" applyBorder="1" applyAlignment="1">
      <alignment horizontal="right" vertical="center"/>
    </xf>
    <xf numFmtId="3" fontId="7" fillId="17" borderId="63" xfId="2" applyNumberFormat="1" applyFont="1" applyFill="1" applyBorder="1" applyAlignment="1">
      <alignment vertical="top" wrapText="1"/>
    </xf>
    <xf numFmtId="3" fontId="7" fillId="17" borderId="62" xfId="2" applyNumberFormat="1" applyFont="1" applyFill="1" applyBorder="1" applyAlignment="1">
      <alignment horizontal="right" vertical="center"/>
    </xf>
    <xf numFmtId="3" fontId="7" fillId="17" borderId="63" xfId="2" applyNumberFormat="1" applyFont="1" applyFill="1" applyBorder="1" applyAlignment="1">
      <alignment horizontal="right" vertical="center"/>
    </xf>
    <xf numFmtId="0" fontId="7" fillId="17" borderId="63" xfId="2" applyFont="1" applyFill="1" applyBorder="1" applyAlignment="1">
      <alignment vertical="top"/>
    </xf>
    <xf numFmtId="43" fontId="7" fillId="17" borderId="63" xfId="1" applyFont="1" applyFill="1" applyBorder="1" applyAlignment="1">
      <alignment horizontal="right" vertical="center"/>
    </xf>
    <xf numFmtId="0" fontId="6" fillId="17" borderId="63" xfId="2" applyFont="1" applyFill="1" applyBorder="1" applyAlignment="1">
      <alignment vertical="top"/>
    </xf>
    <xf numFmtId="3" fontId="6" fillId="17" borderId="62" xfId="2" applyNumberFormat="1" applyFont="1" applyFill="1" applyBorder="1" applyAlignment="1">
      <alignment horizontal="right" vertical="center"/>
    </xf>
    <xf numFmtId="3" fontId="6" fillId="17" borderId="63" xfId="2" applyNumberFormat="1" applyFont="1" applyFill="1" applyBorder="1" applyAlignment="1">
      <alignment horizontal="right" vertical="center"/>
    </xf>
    <xf numFmtId="43" fontId="16" fillId="17" borderId="63" xfId="1" applyFont="1" applyFill="1" applyBorder="1" applyAlignment="1">
      <alignment vertical="center"/>
    </xf>
    <xf numFmtId="43" fontId="16" fillId="17" borderId="65" xfId="1" applyFont="1" applyFill="1" applyBorder="1" applyAlignment="1">
      <alignment vertical="center"/>
    </xf>
    <xf numFmtId="3" fontId="16" fillId="17" borderId="62" xfId="3" applyNumberFormat="1" applyFont="1" applyFill="1" applyBorder="1" applyAlignment="1">
      <alignment vertical="center"/>
    </xf>
    <xf numFmtId="3" fontId="16" fillId="17" borderId="63" xfId="3" applyNumberFormat="1" applyFont="1" applyFill="1" applyBorder="1" applyAlignment="1">
      <alignment vertical="center"/>
    </xf>
    <xf numFmtId="3" fontId="42" fillId="17" borderId="79" xfId="3" applyNumberFormat="1" applyFont="1" applyFill="1" applyBorder="1" applyAlignment="1">
      <alignment vertical="center"/>
    </xf>
    <xf numFmtId="3" fontId="42" fillId="17" borderId="77" xfId="3" applyNumberFormat="1" applyFont="1" applyFill="1" applyBorder="1" applyAlignment="1">
      <alignment vertical="center"/>
    </xf>
    <xf numFmtId="0" fontId="7" fillId="17" borderId="63" xfId="2" applyFont="1" applyFill="1" applyBorder="1" applyAlignment="1">
      <alignment horizontal="left" vertical="center"/>
    </xf>
    <xf numFmtId="0" fontId="22" fillId="17" borderId="63" xfId="2" applyFont="1" applyFill="1" applyBorder="1" applyAlignment="1">
      <alignment vertical="top"/>
    </xf>
    <xf numFmtId="3" fontId="42" fillId="17" borderId="63" xfId="3" applyNumberFormat="1" applyFont="1" applyFill="1" applyBorder="1" applyAlignment="1">
      <alignment vertical="center"/>
    </xf>
    <xf numFmtId="0" fontId="7" fillId="17" borderId="69" xfId="2" applyFont="1" applyFill="1" applyBorder="1" applyAlignment="1">
      <alignment vertical="center"/>
    </xf>
    <xf numFmtId="3" fontId="16" fillId="17" borderId="69" xfId="3" applyNumberFormat="1" applyFont="1" applyFill="1" applyBorder="1" applyAlignment="1">
      <alignment vertical="center"/>
    </xf>
    <xf numFmtId="3" fontId="5" fillId="14" borderId="59" xfId="2" applyNumberFormat="1" applyFont="1" applyFill="1" applyBorder="1" applyAlignment="1">
      <alignment horizontal="right" vertical="center"/>
    </xf>
    <xf numFmtId="3" fontId="5" fillId="14" borderId="60" xfId="2" applyNumberFormat="1" applyFont="1" applyFill="1" applyBorder="1" applyAlignment="1">
      <alignment horizontal="right" vertical="center"/>
    </xf>
    <xf numFmtId="3" fontId="5" fillId="14" borderId="58" xfId="2" applyNumberFormat="1" applyFont="1" applyFill="1" applyBorder="1" applyAlignment="1">
      <alignment horizontal="right" vertical="center"/>
    </xf>
    <xf numFmtId="0" fontId="7" fillId="0" borderId="63" xfId="2" applyFont="1" applyFill="1" applyBorder="1" applyAlignment="1">
      <alignment vertical="top"/>
    </xf>
    <xf numFmtId="43" fontId="7" fillId="0" borderId="63" xfId="1" applyFont="1" applyFill="1" applyBorder="1" applyAlignment="1">
      <alignment horizontal="right" vertical="center"/>
    </xf>
    <xf numFmtId="0" fontId="22" fillId="2" borderId="63" xfId="2" applyFont="1" applyFill="1" applyBorder="1" applyAlignment="1">
      <alignment vertical="top"/>
    </xf>
    <xf numFmtId="3" fontId="42" fillId="0" borderId="62" xfId="3" applyNumberFormat="1" applyFont="1" applyFill="1" applyBorder="1" applyAlignment="1">
      <alignment vertical="center"/>
    </xf>
    <xf numFmtId="3" fontId="42" fillId="0" borderId="63" xfId="3" applyNumberFormat="1" applyFont="1" applyFill="1" applyBorder="1" applyAlignment="1">
      <alignment vertical="center"/>
    </xf>
    <xf numFmtId="43" fontId="42" fillId="0" borderId="63" xfId="1" applyFont="1" applyFill="1" applyBorder="1" applyAlignment="1">
      <alignment vertical="center"/>
    </xf>
    <xf numFmtId="43" fontId="42" fillId="0" borderId="64" xfId="1" applyFont="1" applyFill="1" applyBorder="1" applyAlignment="1">
      <alignment vertical="center"/>
    </xf>
    <xf numFmtId="43" fontId="16" fillId="0" borderId="62" xfId="1" applyFont="1" applyFill="1" applyBorder="1" applyAlignment="1">
      <alignment vertical="center"/>
    </xf>
    <xf numFmtId="0" fontId="7" fillId="0" borderId="69" xfId="2" applyFont="1" applyFill="1" applyBorder="1" applyAlignment="1">
      <alignment vertical="center"/>
    </xf>
    <xf numFmtId="43" fontId="7" fillId="0" borderId="69" xfId="1" applyFont="1" applyFill="1" applyBorder="1" applyAlignment="1">
      <alignment horizontal="right" vertical="center"/>
    </xf>
    <xf numFmtId="3" fontId="7" fillId="0" borderId="68" xfId="2" applyNumberFormat="1" applyFont="1" applyFill="1" applyBorder="1" applyAlignment="1">
      <alignment horizontal="right" vertical="center"/>
    </xf>
    <xf numFmtId="165" fontId="7" fillId="0" borderId="69" xfId="2" applyNumberFormat="1" applyFont="1" applyFill="1" applyBorder="1" applyAlignment="1">
      <alignment horizontal="right" vertical="center"/>
    </xf>
    <xf numFmtId="0" fontId="16" fillId="0" borderId="0" xfId="0" applyFont="1" applyAlignment="1"/>
    <xf numFmtId="3" fontId="25" fillId="0" borderId="63" xfId="2" applyNumberFormat="1" applyFont="1" applyFill="1" applyBorder="1" applyAlignment="1">
      <alignment horizontal="right" vertical="center"/>
    </xf>
    <xf numFmtId="43" fontId="25" fillId="0" borderId="63" xfId="1" applyFont="1" applyFill="1" applyBorder="1" applyAlignment="1">
      <alignment horizontal="right" vertical="center"/>
    </xf>
    <xf numFmtId="43" fontId="7" fillId="0" borderId="70" xfId="1" applyFont="1" applyFill="1" applyBorder="1" applyAlignment="1">
      <alignment horizontal="right" vertical="center"/>
    </xf>
    <xf numFmtId="3" fontId="25" fillId="0" borderId="62" xfId="2" applyNumberFormat="1" applyFont="1" applyFill="1" applyBorder="1" applyAlignment="1">
      <alignment horizontal="right" vertical="center"/>
    </xf>
    <xf numFmtId="3" fontId="22" fillId="2" borderId="62" xfId="2" applyNumberFormat="1" applyFont="1" applyFill="1" applyBorder="1" applyAlignment="1"/>
    <xf numFmtId="3" fontId="22" fillId="2" borderId="63" xfId="2" applyNumberFormat="1" applyFont="1" applyFill="1" applyBorder="1" applyAlignment="1"/>
    <xf numFmtId="0" fontId="7" fillId="0" borderId="69" xfId="2" applyFont="1" applyFill="1" applyBorder="1" applyAlignment="1">
      <alignment vertical="top"/>
    </xf>
    <xf numFmtId="43" fontId="22" fillId="2" borderId="63" xfId="1" applyFont="1" applyFill="1" applyBorder="1" applyAlignment="1"/>
    <xf numFmtId="43" fontId="16" fillId="0" borderId="63" xfId="1" applyFont="1" applyFill="1" applyBorder="1" applyAlignment="1">
      <alignment vertical="center"/>
    </xf>
    <xf numFmtId="3" fontId="22" fillId="2" borderId="63" xfId="2" applyNumberFormat="1" applyFont="1" applyFill="1" applyBorder="1" applyAlignment="1">
      <alignment vertical="top" wrapText="1"/>
    </xf>
    <xf numFmtId="3" fontId="5" fillId="4" borderId="62" xfId="2" applyNumberFormat="1" applyFont="1" applyFill="1" applyBorder="1" applyAlignment="1"/>
    <xf numFmtId="43" fontId="5" fillId="4" borderId="63" xfId="1" applyFont="1" applyFill="1" applyBorder="1" applyAlignment="1"/>
    <xf numFmtId="3" fontId="5" fillId="4" borderId="63" xfId="2" applyNumberFormat="1" applyFont="1" applyFill="1" applyBorder="1" applyAlignment="1"/>
    <xf numFmtId="3" fontId="5" fillId="14" borderId="61" xfId="2" applyNumberFormat="1" applyFont="1" applyFill="1" applyBorder="1" applyAlignment="1">
      <alignment horizontal="right" vertical="center"/>
    </xf>
    <xf numFmtId="43" fontId="5" fillId="4" borderId="64" xfId="1" applyFont="1" applyFill="1" applyBorder="1" applyAlignment="1"/>
    <xf numFmtId="43" fontId="15" fillId="4" borderId="63" xfId="1" applyFont="1" applyFill="1" applyBorder="1" applyAlignment="1">
      <alignment horizontal="right" vertical="center"/>
    </xf>
    <xf numFmtId="43" fontId="22" fillId="0" borderId="63" xfId="1" applyFont="1" applyFill="1" applyBorder="1" applyAlignment="1">
      <alignment horizontal="right" vertical="center"/>
    </xf>
    <xf numFmtId="43" fontId="22" fillId="0" borderId="64" xfId="1" applyFont="1" applyFill="1" applyBorder="1" applyAlignment="1">
      <alignment horizontal="right" vertical="center"/>
    </xf>
    <xf numFmtId="0" fontId="7" fillId="0" borderId="63" xfId="2" applyFont="1" applyFill="1" applyBorder="1" applyAlignment="1">
      <alignment horizontal="left" vertical="center"/>
    </xf>
    <xf numFmtId="0" fontId="16" fillId="2" borderId="0" xfId="0" applyFont="1" applyFill="1" applyAlignment="1"/>
    <xf numFmtId="0" fontId="5" fillId="4" borderId="63" xfId="2" applyFont="1" applyFill="1" applyBorder="1" applyAlignment="1">
      <alignment horizontal="left" vertical="center"/>
    </xf>
    <xf numFmtId="43" fontId="42" fillId="0" borderId="62" xfId="1" applyFont="1" applyFill="1" applyBorder="1" applyAlignment="1">
      <alignment vertical="center"/>
    </xf>
    <xf numFmtId="43" fontId="25" fillId="0" borderId="62" xfId="1" applyFont="1" applyFill="1" applyBorder="1" applyAlignment="1">
      <alignment horizontal="right" vertical="center"/>
    </xf>
    <xf numFmtId="43" fontId="5" fillId="4" borderId="62" xfId="1" applyFont="1" applyFill="1" applyBorder="1" applyAlignment="1"/>
    <xf numFmtId="43" fontId="22" fillId="2" borderId="62" xfId="1" applyFont="1" applyFill="1" applyBorder="1" applyAlignment="1"/>
    <xf numFmtId="43" fontId="16" fillId="0" borderId="68" xfId="1" applyFont="1" applyFill="1" applyBorder="1" applyAlignment="1">
      <alignment vertical="center"/>
    </xf>
    <xf numFmtId="43" fontId="25" fillId="0" borderId="69" xfId="1" applyFont="1" applyFill="1" applyBorder="1" applyAlignment="1">
      <alignment horizontal="right" vertical="center"/>
    </xf>
    <xf numFmtId="3" fontId="5" fillId="4" borderId="62" xfId="2" applyNumberFormat="1" applyFont="1" applyFill="1" applyBorder="1" applyAlignment="1">
      <alignment horizontal="right" vertical="center"/>
    </xf>
    <xf numFmtId="3" fontId="5" fillId="4" borderId="63" xfId="2" applyNumberFormat="1" applyFont="1" applyFill="1" applyBorder="1" applyAlignment="1">
      <alignment horizontal="right" vertical="center"/>
    </xf>
    <xf numFmtId="43" fontId="5" fillId="4" borderId="63" xfId="1" applyFont="1" applyFill="1" applyBorder="1" applyAlignment="1">
      <alignment horizontal="right" vertical="center"/>
    </xf>
    <xf numFmtId="3" fontId="22" fillId="2" borderId="63" xfId="2" applyNumberFormat="1" applyFont="1" applyFill="1" applyBorder="1" applyAlignment="1">
      <alignment vertical="center" wrapText="1"/>
    </xf>
    <xf numFmtId="0" fontId="5" fillId="17" borderId="59" xfId="2" applyFont="1" applyFill="1" applyBorder="1" applyAlignment="1">
      <alignment vertical="center"/>
    </xf>
    <xf numFmtId="0" fontId="6" fillId="17" borderId="77" xfId="2" applyFont="1" applyFill="1" applyBorder="1" applyAlignment="1">
      <alignment horizontal="left" vertical="center"/>
    </xf>
    <xf numFmtId="0" fontId="41" fillId="0" borderId="0" xfId="0" applyFont="1" applyFill="1"/>
    <xf numFmtId="3" fontId="22" fillId="17" borderId="62" xfId="2" applyNumberFormat="1" applyFont="1" applyFill="1" applyBorder="1" applyAlignment="1">
      <alignment horizontal="right" vertical="center"/>
    </xf>
    <xf numFmtId="43" fontId="6" fillId="17" borderId="63" xfId="1" applyFont="1" applyFill="1" applyBorder="1" applyAlignment="1">
      <alignment horizontal="right" vertical="center"/>
    </xf>
    <xf numFmtId="0" fontId="22" fillId="17" borderId="77" xfId="2" applyFont="1" applyFill="1" applyBorder="1" applyAlignment="1">
      <alignment vertical="top"/>
    </xf>
    <xf numFmtId="3" fontId="22" fillId="17" borderId="79" xfId="2" applyNumberFormat="1" applyFont="1" applyFill="1" applyBorder="1" applyAlignment="1">
      <alignment horizontal="right" vertical="center"/>
    </xf>
    <xf numFmtId="0" fontId="7" fillId="17" borderId="69" xfId="2" applyFont="1" applyFill="1" applyBorder="1" applyAlignment="1">
      <alignment vertical="top"/>
    </xf>
    <xf numFmtId="3" fontId="7" fillId="17" borderId="68" xfId="2" applyNumberFormat="1" applyFont="1" applyFill="1" applyBorder="1" applyAlignment="1">
      <alignment horizontal="right" vertical="center"/>
    </xf>
    <xf numFmtId="3" fontId="7" fillId="17" borderId="69" xfId="2" applyNumberFormat="1" applyFont="1" applyFill="1" applyBorder="1" applyAlignment="1">
      <alignment horizontal="right" vertical="center"/>
    </xf>
    <xf numFmtId="0" fontId="15" fillId="9" borderId="77" xfId="2" applyFont="1" applyFill="1" applyBorder="1" applyAlignment="1">
      <alignment horizontal="left" vertical="center" wrapText="1"/>
    </xf>
    <xf numFmtId="0" fontId="20" fillId="9" borderId="78" xfId="2" applyFont="1" applyFill="1" applyBorder="1" applyAlignment="1">
      <alignment horizontal="left" vertical="center" wrapText="1"/>
    </xf>
    <xf numFmtId="3" fontId="5" fillId="9" borderId="77" xfId="2" applyNumberFormat="1" applyFont="1" applyFill="1" applyBorder="1" applyAlignment="1">
      <alignment horizontal="right" vertical="center"/>
    </xf>
    <xf numFmtId="3" fontId="5" fillId="9" borderId="79" xfId="2" applyNumberFormat="1" applyFont="1" applyFill="1" applyBorder="1" applyAlignment="1">
      <alignment horizontal="right" vertical="center"/>
    </xf>
    <xf numFmtId="3" fontId="18" fillId="4" borderId="62" xfId="3" applyNumberFormat="1" applyFont="1" applyFill="1" applyBorder="1" applyAlignment="1">
      <alignment horizontal="right" vertical="center"/>
    </xf>
    <xf numFmtId="3" fontId="18" fillId="4" borderId="63" xfId="3" applyNumberFormat="1" applyFont="1" applyFill="1" applyBorder="1" applyAlignment="1">
      <alignment horizontal="right" vertical="center"/>
    </xf>
    <xf numFmtId="3" fontId="42" fillId="2" borderId="62" xfId="3" applyNumberFormat="1" applyFont="1" applyFill="1" applyBorder="1" applyAlignment="1">
      <alignment horizontal="right" vertical="center"/>
    </xf>
    <xf numFmtId="3" fontId="42" fillId="2" borderId="63" xfId="3" applyNumberFormat="1" applyFont="1" applyFill="1" applyBorder="1" applyAlignment="1">
      <alignment horizontal="right" vertical="center"/>
    </xf>
    <xf numFmtId="0" fontId="7" fillId="0" borderId="94" xfId="2" applyFont="1" applyFill="1" applyBorder="1" applyAlignment="1">
      <alignment vertical="top"/>
    </xf>
    <xf numFmtId="3" fontId="7" fillId="0" borderId="94" xfId="2" applyNumberFormat="1" applyFont="1" applyFill="1" applyBorder="1" applyAlignment="1">
      <alignment horizontal="right"/>
    </xf>
    <xf numFmtId="3" fontId="7" fillId="0" borderId="93" xfId="2" applyNumberFormat="1" applyFont="1" applyFill="1" applyBorder="1" applyAlignment="1">
      <alignment horizontal="right"/>
    </xf>
    <xf numFmtId="0" fontId="15" fillId="8" borderId="59" xfId="2" applyFont="1" applyFill="1" applyBorder="1" applyAlignment="1">
      <alignment horizontal="left" vertical="center" wrapText="1"/>
    </xf>
    <xf numFmtId="0" fontId="20" fillId="8" borderId="60" xfId="2" applyFont="1" applyFill="1" applyBorder="1" applyAlignment="1">
      <alignment horizontal="left" vertical="center" wrapText="1"/>
    </xf>
    <xf numFmtId="3" fontId="5" fillId="8" borderId="59" xfId="2" applyNumberFormat="1" applyFont="1" applyFill="1" applyBorder="1" applyAlignment="1">
      <alignment horizontal="right" vertical="center"/>
    </xf>
    <xf numFmtId="3" fontId="5" fillId="8" borderId="58" xfId="2" applyNumberFormat="1" applyFont="1" applyFill="1" applyBorder="1" applyAlignment="1">
      <alignment horizontal="right" vertical="center"/>
    </xf>
    <xf numFmtId="43" fontId="18" fillId="4" borderId="62" xfId="1" applyFont="1" applyFill="1" applyBorder="1" applyAlignment="1">
      <alignment horizontal="right" vertical="center"/>
    </xf>
    <xf numFmtId="43" fontId="18" fillId="4" borderId="63" xfId="1" applyFont="1" applyFill="1" applyBorder="1" applyAlignment="1">
      <alignment horizontal="right" vertical="center"/>
    </xf>
    <xf numFmtId="43" fontId="42" fillId="0" borderId="62" xfId="1" applyFont="1" applyFill="1" applyBorder="1" applyAlignment="1">
      <alignment horizontal="right" vertical="center"/>
    </xf>
    <xf numFmtId="43" fontId="42" fillId="0" borderId="63" xfId="1" applyFont="1" applyFill="1" applyBorder="1" applyAlignment="1">
      <alignment horizontal="right" vertical="center"/>
    </xf>
    <xf numFmtId="3" fontId="18" fillId="17" borderId="62" xfId="3" applyNumberFormat="1" applyFont="1" applyFill="1" applyBorder="1" applyAlignment="1">
      <alignment vertical="center"/>
    </xf>
    <xf numFmtId="3" fontId="18" fillId="17" borderId="63" xfId="3" applyNumberFormat="1" applyFont="1" applyFill="1" applyBorder="1" applyAlignment="1">
      <alignment vertical="center"/>
    </xf>
    <xf numFmtId="0" fontId="18" fillId="0" borderId="0" xfId="0" applyFont="1"/>
    <xf numFmtId="3" fontId="41" fillId="17" borderId="68" xfId="3" applyNumberFormat="1" applyFont="1" applyFill="1" applyBorder="1" applyAlignment="1">
      <alignment vertical="center"/>
    </xf>
    <xf numFmtId="3" fontId="41" fillId="17" borderId="69" xfId="3" applyNumberFormat="1" applyFont="1" applyFill="1" applyBorder="1" applyAlignment="1">
      <alignment vertical="center"/>
    </xf>
    <xf numFmtId="43" fontId="6" fillId="17" borderId="77" xfId="1" applyFont="1" applyFill="1" applyBorder="1" applyAlignment="1">
      <alignment horizontal="right" vertical="center"/>
    </xf>
    <xf numFmtId="165" fontId="42" fillId="17" borderId="77" xfId="3" applyNumberFormat="1" applyFont="1" applyFill="1" applyBorder="1" applyAlignment="1">
      <alignment vertical="center"/>
    </xf>
    <xf numFmtId="43" fontId="6" fillId="2" borderId="63" xfId="1" applyFont="1" applyFill="1" applyBorder="1" applyAlignment="1">
      <alignment horizontal="right" vertical="center"/>
    </xf>
    <xf numFmtId="43" fontId="6" fillId="0" borderId="63" xfId="1" applyFont="1" applyFill="1" applyBorder="1" applyAlignment="1">
      <alignment horizontal="right" vertical="center"/>
    </xf>
    <xf numFmtId="0" fontId="5" fillId="21" borderId="17" xfId="2" applyFont="1" applyFill="1" applyBorder="1" applyAlignment="1">
      <alignment vertical="top"/>
    </xf>
    <xf numFmtId="0" fontId="5" fillId="21" borderId="7" xfId="2" applyFont="1" applyFill="1" applyBorder="1" applyAlignment="1">
      <alignment vertical="top"/>
    </xf>
    <xf numFmtId="0" fontId="5" fillId="21" borderId="11" xfId="2" applyFont="1" applyFill="1" applyBorder="1" applyAlignment="1">
      <alignment vertical="top"/>
    </xf>
    <xf numFmtId="0" fontId="29" fillId="0" borderId="31" xfId="0" quotePrefix="1" applyFont="1" applyBorder="1" applyAlignment="1">
      <alignment horizontal="center" vertical="top"/>
    </xf>
    <xf numFmtId="0" fontId="5" fillId="20" borderId="7" xfId="2" applyFont="1" applyFill="1" applyBorder="1" applyAlignment="1">
      <alignment vertical="top"/>
    </xf>
    <xf numFmtId="0" fontId="6" fillId="20" borderId="77" xfId="2" applyFont="1" applyFill="1" applyBorder="1" applyAlignment="1">
      <alignment vertical="top" wrapText="1"/>
    </xf>
    <xf numFmtId="3" fontId="22" fillId="16" borderId="79" xfId="2" applyNumberFormat="1" applyFont="1" applyFill="1" applyBorder="1" applyAlignment="1">
      <alignment horizontal="right" vertical="center"/>
    </xf>
    <xf numFmtId="3" fontId="22" fillId="16" borderId="77" xfId="2" applyNumberFormat="1" applyFont="1" applyFill="1" applyBorder="1" applyAlignment="1">
      <alignment horizontal="right" vertical="center"/>
    </xf>
    <xf numFmtId="0" fontId="7" fillId="20" borderId="63" xfId="2" applyFont="1" applyFill="1" applyBorder="1" applyAlignment="1">
      <alignment vertical="top" wrapText="1"/>
    </xf>
    <xf numFmtId="3" fontId="7" fillId="16" borderId="62" xfId="2" applyNumberFormat="1" applyFont="1" applyFill="1" applyBorder="1" applyAlignment="1">
      <alignment horizontal="right" vertical="center"/>
    </xf>
    <xf numFmtId="3" fontId="7" fillId="16" borderId="72" xfId="2" applyNumberFormat="1" applyFont="1" applyFill="1" applyBorder="1" applyAlignment="1">
      <alignment horizontal="right" vertical="center"/>
    </xf>
    <xf numFmtId="165" fontId="7" fillId="16" borderId="65" xfId="2" applyNumberFormat="1" applyFont="1" applyFill="1" applyBorder="1" applyAlignment="1">
      <alignment horizontal="right" vertical="center"/>
    </xf>
    <xf numFmtId="3" fontId="7" fillId="16" borderId="63" xfId="2" applyNumberFormat="1" applyFont="1" applyFill="1" applyBorder="1" applyAlignment="1">
      <alignment horizontal="right" vertical="center"/>
    </xf>
    <xf numFmtId="3" fontId="7" fillId="16" borderId="63" xfId="2" applyNumberFormat="1" applyFont="1" applyFill="1" applyBorder="1" applyAlignment="1">
      <alignment vertical="top" wrapText="1"/>
    </xf>
    <xf numFmtId="43" fontId="7" fillId="16" borderId="63" xfId="1" applyFont="1" applyFill="1" applyBorder="1" applyAlignment="1">
      <alignment horizontal="right" vertical="center"/>
    </xf>
    <xf numFmtId="43" fontId="7" fillId="16" borderId="65" xfId="1" applyFont="1" applyFill="1" applyBorder="1" applyAlignment="1">
      <alignment horizontal="right" vertical="center"/>
    </xf>
    <xf numFmtId="0" fontId="7" fillId="16" borderId="63" xfId="2" applyFont="1" applyFill="1" applyBorder="1" applyAlignment="1">
      <alignment vertical="top"/>
    </xf>
    <xf numFmtId="3" fontId="22" fillId="16" borderId="77" xfId="2" applyNumberFormat="1" applyFont="1" applyFill="1" applyBorder="1" applyAlignment="1">
      <alignment vertical="top" wrapText="1"/>
    </xf>
    <xf numFmtId="0" fontId="5" fillId="20" borderId="11" xfId="2" applyFont="1" applyFill="1" applyBorder="1" applyAlignment="1">
      <alignment vertical="top"/>
    </xf>
    <xf numFmtId="0" fontId="7" fillId="16" borderId="69" xfId="2" applyFont="1" applyFill="1" applyBorder="1" applyAlignment="1">
      <alignment vertical="top"/>
    </xf>
    <xf numFmtId="3" fontId="7" fillId="16" borderId="68" xfId="2" applyNumberFormat="1" applyFont="1" applyFill="1" applyBorder="1" applyAlignment="1">
      <alignment horizontal="right" vertical="center"/>
    </xf>
    <xf numFmtId="43" fontId="7" fillId="16" borderId="69" xfId="1" applyFont="1" applyFill="1" applyBorder="1" applyAlignment="1">
      <alignment horizontal="right" vertical="center"/>
    </xf>
    <xf numFmtId="3" fontId="5" fillId="4" borderId="72" xfId="2" applyNumberFormat="1" applyFont="1" applyFill="1" applyBorder="1" applyAlignment="1">
      <alignment horizontal="right" vertical="center"/>
    </xf>
    <xf numFmtId="0" fontId="34" fillId="0" borderId="0" xfId="0" applyFont="1" applyAlignment="1">
      <alignment wrapText="1"/>
    </xf>
    <xf numFmtId="0" fontId="44" fillId="0" borderId="0" xfId="0" applyFont="1"/>
    <xf numFmtId="0" fontId="44" fillId="0" borderId="0" xfId="0" applyFont="1" applyAlignment="1">
      <alignment wrapText="1"/>
    </xf>
    <xf numFmtId="0" fontId="9" fillId="2" borderId="0" xfId="0" applyFont="1" applyFill="1" applyBorder="1" applyAlignment="1">
      <alignment horizontal="right" vertical="center"/>
    </xf>
    <xf numFmtId="0" fontId="14" fillId="2" borderId="0" xfId="2" applyFont="1" applyFill="1" applyBorder="1" applyAlignment="1">
      <alignment horizontal="center" vertical="center" wrapText="1"/>
    </xf>
    <xf numFmtId="0" fontId="17" fillId="2" borderId="36" xfId="0" quotePrefix="1" applyFont="1" applyFill="1" applyBorder="1" applyAlignment="1">
      <alignment horizontal="center" vertical="top"/>
    </xf>
    <xf numFmtId="0" fontId="34" fillId="0" borderId="88" xfId="0" applyFont="1" applyBorder="1" applyAlignment="1">
      <alignment vertical="center"/>
    </xf>
    <xf numFmtId="3" fontId="5" fillId="4" borderId="58" xfId="2" applyNumberFormat="1" applyFont="1" applyFill="1" applyBorder="1" applyAlignment="1">
      <alignment horizontal="right" vertical="center"/>
    </xf>
    <xf numFmtId="3" fontId="5" fillId="4" borderId="59" xfId="2" applyNumberFormat="1" applyFont="1" applyFill="1" applyBorder="1" applyAlignment="1">
      <alignment horizontal="right" vertical="center"/>
    </xf>
    <xf numFmtId="3" fontId="5" fillId="4" borderId="60" xfId="2" applyNumberFormat="1" applyFont="1" applyFill="1" applyBorder="1" applyAlignment="1">
      <alignment horizontal="right" vertical="center"/>
    </xf>
    <xf numFmtId="3" fontId="6" fillId="5" borderId="63" xfId="2" applyNumberFormat="1" applyFont="1" applyFill="1" applyBorder="1" applyAlignment="1">
      <alignment vertical="top" wrapText="1"/>
    </xf>
    <xf numFmtId="3" fontId="6" fillId="5" borderId="62" xfId="2" applyNumberFormat="1" applyFont="1" applyFill="1" applyBorder="1" applyAlignment="1">
      <alignment horizontal="right" vertical="center"/>
    </xf>
    <xf numFmtId="3" fontId="6" fillId="5" borderId="63" xfId="2" applyNumberFormat="1" applyFont="1" applyFill="1" applyBorder="1" applyAlignment="1">
      <alignment horizontal="right" vertical="center"/>
    </xf>
    <xf numFmtId="3" fontId="6" fillId="5" borderId="64" xfId="2" applyNumberFormat="1" applyFont="1" applyFill="1" applyBorder="1" applyAlignment="1">
      <alignment horizontal="right" vertical="center"/>
    </xf>
    <xf numFmtId="3" fontId="16" fillId="5" borderId="62" xfId="0" applyNumberFormat="1" applyFont="1" applyFill="1" applyBorder="1"/>
    <xf numFmtId="3" fontId="16" fillId="5" borderId="63" xfId="0" applyNumberFormat="1" applyFont="1" applyFill="1" applyBorder="1"/>
    <xf numFmtId="3" fontId="16" fillId="5" borderId="67" xfId="0" applyNumberFormat="1" applyFont="1" applyFill="1" applyBorder="1"/>
    <xf numFmtId="3" fontId="7" fillId="5" borderId="62" xfId="2" applyNumberFormat="1" applyFont="1" applyFill="1" applyBorder="1" applyAlignment="1">
      <alignment horizontal="right" vertical="center"/>
    </xf>
    <xf numFmtId="3" fontId="7" fillId="5" borderId="63" xfId="2" applyNumberFormat="1" applyFont="1" applyFill="1" applyBorder="1" applyAlignment="1">
      <alignment horizontal="right" vertical="center"/>
    </xf>
    <xf numFmtId="3" fontId="7" fillId="5" borderId="64" xfId="2" applyNumberFormat="1" applyFont="1" applyFill="1" applyBorder="1" applyAlignment="1">
      <alignment horizontal="right" vertical="center"/>
    </xf>
    <xf numFmtId="3" fontId="16" fillId="5" borderId="62" xfId="3" applyNumberFormat="1" applyFont="1" applyFill="1" applyBorder="1" applyAlignment="1">
      <alignment vertical="center"/>
    </xf>
    <xf numFmtId="3" fontId="16" fillId="5" borderId="67" xfId="3" applyNumberFormat="1" applyFont="1" applyFill="1" applyBorder="1" applyAlignment="1">
      <alignment vertical="center"/>
    </xf>
    <xf numFmtId="3" fontId="16" fillId="5" borderId="63" xfId="3" applyNumberFormat="1" applyFont="1" applyFill="1" applyBorder="1" applyAlignment="1">
      <alignment vertical="center"/>
    </xf>
    <xf numFmtId="3" fontId="5" fillId="4" borderId="67" xfId="2" applyNumberFormat="1" applyFont="1" applyFill="1" applyBorder="1" applyAlignment="1">
      <alignment horizontal="right" vertical="center"/>
    </xf>
    <xf numFmtId="3" fontId="42" fillId="5" borderId="62" xfId="3" applyNumberFormat="1" applyFont="1" applyFill="1" applyBorder="1" applyAlignment="1">
      <alignment vertical="center"/>
    </xf>
    <xf numFmtId="3" fontId="42" fillId="5" borderId="67" xfId="3" applyNumberFormat="1" applyFont="1" applyFill="1" applyBorder="1" applyAlignment="1">
      <alignment vertical="center"/>
    </xf>
    <xf numFmtId="3" fontId="42" fillId="5" borderId="63" xfId="3" applyNumberFormat="1" applyFont="1" applyFill="1" applyBorder="1" applyAlignment="1">
      <alignment vertical="center"/>
    </xf>
    <xf numFmtId="3" fontId="16" fillId="5" borderId="68" xfId="3" applyNumberFormat="1" applyFont="1" applyFill="1" applyBorder="1" applyAlignment="1">
      <alignment vertical="center"/>
    </xf>
    <xf numFmtId="3" fontId="16" fillId="5" borderId="96" xfId="3" applyNumberFormat="1" applyFont="1" applyFill="1" applyBorder="1" applyAlignment="1">
      <alignment vertical="center"/>
    </xf>
    <xf numFmtId="0" fontId="5" fillId="8" borderId="59" xfId="2" applyFont="1" applyFill="1" applyBorder="1" applyAlignment="1">
      <alignment vertical="center" wrapText="1"/>
    </xf>
    <xf numFmtId="0" fontId="33" fillId="8" borderId="60" xfId="2" applyFont="1" applyFill="1" applyBorder="1" applyAlignment="1">
      <alignment horizontal="center" vertical="top" wrapText="1"/>
    </xf>
    <xf numFmtId="43" fontId="36" fillId="0" borderId="63" xfId="1" applyFont="1" applyFill="1" applyBorder="1" applyAlignment="1">
      <alignment horizontal="right" vertical="center"/>
    </xf>
    <xf numFmtId="43" fontId="36" fillId="0" borderId="69" xfId="1" applyFont="1" applyFill="1" applyBorder="1" applyAlignment="1">
      <alignment horizontal="right" vertical="center"/>
    </xf>
    <xf numFmtId="0" fontId="42" fillId="0" borderId="0" xfId="0" applyFont="1"/>
    <xf numFmtId="3" fontId="25" fillId="0" borderId="13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34" fillId="0" borderId="0" xfId="0" applyFont="1" applyBorder="1" applyAlignment="1">
      <alignment vertical="top"/>
    </xf>
    <xf numFmtId="0" fontId="30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6" fillId="0" borderId="88" xfId="0" applyFont="1" applyBorder="1"/>
    <xf numFmtId="0" fontId="16" fillId="0" borderId="88" xfId="0" applyFont="1" applyBorder="1" applyAlignment="1">
      <alignment vertical="center"/>
    </xf>
    <xf numFmtId="3" fontId="22" fillId="2" borderId="47" xfId="0" quotePrefix="1" applyNumberFormat="1" applyFont="1" applyFill="1" applyBorder="1" applyAlignment="1">
      <alignment vertical="top"/>
    </xf>
    <xf numFmtId="3" fontId="22" fillId="2" borderId="15" xfId="0" quotePrefix="1" applyNumberFormat="1" applyFont="1" applyFill="1" applyBorder="1" applyAlignment="1">
      <alignment vertical="top"/>
    </xf>
    <xf numFmtId="3" fontId="22" fillId="2" borderId="31" xfId="0" quotePrefix="1" applyNumberFormat="1" applyFont="1" applyFill="1" applyBorder="1" applyAlignment="1">
      <alignment vertical="top"/>
    </xf>
    <xf numFmtId="0" fontId="15" fillId="4" borderId="20" xfId="2" applyFont="1" applyFill="1" applyBorder="1" applyAlignment="1">
      <alignment horizontal="left" vertical="center"/>
    </xf>
    <xf numFmtId="0" fontId="20" fillId="4" borderId="81" xfId="2" applyFont="1" applyFill="1" applyBorder="1" applyAlignment="1">
      <alignment horizontal="left" vertical="center"/>
    </xf>
    <xf numFmtId="3" fontId="15" fillId="4" borderId="101" xfId="0" applyNumberFormat="1" applyFont="1" applyFill="1" applyBorder="1" applyAlignment="1">
      <alignment vertical="center"/>
    </xf>
    <xf numFmtId="3" fontId="15" fillId="4" borderId="61" xfId="0" applyNumberFormat="1" applyFont="1" applyFill="1" applyBorder="1" applyAlignment="1">
      <alignment vertical="center"/>
    </xf>
    <xf numFmtId="3" fontId="15" fillId="4" borderId="34" xfId="0" applyNumberFormat="1" applyFont="1" applyFill="1" applyBorder="1" applyAlignment="1">
      <alignment vertical="center"/>
    </xf>
    <xf numFmtId="3" fontId="15" fillId="4" borderId="60" xfId="0" applyNumberFormat="1" applyFont="1" applyFill="1" applyBorder="1" applyAlignment="1">
      <alignment vertical="center"/>
    </xf>
    <xf numFmtId="3" fontId="15" fillId="4" borderId="17" xfId="0" applyNumberFormat="1" applyFont="1" applyFill="1" applyBorder="1" applyAlignment="1">
      <alignment vertical="center"/>
    </xf>
    <xf numFmtId="3" fontId="15" fillId="4" borderId="59" xfId="0" applyNumberFormat="1" applyFont="1" applyFill="1" applyBorder="1" applyAlignment="1">
      <alignment vertical="center"/>
    </xf>
    <xf numFmtId="0" fontId="22" fillId="5" borderId="63" xfId="2" applyFont="1" applyFill="1" applyBorder="1" applyAlignment="1">
      <alignment vertical="center"/>
    </xf>
    <xf numFmtId="3" fontId="15" fillId="5" borderId="72" xfId="0" applyNumberFormat="1" applyFont="1" applyFill="1" applyBorder="1" applyAlignment="1">
      <alignment vertical="center"/>
    </xf>
    <xf numFmtId="3" fontId="15" fillId="5" borderId="65" xfId="0" applyNumberFormat="1" applyFont="1" applyFill="1" applyBorder="1" applyAlignment="1">
      <alignment vertical="center"/>
    </xf>
    <xf numFmtId="3" fontId="15" fillId="5" borderId="64" xfId="0" applyNumberFormat="1" applyFont="1" applyFill="1" applyBorder="1" applyAlignment="1">
      <alignment vertical="center"/>
    </xf>
    <xf numFmtId="3" fontId="15" fillId="5" borderId="62" xfId="0" applyNumberFormat="1" applyFont="1" applyFill="1" applyBorder="1" applyAlignment="1">
      <alignment vertical="center"/>
    </xf>
    <xf numFmtId="3" fontId="15" fillId="5" borderId="63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5" fillId="5" borderId="63" xfId="2" applyFont="1" applyFill="1" applyBorder="1" applyAlignment="1">
      <alignment vertical="center"/>
    </xf>
    <xf numFmtId="3" fontId="25" fillId="5" borderId="86" xfId="0" applyNumberFormat="1" applyFont="1" applyFill="1" applyBorder="1" applyAlignment="1">
      <alignment vertical="center"/>
    </xf>
    <xf numFmtId="3" fontId="25" fillId="5" borderId="80" xfId="0" applyNumberFormat="1" applyFont="1" applyFill="1" applyBorder="1" applyAlignment="1">
      <alignment vertical="center"/>
    </xf>
    <xf numFmtId="3" fontId="25" fillId="5" borderId="78" xfId="0" applyNumberFormat="1" applyFont="1" applyFill="1" applyBorder="1" applyAlignment="1">
      <alignment vertical="center"/>
    </xf>
    <xf numFmtId="3" fontId="25" fillId="5" borderId="79" xfId="0" applyNumberFormat="1" applyFont="1" applyFill="1" applyBorder="1" applyAlignment="1">
      <alignment vertical="center"/>
    </xf>
    <xf numFmtId="3" fontId="25" fillId="5" borderId="77" xfId="0" applyNumberFormat="1" applyFont="1" applyFill="1" applyBorder="1" applyAlignment="1">
      <alignment vertical="center"/>
    </xf>
    <xf numFmtId="0" fontId="25" fillId="5" borderId="63" xfId="0" applyFont="1" applyFill="1" applyBorder="1" applyAlignment="1">
      <alignment vertical="top"/>
    </xf>
    <xf numFmtId="3" fontId="25" fillId="5" borderId="48" xfId="0" applyNumberFormat="1" applyFont="1" applyFill="1" applyBorder="1" applyAlignment="1">
      <alignment vertical="top"/>
    </xf>
    <xf numFmtId="3" fontId="25" fillId="5" borderId="10" xfId="0" applyNumberFormat="1" applyFont="1" applyFill="1" applyBorder="1" applyAlignment="1">
      <alignment vertical="top"/>
    </xf>
    <xf numFmtId="3" fontId="25" fillId="5" borderId="6" xfId="0" applyNumberFormat="1" applyFont="1" applyFill="1" applyBorder="1" applyAlignment="1">
      <alignment vertical="top"/>
    </xf>
    <xf numFmtId="3" fontId="25" fillId="5" borderId="7" xfId="0" applyNumberFormat="1" applyFont="1" applyFill="1" applyBorder="1" applyAlignment="1">
      <alignment vertical="top"/>
    </xf>
    <xf numFmtId="3" fontId="25" fillId="5" borderId="8" xfId="0" applyNumberFormat="1" applyFont="1" applyFill="1" applyBorder="1" applyAlignment="1">
      <alignment vertical="top"/>
    </xf>
    <xf numFmtId="0" fontId="25" fillId="5" borderId="8" xfId="0" applyFont="1" applyFill="1" applyBorder="1" applyAlignment="1">
      <alignment vertical="top"/>
    </xf>
    <xf numFmtId="3" fontId="25" fillId="5" borderId="116" xfId="0" applyNumberFormat="1" applyFont="1" applyFill="1" applyBorder="1" applyAlignment="1">
      <alignment vertical="top"/>
    </xf>
    <xf numFmtId="3" fontId="25" fillId="5" borderId="91" xfId="0" applyNumberFormat="1" applyFont="1" applyFill="1" applyBorder="1" applyAlignment="1">
      <alignment vertical="top"/>
    </xf>
    <xf numFmtId="3" fontId="25" fillId="5" borderId="95" xfId="0" applyNumberFormat="1" applyFont="1" applyFill="1" applyBorder="1" applyAlignment="1">
      <alignment vertical="top"/>
    </xf>
    <xf numFmtId="3" fontId="25" fillId="5" borderId="93" xfId="0" applyNumberFormat="1" applyFont="1" applyFill="1" applyBorder="1" applyAlignment="1">
      <alignment vertical="top"/>
    </xf>
    <xf numFmtId="164" fontId="25" fillId="5" borderId="10" xfId="0" applyNumberFormat="1" applyFont="1" applyFill="1" applyBorder="1" applyAlignment="1">
      <alignment vertical="top"/>
    </xf>
    <xf numFmtId="3" fontId="25" fillId="5" borderId="94" xfId="0" applyNumberFormat="1" applyFont="1" applyFill="1" applyBorder="1" applyAlignment="1">
      <alignment vertical="top"/>
    </xf>
    <xf numFmtId="0" fontId="25" fillId="5" borderId="94" xfId="0" applyFont="1" applyFill="1" applyBorder="1" applyAlignment="1">
      <alignment vertical="top" wrapText="1"/>
    </xf>
    <xf numFmtId="3" fontId="25" fillId="5" borderId="65" xfId="0" applyNumberFormat="1" applyFont="1" applyFill="1" applyBorder="1" applyAlignment="1">
      <alignment vertical="top"/>
    </xf>
    <xf numFmtId="3" fontId="25" fillId="5" borderId="62" xfId="0" applyNumberFormat="1" applyFont="1" applyFill="1" applyBorder="1" applyAlignment="1">
      <alignment vertical="top"/>
    </xf>
    <xf numFmtId="164" fontId="25" fillId="5" borderId="65" xfId="0" applyNumberFormat="1" applyFont="1" applyFill="1" applyBorder="1" applyAlignment="1">
      <alignment vertical="top"/>
    </xf>
    <xf numFmtId="3" fontId="25" fillId="5" borderId="63" xfId="0" applyNumberFormat="1" applyFont="1" applyFill="1" applyBorder="1" applyAlignment="1">
      <alignment vertical="top"/>
    </xf>
    <xf numFmtId="3" fontId="15" fillId="5" borderId="116" xfId="0" applyNumberFormat="1" applyFont="1" applyFill="1" applyBorder="1" applyAlignment="1">
      <alignment vertical="center"/>
    </xf>
    <xf numFmtId="3" fontId="15" fillId="5" borderId="95" xfId="0" applyNumberFormat="1" applyFont="1" applyFill="1" applyBorder="1" applyAlignment="1">
      <alignment vertical="center"/>
    </xf>
    <xf numFmtId="164" fontId="15" fillId="5" borderId="65" xfId="0" applyNumberFormat="1" applyFont="1" applyFill="1" applyBorder="1" applyAlignment="1">
      <alignment vertical="center"/>
    </xf>
    <xf numFmtId="0" fontId="25" fillId="5" borderId="63" xfId="2" applyFont="1" applyFill="1" applyBorder="1" applyAlignment="1">
      <alignment vertical="top" wrapText="1"/>
    </xf>
    <xf numFmtId="0" fontId="20" fillId="4" borderId="95" xfId="2" applyFont="1" applyFill="1" applyBorder="1" applyAlignment="1">
      <alignment horizontal="left" vertical="center"/>
    </xf>
    <xf numFmtId="3" fontId="15" fillId="4" borderId="116" xfId="0" applyNumberFormat="1" applyFont="1" applyFill="1" applyBorder="1" applyAlignment="1">
      <alignment vertical="top"/>
    </xf>
    <xf numFmtId="3" fontId="15" fillId="4" borderId="65" xfId="0" applyNumberFormat="1" applyFont="1" applyFill="1" applyBorder="1" applyAlignment="1">
      <alignment vertical="top"/>
    </xf>
    <xf numFmtId="3" fontId="15" fillId="4" borderId="10" xfId="0" applyNumberFormat="1" applyFont="1" applyFill="1" applyBorder="1" applyAlignment="1">
      <alignment vertical="top"/>
    </xf>
    <xf numFmtId="3" fontId="15" fillId="4" borderId="64" xfId="0" applyNumberFormat="1" applyFont="1" applyFill="1" applyBorder="1" applyAlignment="1">
      <alignment vertical="top"/>
    </xf>
    <xf numFmtId="3" fontId="15" fillId="4" borderId="79" xfId="0" applyNumberFormat="1" applyFont="1" applyFill="1" applyBorder="1" applyAlignment="1">
      <alignment vertical="top"/>
    </xf>
    <xf numFmtId="164" fontId="15" fillId="4" borderId="65" xfId="0" applyNumberFormat="1" applyFont="1" applyFill="1" applyBorder="1" applyAlignment="1">
      <alignment vertical="top"/>
    </xf>
    <xf numFmtId="3" fontId="15" fillId="4" borderId="63" xfId="0" applyNumberFormat="1" applyFont="1" applyFill="1" applyBorder="1" applyAlignment="1">
      <alignment vertical="top"/>
    </xf>
    <xf numFmtId="0" fontId="22" fillId="16" borderId="8" xfId="2" applyFont="1" applyFill="1" applyBorder="1" applyAlignment="1">
      <alignment vertical="center"/>
    </xf>
    <xf numFmtId="3" fontId="15" fillId="16" borderId="116" xfId="0" applyNumberFormat="1" applyFont="1" applyFill="1" applyBorder="1" applyAlignment="1">
      <alignment vertical="center"/>
    </xf>
    <xf numFmtId="3" fontId="15" fillId="16" borderId="65" xfId="0" applyNumberFormat="1" applyFont="1" applyFill="1" applyBorder="1" applyAlignment="1">
      <alignment vertical="center"/>
    </xf>
    <xf numFmtId="3" fontId="15" fillId="16" borderId="64" xfId="0" applyNumberFormat="1" applyFont="1" applyFill="1" applyBorder="1" applyAlignment="1">
      <alignment vertical="center"/>
    </xf>
    <xf numFmtId="3" fontId="15" fillId="16" borderId="79" xfId="0" applyNumberFormat="1" applyFont="1" applyFill="1" applyBorder="1" applyAlignment="1">
      <alignment vertical="center"/>
    </xf>
    <xf numFmtId="164" fontId="15" fillId="16" borderId="10" xfId="0" applyNumberFormat="1" applyFont="1" applyFill="1" applyBorder="1" applyAlignment="1">
      <alignment vertical="center"/>
    </xf>
    <xf numFmtId="3" fontId="15" fillId="16" borderId="63" xfId="0" applyNumberFormat="1" applyFont="1" applyFill="1" applyBorder="1" applyAlignment="1">
      <alignment vertical="center"/>
    </xf>
    <xf numFmtId="0" fontId="25" fillId="16" borderId="94" xfId="0" applyFont="1" applyFill="1" applyBorder="1" applyAlignment="1">
      <alignment vertical="top" wrapText="1"/>
    </xf>
    <xf numFmtId="3" fontId="25" fillId="16" borderId="116" xfId="0" applyNumberFormat="1" applyFont="1" applyFill="1" applyBorder="1" applyAlignment="1">
      <alignment vertical="top"/>
    </xf>
    <xf numFmtId="3" fontId="25" fillId="16" borderId="65" xfId="0" applyNumberFormat="1" applyFont="1" applyFill="1" applyBorder="1" applyAlignment="1">
      <alignment vertical="top"/>
    </xf>
    <xf numFmtId="3" fontId="25" fillId="16" borderId="80" xfId="0" applyNumberFormat="1" applyFont="1" applyFill="1" applyBorder="1" applyAlignment="1">
      <alignment vertical="top"/>
    </xf>
    <xf numFmtId="3" fontId="25" fillId="16" borderId="6" xfId="0" applyNumberFormat="1" applyFont="1" applyFill="1" applyBorder="1" applyAlignment="1">
      <alignment vertical="top"/>
    </xf>
    <xf numFmtId="3" fontId="25" fillId="16" borderId="7" xfId="0" applyNumberFormat="1" applyFont="1" applyFill="1" applyBorder="1" applyAlignment="1">
      <alignment vertical="top"/>
    </xf>
    <xf numFmtId="164" fontId="25" fillId="16" borderId="65" xfId="0" applyNumberFormat="1" applyFont="1" applyFill="1" applyBorder="1" applyAlignment="1">
      <alignment vertical="top"/>
    </xf>
    <xf numFmtId="3" fontId="25" fillId="16" borderId="8" xfId="0" applyNumberFormat="1" applyFont="1" applyFill="1" applyBorder="1" applyAlignment="1">
      <alignment vertical="top"/>
    </xf>
    <xf numFmtId="0" fontId="25" fillId="16" borderId="63" xfId="0" applyFont="1" applyFill="1" applyBorder="1" applyAlignment="1">
      <alignment vertical="top"/>
    </xf>
    <xf numFmtId="3" fontId="25" fillId="16" borderId="72" xfId="0" applyNumberFormat="1" applyFont="1" applyFill="1" applyBorder="1" applyAlignment="1">
      <alignment vertical="top"/>
    </xf>
    <xf numFmtId="3" fontId="25" fillId="16" borderId="10" xfId="0" applyNumberFormat="1" applyFont="1" applyFill="1" applyBorder="1" applyAlignment="1">
      <alignment vertical="top"/>
    </xf>
    <xf numFmtId="3" fontId="25" fillId="16" borderId="95" xfId="0" applyNumberFormat="1" applyFont="1" applyFill="1" applyBorder="1" applyAlignment="1">
      <alignment vertical="top"/>
    </xf>
    <xf numFmtId="3" fontId="25" fillId="16" borderId="62" xfId="0" applyNumberFormat="1" applyFont="1" applyFill="1" applyBorder="1" applyAlignment="1">
      <alignment vertical="top"/>
    </xf>
    <xf numFmtId="3" fontId="25" fillId="16" borderId="63" xfId="0" applyNumberFormat="1" applyFont="1" applyFill="1" applyBorder="1" applyAlignment="1">
      <alignment vertical="top"/>
    </xf>
    <xf numFmtId="3" fontId="22" fillId="16" borderId="72" xfId="0" applyNumberFormat="1" applyFont="1" applyFill="1" applyBorder="1" applyAlignment="1">
      <alignment vertical="top"/>
    </xf>
    <xf numFmtId="3" fontId="22" fillId="16" borderId="65" xfId="0" applyNumberFormat="1" applyFont="1" applyFill="1" applyBorder="1" applyAlignment="1">
      <alignment vertical="top"/>
    </xf>
    <xf numFmtId="3" fontId="22" fillId="16" borderId="64" xfId="0" applyNumberFormat="1" applyFont="1" applyFill="1" applyBorder="1" applyAlignment="1">
      <alignment vertical="top"/>
    </xf>
    <xf numFmtId="3" fontId="22" fillId="16" borderId="62" xfId="0" applyNumberFormat="1" applyFont="1" applyFill="1" applyBorder="1" applyAlignment="1">
      <alignment vertical="top"/>
    </xf>
    <xf numFmtId="164" fontId="22" fillId="16" borderId="65" xfId="0" applyNumberFormat="1" applyFont="1" applyFill="1" applyBorder="1" applyAlignment="1">
      <alignment vertical="top"/>
    </xf>
    <xf numFmtId="3" fontId="22" fillId="16" borderId="63" xfId="0" applyNumberFormat="1" applyFont="1" applyFill="1" applyBorder="1" applyAlignment="1">
      <alignment vertical="top"/>
    </xf>
    <xf numFmtId="0" fontId="25" fillId="16" borderId="69" xfId="2" applyFont="1" applyFill="1" applyBorder="1" applyAlignment="1">
      <alignment vertical="top" wrapText="1"/>
    </xf>
    <xf numFmtId="3" fontId="25" fillId="16" borderId="47" xfId="0" applyNumberFormat="1" applyFont="1" applyFill="1" applyBorder="1" applyAlignment="1">
      <alignment vertical="top"/>
    </xf>
    <xf numFmtId="3" fontId="25" fillId="16" borderId="15" xfId="0" applyNumberFormat="1" applyFont="1" applyFill="1" applyBorder="1" applyAlignment="1">
      <alignment vertical="top"/>
    </xf>
    <xf numFmtId="3" fontId="25" fillId="16" borderId="31" xfId="0" applyNumberFormat="1" applyFont="1" applyFill="1" applyBorder="1" applyAlignment="1">
      <alignment vertical="top"/>
    </xf>
    <xf numFmtId="3" fontId="25" fillId="16" borderId="11" xfId="0" applyNumberFormat="1" applyFont="1" applyFill="1" applyBorder="1" applyAlignment="1">
      <alignment vertical="top"/>
    </xf>
    <xf numFmtId="164" fontId="25" fillId="16" borderId="15" xfId="0" applyNumberFormat="1" applyFont="1" applyFill="1" applyBorder="1" applyAlignment="1">
      <alignment vertical="top"/>
    </xf>
    <xf numFmtId="3" fontId="25" fillId="16" borderId="13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43" fontId="25" fillId="0" borderId="64" xfId="1" applyFont="1" applyFill="1" applyBorder="1" applyAlignment="1">
      <alignment vertical="top"/>
    </xf>
    <xf numFmtId="0" fontId="5" fillId="4" borderId="8" xfId="2" applyFont="1" applyFill="1" applyBorder="1" applyAlignment="1">
      <alignment horizontal="left" vertical="center"/>
    </xf>
    <xf numFmtId="43" fontId="25" fillId="0" borderId="63" xfId="1" applyFont="1" applyFill="1" applyBorder="1" applyAlignment="1">
      <alignment vertical="top"/>
    </xf>
    <xf numFmtId="3" fontId="25" fillId="0" borderId="68" xfId="0" applyNumberFormat="1" applyFont="1" applyFill="1" applyBorder="1" applyAlignment="1">
      <alignment vertical="top"/>
    </xf>
    <xf numFmtId="43" fontId="25" fillId="0" borderId="69" xfId="1" applyFont="1" applyFill="1" applyBorder="1" applyAlignment="1">
      <alignment vertical="top"/>
    </xf>
    <xf numFmtId="0" fontId="20" fillId="14" borderId="60" xfId="0" applyFont="1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vertical="top"/>
    </xf>
    <xf numFmtId="3" fontId="5" fillId="4" borderId="62" xfId="0" applyNumberFormat="1" applyFont="1" applyFill="1" applyBorder="1" applyAlignment="1">
      <alignment vertical="top"/>
    </xf>
    <xf numFmtId="3" fontId="15" fillId="4" borderId="62" xfId="0" applyNumberFormat="1" applyFont="1" applyFill="1" applyBorder="1" applyAlignment="1">
      <alignment vertical="top"/>
    </xf>
    <xf numFmtId="165" fontId="15" fillId="4" borderId="63" xfId="0" applyNumberFormat="1" applyFont="1" applyFill="1" applyBorder="1" applyAlignment="1">
      <alignment vertical="top"/>
    </xf>
    <xf numFmtId="3" fontId="32" fillId="0" borderId="0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48" fillId="0" borderId="0" xfId="0" applyFont="1" applyFill="1" applyBorder="1" applyAlignment="1">
      <alignment vertical="top"/>
    </xf>
    <xf numFmtId="0" fontId="49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top" wrapText="1"/>
    </xf>
    <xf numFmtId="0" fontId="5" fillId="0" borderId="40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0" fontId="16" fillId="0" borderId="87" xfId="0" applyFont="1" applyBorder="1" applyAlignment="1">
      <alignment horizontal="center" vertical="top" wrapText="1"/>
    </xf>
    <xf numFmtId="0" fontId="5" fillId="0" borderId="48" xfId="0" applyFont="1" applyBorder="1" applyAlignment="1">
      <alignment vertical="top"/>
    </xf>
    <xf numFmtId="0" fontId="16" fillId="0" borderId="88" xfId="0" applyFont="1" applyBorder="1" applyAlignment="1">
      <alignment horizontal="center" vertical="top" wrapText="1"/>
    </xf>
    <xf numFmtId="0" fontId="5" fillId="0" borderId="47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34" fillId="0" borderId="12" xfId="0" applyFont="1" applyBorder="1" applyAlignment="1">
      <alignment vertical="top"/>
    </xf>
    <xf numFmtId="0" fontId="16" fillId="0" borderId="92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33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3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0" borderId="0" xfId="0" applyFont="1" applyFill="1" applyAlignment="1">
      <alignment vertical="top"/>
    </xf>
    <xf numFmtId="0" fontId="32" fillId="10" borderId="0" xfId="0" applyFont="1" applyFill="1" applyAlignment="1">
      <alignment vertical="top"/>
    </xf>
    <xf numFmtId="43" fontId="22" fillId="2" borderId="113" xfId="1" quotePrefix="1" applyFont="1" applyFill="1" applyBorder="1" applyAlignment="1">
      <alignment vertical="center"/>
    </xf>
    <xf numFmtId="3" fontId="22" fillId="2" borderId="120" xfId="0" quotePrefix="1" applyNumberFormat="1" applyFont="1" applyFill="1" applyBorder="1" applyAlignment="1">
      <alignment vertical="center"/>
    </xf>
    <xf numFmtId="43" fontId="22" fillId="2" borderId="47" xfId="1" quotePrefix="1" applyFont="1" applyFill="1" applyBorder="1" applyAlignment="1">
      <alignment vertical="top"/>
    </xf>
    <xf numFmtId="43" fontId="22" fillId="2" borderId="15" xfId="1" quotePrefix="1" applyFont="1" applyFill="1" applyBorder="1" applyAlignment="1">
      <alignment vertical="top"/>
    </xf>
    <xf numFmtId="43" fontId="22" fillId="0" borderId="33" xfId="1" applyFont="1" applyFill="1" applyBorder="1" applyAlignment="1">
      <alignment horizontal="right" vertical="center"/>
    </xf>
    <xf numFmtId="3" fontId="5" fillId="12" borderId="101" xfId="0" applyNumberFormat="1" applyFont="1" applyFill="1" applyBorder="1" applyAlignment="1">
      <alignment vertical="center"/>
    </xf>
    <xf numFmtId="43" fontId="5" fillId="12" borderId="61" xfId="1" applyFont="1" applyFill="1" applyBorder="1" applyAlignment="1">
      <alignment vertical="center"/>
    </xf>
    <xf numFmtId="3" fontId="5" fillId="12" borderId="61" xfId="0" applyNumberFormat="1" applyFont="1" applyFill="1" applyBorder="1" applyAlignment="1">
      <alignment vertical="center"/>
    </xf>
    <xf numFmtId="3" fontId="5" fillId="12" borderId="60" xfId="0" applyNumberFormat="1" applyFont="1" applyFill="1" applyBorder="1" applyAlignment="1">
      <alignment vertical="center"/>
    </xf>
    <xf numFmtId="3" fontId="5" fillId="12" borderId="59" xfId="0" applyNumberFormat="1" applyFont="1" applyFill="1" applyBorder="1" applyAlignment="1">
      <alignment vertical="center"/>
    </xf>
    <xf numFmtId="0" fontId="6" fillId="5" borderId="63" xfId="2" applyFont="1" applyFill="1" applyBorder="1" applyAlignment="1">
      <alignment vertical="center"/>
    </xf>
    <xf numFmtId="3" fontId="22" fillId="5" borderId="72" xfId="0" applyNumberFormat="1" applyFont="1" applyFill="1" applyBorder="1" applyAlignment="1">
      <alignment vertical="center"/>
    </xf>
    <xf numFmtId="43" fontId="22" fillId="5" borderId="65" xfId="1" applyFont="1" applyFill="1" applyBorder="1" applyAlignment="1">
      <alignment vertical="center"/>
    </xf>
    <xf numFmtId="3" fontId="22" fillId="5" borderId="65" xfId="0" applyNumberFormat="1" applyFont="1" applyFill="1" applyBorder="1" applyAlignment="1">
      <alignment vertical="center"/>
    </xf>
    <xf numFmtId="3" fontId="22" fillId="5" borderId="64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0" fontId="28" fillId="13" borderId="0" xfId="0" applyFont="1" applyFill="1" applyAlignment="1">
      <alignment vertical="center"/>
    </xf>
    <xf numFmtId="0" fontId="7" fillId="5" borderId="63" xfId="2" applyFont="1" applyFill="1" applyBorder="1" applyAlignment="1">
      <alignment vertical="center"/>
    </xf>
    <xf numFmtId="3" fontId="25" fillId="11" borderId="72" xfId="0" applyNumberFormat="1" applyFont="1" applyFill="1" applyBorder="1" applyAlignment="1">
      <alignment vertical="center"/>
    </xf>
    <xf numFmtId="43" fontId="25" fillId="11" borderId="65" xfId="1" applyFont="1" applyFill="1" applyBorder="1" applyAlignment="1">
      <alignment vertical="center"/>
    </xf>
    <xf numFmtId="3" fontId="25" fillId="11" borderId="65" xfId="0" applyNumberFormat="1" applyFont="1" applyFill="1" applyBorder="1" applyAlignment="1">
      <alignment vertical="center"/>
    </xf>
    <xf numFmtId="3" fontId="25" fillId="11" borderId="64" xfId="0" applyNumberFormat="1" applyFont="1" applyFill="1" applyBorder="1" applyAlignment="1">
      <alignment vertical="center"/>
    </xf>
    <xf numFmtId="3" fontId="25" fillId="11" borderId="63" xfId="0" applyNumberFormat="1" applyFont="1" applyFill="1" applyBorder="1" applyAlignment="1">
      <alignment vertical="center"/>
    </xf>
    <xf numFmtId="0" fontId="48" fillId="0" borderId="0" xfId="0" applyFont="1" applyAlignment="1">
      <alignment vertical="top"/>
    </xf>
    <xf numFmtId="165" fontId="22" fillId="5" borderId="65" xfId="0" applyNumberFormat="1" applyFont="1" applyFill="1" applyBorder="1" applyAlignment="1">
      <alignment vertical="center"/>
    </xf>
    <xf numFmtId="165" fontId="25" fillId="11" borderId="65" xfId="0" applyNumberFormat="1" applyFont="1" applyFill="1" applyBorder="1" applyAlignment="1">
      <alignment vertical="center"/>
    </xf>
    <xf numFmtId="0" fontId="28" fillId="13" borderId="0" xfId="0" applyFont="1" applyFill="1" applyAlignment="1">
      <alignment vertical="top"/>
    </xf>
    <xf numFmtId="0" fontId="28" fillId="4" borderId="64" xfId="0" applyFont="1" applyFill="1" applyBorder="1" applyAlignment="1">
      <alignment vertical="top" wrapText="1"/>
    </xf>
    <xf numFmtId="3" fontId="15" fillId="4" borderId="72" xfId="0" applyNumberFormat="1" applyFont="1" applyFill="1" applyBorder="1" applyAlignment="1">
      <alignment vertical="top"/>
    </xf>
    <xf numFmtId="43" fontId="15" fillId="4" borderId="65" xfId="1" applyFont="1" applyFill="1" applyBorder="1" applyAlignment="1">
      <alignment vertical="top"/>
    </xf>
    <xf numFmtId="0" fontId="25" fillId="5" borderId="69" xfId="0" applyFont="1" applyFill="1" applyBorder="1" applyAlignment="1">
      <alignment vertical="top" wrapText="1"/>
    </xf>
    <xf numFmtId="3" fontId="25" fillId="11" borderId="73" xfId="0" applyNumberFormat="1" applyFont="1" applyFill="1" applyBorder="1" applyAlignment="1">
      <alignment vertical="center"/>
    </xf>
    <xf numFmtId="43" fontId="25" fillId="11" borderId="71" xfId="1" applyFont="1" applyFill="1" applyBorder="1" applyAlignment="1">
      <alignment vertical="center"/>
    </xf>
    <xf numFmtId="3" fontId="25" fillId="11" borderId="71" xfId="0" applyNumberFormat="1" applyFont="1" applyFill="1" applyBorder="1" applyAlignment="1">
      <alignment vertical="center"/>
    </xf>
    <xf numFmtId="3" fontId="25" fillId="11" borderId="69" xfId="0" applyNumberFormat="1" applyFont="1" applyFill="1" applyBorder="1" applyAlignment="1">
      <alignment vertical="center"/>
    </xf>
    <xf numFmtId="0" fontId="20" fillId="4" borderId="6" xfId="2" applyFont="1" applyFill="1" applyBorder="1" applyAlignment="1">
      <alignment horizontal="left" vertical="center"/>
    </xf>
    <xf numFmtId="165" fontId="7" fillId="0" borderId="8" xfId="2" applyNumberFormat="1" applyFont="1" applyFill="1" applyBorder="1" applyAlignment="1">
      <alignment horizontal="right" vertical="center"/>
    </xf>
    <xf numFmtId="3" fontId="7" fillId="0" borderId="8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7" fillId="2" borderId="69" xfId="2" applyFont="1" applyFill="1" applyBorder="1" applyAlignment="1">
      <alignment vertical="top" wrapText="1"/>
    </xf>
    <xf numFmtId="165" fontId="7" fillId="2" borderId="69" xfId="2" applyNumberFormat="1" applyFont="1" applyFill="1" applyBorder="1" applyAlignment="1">
      <alignment horizontal="right" vertical="center"/>
    </xf>
    <xf numFmtId="43" fontId="22" fillId="2" borderId="114" xfId="1" quotePrefix="1" applyFont="1" applyFill="1" applyBorder="1" applyAlignment="1">
      <alignment vertical="top"/>
    </xf>
    <xf numFmtId="43" fontId="5" fillId="4" borderId="63" xfId="1" applyFont="1" applyFill="1" applyBorder="1" applyAlignment="1">
      <alignment vertical="top"/>
    </xf>
    <xf numFmtId="0" fontId="7" fillId="14" borderId="60" xfId="0" applyFont="1" applyFill="1" applyBorder="1" applyAlignment="1">
      <alignment vertical="top"/>
    </xf>
    <xf numFmtId="0" fontId="32" fillId="0" borderId="0" xfId="0" applyFont="1" applyBorder="1" applyAlignment="1">
      <alignment horizontal="center" vertical="top" wrapText="1"/>
    </xf>
    <xf numFmtId="0" fontId="33" fillId="0" borderId="40" xfId="0" applyFont="1" applyBorder="1" applyAlignment="1">
      <alignment vertical="top"/>
    </xf>
    <xf numFmtId="0" fontId="32" fillId="0" borderId="19" xfId="0" applyFont="1" applyBorder="1" applyAlignment="1">
      <alignment vertical="top"/>
    </xf>
    <xf numFmtId="0" fontId="32" fillId="0" borderId="87" xfId="0" applyFont="1" applyBorder="1" applyAlignment="1">
      <alignment horizontal="center" vertical="top" wrapText="1"/>
    </xf>
    <xf numFmtId="0" fontId="33" fillId="0" borderId="48" xfId="0" applyFont="1" applyBorder="1" applyAlignment="1">
      <alignment vertical="top"/>
    </xf>
    <xf numFmtId="0" fontId="32" fillId="0" borderId="88" xfId="0" applyFont="1" applyBorder="1" applyAlignment="1">
      <alignment horizontal="center" vertical="top" wrapText="1"/>
    </xf>
    <xf numFmtId="0" fontId="33" fillId="0" borderId="47" xfId="0" applyFont="1" applyBorder="1" applyAlignment="1">
      <alignment vertical="top"/>
    </xf>
    <xf numFmtId="0" fontId="32" fillId="0" borderId="12" xfId="0" applyFont="1" applyBorder="1" applyAlignment="1">
      <alignment vertical="top"/>
    </xf>
    <xf numFmtId="0" fontId="32" fillId="0" borderId="92" xfId="0" applyFont="1" applyBorder="1" applyAlignment="1">
      <alignment horizontal="center" vertical="top" wrapText="1"/>
    </xf>
    <xf numFmtId="0" fontId="32" fillId="0" borderId="88" xfId="0" applyFont="1" applyBorder="1" applyAlignment="1">
      <alignment vertical="top"/>
    </xf>
    <xf numFmtId="0" fontId="32" fillId="0" borderId="0" xfId="0" applyFont="1" applyAlignment="1">
      <alignment horizontal="center" vertical="top" wrapText="1"/>
    </xf>
    <xf numFmtId="3" fontId="16" fillId="0" borderId="0" xfId="0" applyNumberFormat="1" applyFont="1" applyAlignment="1">
      <alignment vertical="top"/>
    </xf>
    <xf numFmtId="0" fontId="47" fillId="0" borderId="0" xfId="0" applyFont="1" applyFill="1" applyAlignment="1">
      <alignment vertical="top"/>
    </xf>
    <xf numFmtId="0" fontId="28" fillId="0" borderId="17" xfId="0" applyFont="1" applyBorder="1" applyAlignment="1">
      <alignment vertical="top"/>
    </xf>
    <xf numFmtId="0" fontId="28" fillId="0" borderId="7" xfId="0" applyFont="1" applyBorder="1" applyAlignment="1">
      <alignment vertical="top"/>
    </xf>
    <xf numFmtId="0" fontId="29" fillId="0" borderId="111" xfId="0" quotePrefix="1" applyFont="1" applyBorder="1" applyAlignment="1">
      <alignment horizontal="center" vertical="top"/>
    </xf>
    <xf numFmtId="3" fontId="22" fillId="2" borderId="112" xfId="0" quotePrefix="1" applyNumberFormat="1" applyFont="1" applyFill="1" applyBorder="1" applyAlignment="1">
      <alignment vertical="top"/>
    </xf>
    <xf numFmtId="3" fontId="5" fillId="12" borderId="58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5" fillId="11" borderId="62" xfId="0" applyNumberFormat="1" applyFont="1" applyFill="1" applyBorder="1" applyAlignment="1">
      <alignment vertical="center"/>
    </xf>
    <xf numFmtId="3" fontId="25" fillId="11" borderId="68" xfId="0" applyNumberFormat="1" applyFont="1" applyFill="1" applyBorder="1" applyAlignment="1">
      <alignment vertical="center"/>
    </xf>
    <xf numFmtId="0" fontId="15" fillId="14" borderId="59" xfId="0" applyFont="1" applyFill="1" applyBorder="1" applyAlignment="1">
      <alignment vertical="center" wrapText="1"/>
    </xf>
    <xf numFmtId="165" fontId="22" fillId="0" borderId="63" xfId="0" applyNumberFormat="1" applyFont="1" applyFill="1" applyBorder="1" applyAlignment="1">
      <alignment vertical="center"/>
    </xf>
    <xf numFmtId="0" fontId="25" fillId="0" borderId="63" xfId="0" applyFont="1" applyFill="1" applyBorder="1" applyAlignment="1">
      <alignment horizontal="left" vertical="center" wrapText="1"/>
    </xf>
    <xf numFmtId="0" fontId="32" fillId="4" borderId="64" xfId="0" applyFont="1" applyFill="1" applyBorder="1" applyAlignment="1">
      <alignment horizontal="left" vertical="center" wrapText="1"/>
    </xf>
    <xf numFmtId="0" fontId="25" fillId="0" borderId="69" xfId="2" applyFont="1" applyFill="1" applyBorder="1" applyAlignment="1">
      <alignment vertical="center"/>
    </xf>
    <xf numFmtId="165" fontId="25" fillId="0" borderId="63" xfId="0" applyNumberFormat="1" applyFont="1" applyFill="1" applyBorder="1" applyAlignment="1">
      <alignment vertical="center"/>
    </xf>
    <xf numFmtId="0" fontId="25" fillId="14" borderId="59" xfId="0" applyFont="1" applyFill="1" applyBorder="1" applyAlignment="1">
      <alignment vertical="top"/>
    </xf>
    <xf numFmtId="0" fontId="25" fillId="0" borderId="63" xfId="2" applyFont="1" applyFill="1" applyBorder="1" applyAlignment="1">
      <alignment horizontal="left" vertical="center"/>
    </xf>
    <xf numFmtId="165" fontId="25" fillId="0" borderId="69" xfId="0" applyNumberFormat="1" applyFont="1" applyFill="1" applyBorder="1" applyAlignment="1">
      <alignment vertical="center"/>
    </xf>
    <xf numFmtId="3" fontId="22" fillId="2" borderId="111" xfId="0" quotePrefix="1" applyNumberFormat="1" applyFont="1" applyFill="1" applyBorder="1" applyAlignment="1">
      <alignment vertical="top"/>
    </xf>
    <xf numFmtId="0" fontId="5" fillId="4" borderId="59" xfId="2" applyFont="1" applyFill="1" applyBorder="1" applyAlignment="1">
      <alignment horizontal="left" vertical="center"/>
    </xf>
    <xf numFmtId="0" fontId="33" fillId="4" borderId="60" xfId="2" applyFont="1" applyFill="1" applyBorder="1" applyAlignment="1">
      <alignment horizontal="left" vertical="center"/>
    </xf>
    <xf numFmtId="165" fontId="15" fillId="12" borderId="59" xfId="0" applyNumberFormat="1" applyFont="1" applyFill="1" applyBorder="1" applyAlignment="1">
      <alignment vertical="center"/>
    </xf>
    <xf numFmtId="3" fontId="15" fillId="12" borderId="61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2" fillId="13" borderId="0" xfId="0" applyFont="1" applyFill="1" applyAlignment="1">
      <alignment vertical="center"/>
    </xf>
    <xf numFmtId="3" fontId="7" fillId="11" borderId="72" xfId="0" applyNumberFormat="1" applyFont="1" applyFill="1" applyBorder="1" applyAlignment="1">
      <alignment vertical="center"/>
    </xf>
    <xf numFmtId="3" fontId="7" fillId="11" borderId="71" xfId="0" applyNumberFormat="1" applyFont="1" applyFill="1" applyBorder="1" applyAlignment="1">
      <alignment vertical="center"/>
    </xf>
    <xf numFmtId="3" fontId="7" fillId="11" borderId="65" xfId="0" applyNumberFormat="1" applyFont="1" applyFill="1" applyBorder="1" applyAlignment="1">
      <alignment vertical="center"/>
    </xf>
    <xf numFmtId="3" fontId="7" fillId="11" borderId="69" xfId="0" applyNumberFormat="1" applyFont="1" applyFill="1" applyBorder="1" applyAlignment="1">
      <alignment vertical="center"/>
    </xf>
    <xf numFmtId="165" fontId="25" fillId="11" borderId="63" xfId="0" applyNumberFormat="1" applyFont="1" applyFill="1" applyBorder="1" applyAlignment="1">
      <alignment vertical="center"/>
    </xf>
    <xf numFmtId="3" fontId="7" fillId="0" borderId="68" xfId="0" applyNumberFormat="1" applyFont="1" applyFill="1" applyBorder="1" applyAlignment="1">
      <alignment vertical="top"/>
    </xf>
    <xf numFmtId="3" fontId="7" fillId="0" borderId="62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4" fillId="0" borderId="0" xfId="0" applyFont="1" applyAlignment="1">
      <alignment horizontal="center" vertical="top" wrapText="1"/>
    </xf>
    <xf numFmtId="0" fontId="31" fillId="2" borderId="17" xfId="0" applyFont="1" applyFill="1" applyBorder="1" applyAlignment="1">
      <alignment vertical="center"/>
    </xf>
    <xf numFmtId="0" fontId="20" fillId="0" borderId="0" xfId="0" applyFont="1" applyBorder="1" applyAlignment="1">
      <alignment vertical="top"/>
    </xf>
    <xf numFmtId="3" fontId="28" fillId="0" borderId="0" xfId="0" applyNumberFormat="1" applyFont="1" applyAlignment="1">
      <alignment vertical="top"/>
    </xf>
    <xf numFmtId="0" fontId="28" fillId="0" borderId="50" xfId="0" applyFont="1" applyBorder="1" applyAlignment="1">
      <alignment horizontal="center" vertical="top"/>
    </xf>
    <xf numFmtId="0" fontId="28" fillId="0" borderId="7" xfId="0" applyFont="1" applyBorder="1" applyAlignment="1">
      <alignment vertical="center"/>
    </xf>
    <xf numFmtId="3" fontId="22" fillId="2" borderId="122" xfId="0" quotePrefix="1" applyNumberFormat="1" applyFont="1" applyFill="1" applyBorder="1" applyAlignment="1">
      <alignment vertical="center"/>
    </xf>
    <xf numFmtId="3" fontId="22" fillId="2" borderId="123" xfId="0" quotePrefix="1" applyNumberFormat="1" applyFont="1" applyFill="1" applyBorder="1" applyAlignment="1">
      <alignment vertical="center"/>
    </xf>
    <xf numFmtId="165" fontId="6" fillId="0" borderId="110" xfId="2" applyNumberFormat="1" applyFont="1" applyFill="1" applyBorder="1" applyAlignment="1">
      <alignment horizontal="right" vertical="center"/>
    </xf>
    <xf numFmtId="3" fontId="6" fillId="2" borderId="120" xfId="0" quotePrefix="1" applyNumberFormat="1" applyFont="1" applyFill="1" applyBorder="1" applyAlignment="1">
      <alignment vertical="center"/>
    </xf>
    <xf numFmtId="0" fontId="22" fillId="0" borderId="28" xfId="0" applyFont="1" applyBorder="1" applyAlignment="1">
      <alignment horizontal="left" vertical="center"/>
    </xf>
    <xf numFmtId="0" fontId="29" fillId="0" borderId="57" xfId="0" quotePrefix="1" applyFont="1" applyBorder="1" applyAlignment="1">
      <alignment horizontal="center" vertical="center"/>
    </xf>
    <xf numFmtId="3" fontId="22" fillId="2" borderId="14" xfId="0" quotePrefix="1" applyNumberFormat="1" applyFont="1" applyFill="1" applyBorder="1" applyAlignment="1">
      <alignment vertical="center"/>
    </xf>
    <xf numFmtId="3" fontId="22" fillId="2" borderId="89" xfId="0" quotePrefix="1" applyNumberFormat="1" applyFont="1" applyFill="1" applyBorder="1" applyAlignment="1">
      <alignment vertical="center"/>
    </xf>
    <xf numFmtId="3" fontId="22" fillId="2" borderId="1" xfId="0" quotePrefix="1" applyNumberFormat="1" applyFont="1" applyFill="1" applyBorder="1" applyAlignment="1">
      <alignment vertical="center"/>
    </xf>
    <xf numFmtId="3" fontId="6" fillId="2" borderId="1" xfId="0" quotePrefix="1" applyNumberFormat="1" applyFont="1" applyFill="1" applyBorder="1" applyAlignment="1">
      <alignment vertical="center"/>
    </xf>
    <xf numFmtId="0" fontId="15" fillId="4" borderId="52" xfId="2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6" fillId="5" borderId="77" xfId="2" applyFont="1" applyFill="1" applyBorder="1" applyAlignment="1">
      <alignment vertical="center"/>
    </xf>
    <xf numFmtId="3" fontId="22" fillId="5" borderId="79" xfId="2" applyNumberFormat="1" applyFont="1" applyFill="1" applyBorder="1" applyAlignment="1">
      <alignment vertical="center"/>
    </xf>
    <xf numFmtId="3" fontId="22" fillId="5" borderId="77" xfId="2" applyNumberFormat="1" applyFont="1" applyFill="1" applyBorder="1" applyAlignment="1">
      <alignment vertical="center"/>
    </xf>
    <xf numFmtId="3" fontId="22" fillId="5" borderId="78" xfId="2" applyNumberFormat="1" applyFont="1" applyFill="1" applyBorder="1" applyAlignment="1">
      <alignment vertical="center"/>
    </xf>
    <xf numFmtId="165" fontId="6" fillId="5" borderId="8" xfId="2" applyNumberFormat="1" applyFont="1" applyFill="1" applyBorder="1" applyAlignment="1">
      <alignment vertical="center"/>
    </xf>
    <xf numFmtId="3" fontId="6" fillId="5" borderId="77" xfId="2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Border="1" applyAlignment="1">
      <alignment vertical="center"/>
    </xf>
    <xf numFmtId="3" fontId="7" fillId="5" borderId="67" xfId="2" applyNumberFormat="1" applyFont="1" applyFill="1" applyBorder="1" applyAlignment="1">
      <alignment horizontal="right" vertical="center"/>
    </xf>
    <xf numFmtId="165" fontId="7" fillId="5" borderId="63" xfId="2" applyNumberFormat="1" applyFont="1" applyFill="1" applyBorder="1" applyAlignment="1">
      <alignment horizontal="right" vertical="center"/>
    </xf>
    <xf numFmtId="0" fontId="22" fillId="5" borderId="63" xfId="2" applyFont="1" applyFill="1" applyBorder="1" applyAlignment="1">
      <alignment horizontal="left" vertical="center"/>
    </xf>
    <xf numFmtId="3" fontId="22" fillId="5" borderId="7" xfId="2" applyNumberFormat="1" applyFont="1" applyFill="1" applyBorder="1" applyAlignment="1">
      <alignment vertical="top"/>
    </xf>
    <xf numFmtId="3" fontId="22" fillId="5" borderId="8" xfId="2" applyNumberFormat="1" applyFont="1" applyFill="1" applyBorder="1" applyAlignment="1">
      <alignment vertical="top"/>
    </xf>
    <xf numFmtId="3" fontId="6" fillId="5" borderId="9" xfId="2" applyNumberFormat="1" applyFont="1" applyFill="1" applyBorder="1" applyAlignment="1">
      <alignment vertical="top"/>
    </xf>
    <xf numFmtId="43" fontId="7" fillId="5" borderId="63" xfId="1" applyFont="1" applyFill="1" applyBorder="1" applyAlignment="1">
      <alignment horizontal="right" vertical="center"/>
    </xf>
    <xf numFmtId="43" fontId="7" fillId="5" borderId="64" xfId="1" applyFont="1" applyFill="1" applyBorder="1" applyAlignment="1">
      <alignment horizontal="right" vertical="center"/>
    </xf>
    <xf numFmtId="0" fontId="6" fillId="5" borderId="77" xfId="2" applyFont="1" applyFill="1" applyBorder="1" applyAlignment="1">
      <alignment vertical="top"/>
    </xf>
    <xf numFmtId="3" fontId="22" fillId="5" borderId="77" xfId="2" applyNumberFormat="1" applyFont="1" applyFill="1" applyBorder="1" applyAlignment="1">
      <alignment vertical="top"/>
    </xf>
    <xf numFmtId="3" fontId="22" fillId="5" borderId="78" xfId="2" applyNumberFormat="1" applyFont="1" applyFill="1" applyBorder="1" applyAlignment="1">
      <alignment vertical="top"/>
    </xf>
    <xf numFmtId="165" fontId="6" fillId="5" borderId="77" xfId="2" applyNumberFormat="1" applyFont="1" applyFill="1" applyBorder="1" applyAlignment="1">
      <alignment vertical="top"/>
    </xf>
    <xf numFmtId="3" fontId="6" fillId="5" borderId="77" xfId="2" applyNumberFormat="1" applyFont="1" applyFill="1" applyBorder="1" applyAlignment="1">
      <alignment vertical="top"/>
    </xf>
    <xf numFmtId="165" fontId="6" fillId="5" borderId="65" xfId="2" applyNumberFormat="1" applyFont="1" applyFill="1" applyBorder="1" applyAlignment="1">
      <alignment vertical="top"/>
    </xf>
    <xf numFmtId="3" fontId="7" fillId="5" borderId="68" xfId="2" applyNumberFormat="1" applyFont="1" applyFill="1" applyBorder="1" applyAlignment="1">
      <alignment horizontal="right" vertical="center"/>
    </xf>
    <xf numFmtId="3" fontId="7" fillId="5" borderId="69" xfId="2" applyNumberFormat="1" applyFont="1" applyFill="1" applyBorder="1" applyAlignment="1">
      <alignment horizontal="right" vertical="center"/>
    </xf>
    <xf numFmtId="0" fontId="33" fillId="7" borderId="61" xfId="2" applyFont="1" applyFill="1" applyBorder="1" applyAlignment="1">
      <alignment horizontal="center" vertical="center" wrapText="1"/>
    </xf>
    <xf numFmtId="3" fontId="25" fillId="7" borderId="59" xfId="2" applyNumberFormat="1" applyFont="1" applyFill="1" applyBorder="1" applyAlignment="1">
      <alignment horizontal="right" vertical="center"/>
    </xf>
    <xf numFmtId="0" fontId="39" fillId="0" borderId="0" xfId="0" applyFont="1" applyFill="1"/>
    <xf numFmtId="0" fontId="39" fillId="0" borderId="0" xfId="0" applyFont="1" applyBorder="1"/>
    <xf numFmtId="0" fontId="7" fillId="0" borderId="8" xfId="2" applyFont="1" applyFill="1" applyBorder="1" applyAlignment="1">
      <alignment vertical="top"/>
    </xf>
    <xf numFmtId="0" fontId="7" fillId="0" borderId="63" xfId="2" applyFont="1" applyFill="1" applyBorder="1" applyAlignment="1">
      <alignment vertical="top" wrapText="1"/>
    </xf>
    <xf numFmtId="0" fontId="7" fillId="0" borderId="69" xfId="2" applyFont="1" applyFill="1" applyBorder="1" applyAlignment="1">
      <alignment vertical="top" wrapText="1"/>
    </xf>
    <xf numFmtId="3" fontId="25" fillId="0" borderId="69" xfId="2" applyNumberFormat="1" applyFont="1" applyFill="1" applyBorder="1" applyAlignment="1">
      <alignment vertical="top"/>
    </xf>
    <xf numFmtId="0" fontId="33" fillId="0" borderId="7" xfId="2" applyFont="1" applyFill="1" applyBorder="1" applyAlignment="1">
      <alignment vertical="center"/>
    </xf>
    <xf numFmtId="0" fontId="7" fillId="0" borderId="8" xfId="2" applyFont="1" applyFill="1" applyBorder="1" applyAlignment="1">
      <alignment vertical="top" wrapText="1"/>
    </xf>
    <xf numFmtId="0" fontId="34" fillId="0" borderId="6" xfId="0" applyFont="1" applyBorder="1" applyAlignment="1">
      <alignment wrapText="1" shrinkToFit="1"/>
    </xf>
    <xf numFmtId="43" fontId="25" fillId="0" borderId="7" xfId="1" applyFont="1" applyFill="1" applyBorder="1" applyAlignment="1">
      <alignment vertical="top"/>
    </xf>
    <xf numFmtId="43" fontId="25" fillId="0" borderId="8" xfId="1" applyFont="1" applyFill="1" applyBorder="1" applyAlignment="1">
      <alignment vertical="top" wrapText="1"/>
    </xf>
    <xf numFmtId="3" fontId="25" fillId="0" borderId="8" xfId="2" applyNumberFormat="1" applyFont="1" applyFill="1" applyBorder="1" applyAlignment="1">
      <alignment horizontal="right" vertical="center"/>
    </xf>
    <xf numFmtId="3" fontId="25" fillId="2" borderId="8" xfId="2" applyNumberFormat="1" applyFont="1" applyFill="1" applyBorder="1" applyAlignment="1">
      <alignment horizontal="right" vertical="center"/>
    </xf>
    <xf numFmtId="3" fontId="7" fillId="0" borderId="7" xfId="2" applyNumberFormat="1" applyFont="1" applyFill="1" applyBorder="1" applyAlignment="1">
      <alignment horizontal="right" vertical="center"/>
    </xf>
    <xf numFmtId="43" fontId="22" fillId="0" borderId="8" xfId="1" applyFont="1" applyFill="1" applyBorder="1" applyAlignment="1">
      <alignment horizontal="right" vertical="center"/>
    </xf>
    <xf numFmtId="0" fontId="22" fillId="0" borderId="63" xfId="2" applyFont="1" applyFill="1" applyBorder="1" applyAlignment="1">
      <alignment horizontal="left" vertical="center"/>
    </xf>
    <xf numFmtId="0" fontId="34" fillId="0" borderId="12" xfId="0" applyFont="1" applyBorder="1"/>
    <xf numFmtId="3" fontId="20" fillId="4" borderId="6" xfId="2" applyNumberFormat="1" applyFont="1" applyFill="1" applyBorder="1" applyAlignment="1">
      <alignment vertical="center"/>
    </xf>
    <xf numFmtId="43" fontId="25" fillId="4" borderId="62" xfId="1" applyFont="1" applyFill="1" applyBorder="1" applyAlignment="1">
      <alignment vertical="center"/>
    </xf>
    <xf numFmtId="43" fontId="25" fillId="4" borderId="63" xfId="1" applyFont="1" applyFill="1" applyBorder="1" applyAlignment="1">
      <alignment vertical="center"/>
    </xf>
    <xf numFmtId="43" fontId="25" fillId="4" borderId="8" xfId="1" applyFont="1" applyFill="1" applyBorder="1" applyAlignment="1">
      <alignment vertical="center"/>
    </xf>
    <xf numFmtId="0" fontId="6" fillId="0" borderId="94" xfId="2" applyFont="1" applyFill="1" applyBorder="1" applyAlignment="1">
      <alignment vertical="top"/>
    </xf>
    <xf numFmtId="43" fontId="36" fillId="0" borderId="62" xfId="1" applyFont="1" applyFill="1" applyBorder="1" applyAlignment="1">
      <alignment horizontal="right" vertical="center"/>
    </xf>
    <xf numFmtId="43" fontId="36" fillId="0" borderId="7" xfId="1" applyFont="1" applyFill="1" applyBorder="1" applyAlignment="1">
      <alignment horizontal="right" vertical="center"/>
    </xf>
    <xf numFmtId="43" fontId="36" fillId="0" borderId="8" xfId="1" applyFont="1" applyFill="1" applyBorder="1" applyAlignment="1">
      <alignment horizontal="right" vertical="center"/>
    </xf>
    <xf numFmtId="43" fontId="25" fillId="0" borderId="62" xfId="1" applyFont="1" applyFill="1" applyBorder="1" applyAlignment="1">
      <alignment vertical="top"/>
    </xf>
    <xf numFmtId="0" fontId="7" fillId="0" borderId="28" xfId="2" applyFont="1" applyFill="1" applyBorder="1" applyAlignment="1">
      <alignment vertical="top"/>
    </xf>
    <xf numFmtId="43" fontId="25" fillId="0" borderId="26" xfId="1" applyFont="1" applyFill="1" applyBorder="1" applyAlignment="1">
      <alignment vertical="top"/>
    </xf>
    <xf numFmtId="43" fontId="25" fillId="0" borderId="28" xfId="1" applyFont="1" applyFill="1" applyBorder="1" applyAlignment="1">
      <alignment vertical="top"/>
    </xf>
    <xf numFmtId="0" fontId="6" fillId="0" borderId="4" xfId="2" applyFont="1" applyFill="1" applyBorder="1" applyAlignment="1">
      <alignment horizontal="left" vertical="center"/>
    </xf>
    <xf numFmtId="43" fontId="36" fillId="0" borderId="21" xfId="1" applyFont="1" applyFill="1" applyBorder="1" applyAlignment="1">
      <alignment horizontal="right" vertical="center"/>
    </xf>
    <xf numFmtId="43" fontId="36" fillId="0" borderId="4" xfId="1" applyFont="1" applyFill="1" applyBorder="1" applyAlignment="1">
      <alignment horizontal="right" vertical="center"/>
    </xf>
    <xf numFmtId="0" fontId="7" fillId="0" borderId="5" xfId="2" applyFont="1" applyFill="1" applyBorder="1" applyAlignment="1">
      <alignment vertical="top"/>
    </xf>
    <xf numFmtId="43" fontId="25" fillId="0" borderId="3" xfId="1" applyFont="1" applyFill="1" applyBorder="1" applyAlignment="1">
      <alignment vertical="top"/>
    </xf>
    <xf numFmtId="43" fontId="25" fillId="0" borderId="5" xfId="1" applyFont="1" applyFill="1" applyBorder="1" applyAlignment="1">
      <alignment vertical="top"/>
    </xf>
    <xf numFmtId="3" fontId="20" fillId="4" borderId="64" xfId="2" applyNumberFormat="1" applyFont="1" applyFill="1" applyBorder="1" applyAlignment="1">
      <alignment vertical="center"/>
    </xf>
    <xf numFmtId="43" fontId="25" fillId="0" borderId="8" xfId="1" applyFont="1" applyFill="1" applyBorder="1" applyAlignment="1">
      <alignment vertical="top"/>
    </xf>
    <xf numFmtId="43" fontId="25" fillId="0" borderId="6" xfId="1" applyFont="1" applyFill="1" applyBorder="1" applyAlignment="1">
      <alignment vertical="top"/>
    </xf>
    <xf numFmtId="43" fontId="25" fillId="0" borderId="68" xfId="1" applyFont="1" applyFill="1" applyBorder="1" applyAlignment="1">
      <alignment vertical="top"/>
    </xf>
    <xf numFmtId="43" fontId="25" fillId="0" borderId="70" xfId="1" applyFont="1" applyFill="1" applyBorder="1" applyAlignment="1">
      <alignment vertical="top"/>
    </xf>
    <xf numFmtId="0" fontId="7" fillId="0" borderId="4" xfId="2" applyFont="1" applyFill="1" applyBorder="1" applyAlignment="1">
      <alignment vertical="top"/>
    </xf>
    <xf numFmtId="3" fontId="25" fillId="0" borderId="21" xfId="2" applyNumberFormat="1" applyFont="1" applyFill="1" applyBorder="1" applyAlignment="1">
      <alignment vertical="top"/>
    </xf>
    <xf numFmtId="3" fontId="25" fillId="0" borderId="4" xfId="2" applyNumberFormat="1" applyFont="1" applyFill="1" applyBorder="1" applyAlignment="1">
      <alignment vertical="top"/>
    </xf>
    <xf numFmtId="3" fontId="25" fillId="0" borderId="56" xfId="2" applyNumberFormat="1" applyFont="1" applyFill="1" applyBorder="1" applyAlignment="1">
      <alignment vertical="top"/>
    </xf>
    <xf numFmtId="3" fontId="7" fillId="0" borderId="21" xfId="2" applyNumberFormat="1" applyFont="1" applyFill="1" applyBorder="1" applyAlignment="1">
      <alignment vertical="top"/>
    </xf>
    <xf numFmtId="165" fontId="7" fillId="0" borderId="4" xfId="2" applyNumberFormat="1" applyFont="1" applyFill="1" applyBorder="1" applyAlignment="1">
      <alignment vertical="top"/>
    </xf>
    <xf numFmtId="3" fontId="7" fillId="0" borderId="4" xfId="2" applyNumberFormat="1" applyFont="1" applyFill="1" applyBorder="1" applyAlignment="1">
      <alignment vertical="top"/>
    </xf>
    <xf numFmtId="0" fontId="7" fillId="0" borderId="5" xfId="2" applyFont="1" applyFill="1" applyBorder="1" applyAlignment="1">
      <alignment vertical="top" wrapText="1"/>
    </xf>
    <xf numFmtId="0" fontId="34" fillId="0" borderId="2" xfId="0" applyFont="1" applyBorder="1" applyAlignment="1">
      <alignment wrapText="1"/>
    </xf>
    <xf numFmtId="3" fontId="25" fillId="0" borderId="3" xfId="2" applyNumberFormat="1" applyFont="1" applyFill="1" applyBorder="1" applyAlignment="1">
      <alignment horizontal="right" vertical="center"/>
    </xf>
    <xf numFmtId="3" fontId="25" fillId="0" borderId="5" xfId="2" applyNumberFormat="1" applyFont="1" applyFill="1" applyBorder="1" applyAlignment="1">
      <alignment horizontal="right" vertical="center"/>
    </xf>
    <xf numFmtId="3" fontId="25" fillId="0" borderId="2" xfId="2" applyNumberFormat="1" applyFont="1" applyFill="1" applyBorder="1" applyAlignment="1">
      <alignment horizontal="right" vertical="center"/>
    </xf>
    <xf numFmtId="3" fontId="7" fillId="0" borderId="3" xfId="2" applyNumberFormat="1" applyFont="1" applyFill="1" applyBorder="1" applyAlignment="1">
      <alignment horizontal="right" vertical="center"/>
    </xf>
    <xf numFmtId="165" fontId="7" fillId="0" borderId="5" xfId="2" applyNumberFormat="1" applyFont="1" applyFill="1" applyBorder="1" applyAlignment="1">
      <alignment horizontal="right" vertical="center"/>
    </xf>
    <xf numFmtId="3" fontId="7" fillId="0" borderId="5" xfId="2" applyNumberFormat="1" applyFont="1" applyFill="1" applyBorder="1" applyAlignment="1">
      <alignment horizontal="right" vertical="center"/>
    </xf>
    <xf numFmtId="0" fontId="5" fillId="9" borderId="28" xfId="2" applyFont="1" applyFill="1" applyBorder="1" applyAlignment="1">
      <alignment horizontal="left" vertical="center" wrapText="1"/>
    </xf>
    <xf numFmtId="0" fontId="33" fillId="9" borderId="57" xfId="2" applyFont="1" applyFill="1" applyBorder="1" applyAlignment="1">
      <alignment horizontal="center" vertical="center" wrapText="1"/>
    </xf>
    <xf numFmtId="3" fontId="25" fillId="9" borderId="26" xfId="2" applyNumberFormat="1" applyFont="1" applyFill="1" applyBorder="1" applyAlignment="1">
      <alignment horizontal="right" vertical="center"/>
    </xf>
    <xf numFmtId="3" fontId="25" fillId="9" borderId="28" xfId="2" applyNumberFormat="1" applyFont="1" applyFill="1" applyBorder="1" applyAlignment="1">
      <alignment horizontal="right" vertical="center"/>
    </xf>
    <xf numFmtId="3" fontId="25" fillId="9" borderId="57" xfId="2" applyNumberFormat="1" applyFont="1" applyFill="1" applyBorder="1" applyAlignment="1">
      <alignment horizontal="right" vertical="center"/>
    </xf>
    <xf numFmtId="3" fontId="7" fillId="9" borderId="26" xfId="2" applyNumberFormat="1" applyFont="1" applyFill="1" applyBorder="1" applyAlignment="1">
      <alignment horizontal="right" vertical="center"/>
    </xf>
    <xf numFmtId="165" fontId="7" fillId="9" borderId="28" xfId="2" applyNumberFormat="1" applyFont="1" applyFill="1" applyBorder="1" applyAlignment="1">
      <alignment horizontal="right" vertical="center"/>
    </xf>
    <xf numFmtId="3" fontId="7" fillId="9" borderId="28" xfId="2" applyNumberFormat="1" applyFont="1" applyFill="1" applyBorder="1" applyAlignment="1">
      <alignment horizontal="right" vertical="center"/>
    </xf>
    <xf numFmtId="0" fontId="20" fillId="4" borderId="56" xfId="2" applyFont="1" applyFill="1" applyBorder="1" applyAlignment="1">
      <alignment horizontal="left" vertical="center"/>
    </xf>
    <xf numFmtId="3" fontId="15" fillId="4" borderId="21" xfId="2" applyNumberFormat="1" applyFont="1" applyFill="1" applyBorder="1" applyAlignment="1">
      <alignment horizontal="right" vertical="center"/>
    </xf>
    <xf numFmtId="3" fontId="15" fillId="4" borderId="4" xfId="2" applyNumberFormat="1" applyFont="1" applyFill="1" applyBorder="1" applyAlignment="1">
      <alignment horizontal="right" vertical="center"/>
    </xf>
    <xf numFmtId="3" fontId="15" fillId="4" borderId="56" xfId="2" applyNumberFormat="1" applyFont="1" applyFill="1" applyBorder="1" applyAlignment="1">
      <alignment horizontal="right" vertical="center"/>
    </xf>
    <xf numFmtId="3" fontId="5" fillId="4" borderId="21" xfId="2" applyNumberFormat="1" applyFont="1" applyFill="1" applyBorder="1" applyAlignment="1">
      <alignment horizontal="right" vertical="center"/>
    </xf>
    <xf numFmtId="165" fontId="5" fillId="4" borderId="4" xfId="2" applyNumberFormat="1" applyFont="1" applyFill="1" applyBorder="1" applyAlignment="1">
      <alignment horizontal="right" vertical="center"/>
    </xf>
    <xf numFmtId="3" fontId="5" fillId="4" borderId="4" xfId="2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vertical="top"/>
    </xf>
    <xf numFmtId="3" fontId="22" fillId="0" borderId="21" xfId="2" applyNumberFormat="1" applyFont="1" applyFill="1" applyBorder="1" applyAlignment="1">
      <alignment horizontal="right" vertical="center"/>
    </xf>
    <xf numFmtId="3" fontId="22" fillId="0" borderId="4" xfId="2" applyNumberFormat="1" applyFont="1" applyFill="1" applyBorder="1" applyAlignment="1">
      <alignment horizontal="right" vertical="center"/>
    </xf>
    <xf numFmtId="3" fontId="22" fillId="0" borderId="56" xfId="2" applyNumberFormat="1" applyFont="1" applyFill="1" applyBorder="1" applyAlignment="1">
      <alignment horizontal="right" vertical="center"/>
    </xf>
    <xf numFmtId="165" fontId="22" fillId="0" borderId="4" xfId="2" applyNumberFormat="1" applyFont="1" applyFill="1" applyBorder="1" applyAlignment="1">
      <alignment horizontal="right" vertical="center"/>
    </xf>
    <xf numFmtId="0" fontId="33" fillId="0" borderId="3" xfId="2" applyFont="1" applyFill="1" applyBorder="1" applyAlignment="1">
      <alignment horizontal="center" vertical="top"/>
    </xf>
    <xf numFmtId="0" fontId="5" fillId="8" borderId="20" xfId="2" applyFont="1" applyFill="1" applyBorder="1" applyAlignment="1">
      <alignment horizontal="left" vertical="center" wrapText="1"/>
    </xf>
    <xf numFmtId="0" fontId="33" fillId="8" borderId="81" xfId="2" applyFont="1" applyFill="1" applyBorder="1" applyAlignment="1">
      <alignment horizontal="center" vertical="center" wrapText="1"/>
    </xf>
    <xf numFmtId="3" fontId="25" fillId="8" borderId="17" xfId="2" applyNumberFormat="1" applyFont="1" applyFill="1" applyBorder="1" applyAlignment="1">
      <alignment horizontal="right" vertical="center"/>
    </xf>
    <xf numFmtId="3" fontId="25" fillId="8" borderId="20" xfId="2" applyNumberFormat="1" applyFont="1" applyFill="1" applyBorder="1" applyAlignment="1">
      <alignment horizontal="right" vertical="center"/>
    </xf>
    <xf numFmtId="3" fontId="25" fillId="8" borderId="81" xfId="2" applyNumberFormat="1" applyFont="1" applyFill="1" applyBorder="1" applyAlignment="1">
      <alignment horizontal="right" vertical="center"/>
    </xf>
    <xf numFmtId="3" fontId="7" fillId="8" borderId="58" xfId="2" applyNumberFormat="1" applyFont="1" applyFill="1" applyBorder="1" applyAlignment="1">
      <alignment horizontal="right" vertical="center"/>
    </xf>
    <xf numFmtId="165" fontId="7" fillId="8" borderId="59" xfId="2" applyNumberFormat="1" applyFont="1" applyFill="1" applyBorder="1" applyAlignment="1">
      <alignment horizontal="right" vertical="center"/>
    </xf>
    <xf numFmtId="3" fontId="7" fillId="8" borderId="20" xfId="2" applyNumberFormat="1" applyFont="1" applyFill="1" applyBorder="1" applyAlignment="1">
      <alignment horizontal="right" vertical="center"/>
    </xf>
    <xf numFmtId="3" fontId="20" fillId="4" borderId="95" xfId="2" applyNumberFormat="1" applyFont="1" applyFill="1" applyBorder="1" applyAlignment="1">
      <alignment vertical="center"/>
    </xf>
    <xf numFmtId="43" fontId="15" fillId="4" borderId="62" xfId="1" applyFont="1" applyFill="1" applyBorder="1" applyAlignment="1">
      <alignment vertical="center"/>
    </xf>
    <xf numFmtId="43" fontId="15" fillId="4" borderId="63" xfId="1" applyFont="1" applyFill="1" applyBorder="1" applyAlignment="1">
      <alignment vertical="center"/>
    </xf>
    <xf numFmtId="43" fontId="15" fillId="4" borderId="64" xfId="1" applyFont="1" applyFill="1" applyBorder="1" applyAlignment="1">
      <alignment vertical="center"/>
    </xf>
    <xf numFmtId="43" fontId="15" fillId="4" borderId="7" xfId="1" applyFont="1" applyFill="1" applyBorder="1" applyAlignment="1">
      <alignment vertical="center"/>
    </xf>
    <xf numFmtId="43" fontId="22" fillId="0" borderId="62" xfId="1" applyFont="1" applyFill="1" applyBorder="1" applyAlignment="1">
      <alignment horizontal="right" vertical="center"/>
    </xf>
    <xf numFmtId="43" fontId="25" fillId="0" borderId="77" xfId="1" applyFont="1" applyFill="1" applyBorder="1" applyAlignment="1">
      <alignment vertical="top"/>
    </xf>
    <xf numFmtId="43" fontId="25" fillId="0" borderId="94" xfId="1" applyFont="1" applyFill="1" applyBorder="1" applyAlignment="1">
      <alignment vertical="top"/>
    </xf>
    <xf numFmtId="43" fontId="25" fillId="0" borderId="93" xfId="1" applyFont="1" applyFill="1" applyBorder="1" applyAlignment="1">
      <alignment vertical="top"/>
    </xf>
    <xf numFmtId="43" fontId="22" fillId="0" borderId="94" xfId="1" applyFont="1" applyFill="1" applyBorder="1" applyAlignment="1">
      <alignment horizontal="right" vertical="center"/>
    </xf>
    <xf numFmtId="43" fontId="15" fillId="4" borderId="93" xfId="1" applyFont="1" applyFill="1" applyBorder="1" applyAlignment="1">
      <alignment vertical="center"/>
    </xf>
    <xf numFmtId="43" fontId="15" fillId="4" borderId="94" xfId="1" applyFont="1" applyFill="1" applyBorder="1" applyAlignment="1">
      <alignment vertical="center"/>
    </xf>
    <xf numFmtId="3" fontId="20" fillId="4" borderId="56" xfId="2" applyNumberFormat="1" applyFont="1" applyFill="1" applyBorder="1" applyAlignment="1">
      <alignment vertical="center"/>
    </xf>
    <xf numFmtId="3" fontId="15" fillId="4" borderId="21" xfId="2" applyNumberFormat="1" applyFont="1" applyFill="1" applyBorder="1" applyAlignment="1">
      <alignment vertical="center"/>
    </xf>
    <xf numFmtId="3" fontId="15" fillId="4" borderId="4" xfId="2" applyNumberFormat="1" applyFont="1" applyFill="1" applyBorder="1" applyAlignment="1">
      <alignment vertical="center"/>
    </xf>
    <xf numFmtId="3" fontId="15" fillId="4" borderId="56" xfId="2" applyNumberFormat="1" applyFont="1" applyFill="1" applyBorder="1" applyAlignment="1">
      <alignment vertical="center"/>
    </xf>
    <xf numFmtId="165" fontId="15" fillId="4" borderId="4" xfId="2" applyNumberFormat="1" applyFont="1" applyFill="1" applyBorder="1" applyAlignment="1">
      <alignment vertical="center"/>
    </xf>
    <xf numFmtId="0" fontId="22" fillId="0" borderId="4" xfId="2" applyFont="1" applyFill="1" applyBorder="1" applyAlignment="1">
      <alignment horizontal="left" vertical="center"/>
    </xf>
    <xf numFmtId="3" fontId="25" fillId="0" borderId="3" xfId="2" applyNumberFormat="1" applyFont="1" applyFill="1" applyBorder="1" applyAlignment="1">
      <alignment vertical="top"/>
    </xf>
    <xf numFmtId="3" fontId="25" fillId="0" borderId="5" xfId="2" applyNumberFormat="1" applyFont="1" applyFill="1" applyBorder="1" applyAlignment="1">
      <alignment vertical="top"/>
    </xf>
    <xf numFmtId="3" fontId="25" fillId="0" borderId="2" xfId="2" applyNumberFormat="1" applyFont="1" applyFill="1" applyBorder="1" applyAlignment="1">
      <alignment vertical="top"/>
    </xf>
    <xf numFmtId="3" fontId="7" fillId="0" borderId="3" xfId="2" applyNumberFormat="1" applyFont="1" applyFill="1" applyBorder="1" applyAlignment="1">
      <alignment vertical="top"/>
    </xf>
    <xf numFmtId="165" fontId="7" fillId="0" borderId="5" xfId="2" applyNumberFormat="1" applyFont="1" applyFill="1" applyBorder="1" applyAlignment="1">
      <alignment vertical="top"/>
    </xf>
    <xf numFmtId="3" fontId="7" fillId="0" borderId="5" xfId="2" applyNumberFormat="1" applyFont="1" applyFill="1" applyBorder="1" applyAlignment="1">
      <alignment vertical="top"/>
    </xf>
    <xf numFmtId="43" fontId="22" fillId="2" borderId="108" xfId="1" quotePrefix="1" applyFont="1" applyFill="1" applyBorder="1" applyAlignment="1">
      <alignment vertical="center"/>
    </xf>
    <xf numFmtId="43" fontId="22" fillId="2" borderId="112" xfId="1" quotePrefix="1" applyFont="1" applyFill="1" applyBorder="1" applyAlignment="1">
      <alignment vertical="top"/>
    </xf>
    <xf numFmtId="43" fontId="22" fillId="0" borderId="28" xfId="1" applyFont="1" applyFill="1" applyBorder="1" applyAlignment="1">
      <alignment horizontal="right" vertical="center"/>
    </xf>
    <xf numFmtId="0" fontId="22" fillId="0" borderId="33" xfId="0" applyFont="1" applyBorder="1" applyAlignment="1">
      <alignment horizontal="left" vertical="top"/>
    </xf>
    <xf numFmtId="0" fontId="29" fillId="0" borderId="105" xfId="0" quotePrefix="1" applyFont="1" applyBorder="1" applyAlignment="1">
      <alignment horizontal="center" vertical="top"/>
    </xf>
    <xf numFmtId="43" fontId="22" fillId="2" borderId="105" xfId="1" quotePrefix="1" applyFont="1" applyFill="1" applyBorder="1" applyAlignment="1">
      <alignment vertical="top"/>
    </xf>
    <xf numFmtId="43" fontId="7" fillId="5" borderId="65" xfId="1" applyFont="1" applyFill="1" applyBorder="1" applyAlignment="1">
      <alignment vertical="top"/>
    </xf>
    <xf numFmtId="3" fontId="25" fillId="5" borderId="73" xfId="2" applyNumberFormat="1" applyFont="1" applyFill="1" applyBorder="1" applyAlignment="1">
      <alignment vertical="top"/>
    </xf>
    <xf numFmtId="3" fontId="25" fillId="5" borderId="71" xfId="2" applyNumberFormat="1" applyFont="1" applyFill="1" applyBorder="1" applyAlignment="1">
      <alignment vertical="top"/>
    </xf>
    <xf numFmtId="43" fontId="25" fillId="5" borderId="70" xfId="1" applyFont="1" applyFill="1" applyBorder="1" applyAlignment="1">
      <alignment vertical="top"/>
    </xf>
    <xf numFmtId="0" fontId="32" fillId="0" borderId="0" xfId="2" applyFont="1" applyFill="1" applyBorder="1" applyAlignment="1">
      <alignment vertical="top"/>
    </xf>
    <xf numFmtId="3" fontId="28" fillId="0" borderId="0" xfId="2" applyNumberFormat="1" applyFont="1" applyFill="1" applyBorder="1" applyAlignment="1">
      <alignment vertical="top"/>
    </xf>
    <xf numFmtId="43" fontId="28" fillId="0" borderId="0" xfId="1" applyFont="1" applyFill="1" applyBorder="1" applyAlignment="1">
      <alignment vertical="top"/>
    </xf>
    <xf numFmtId="3" fontId="32" fillId="0" borderId="0" xfId="2" applyNumberFormat="1" applyFont="1" applyFill="1" applyBorder="1" applyAlignment="1">
      <alignment vertical="top"/>
    </xf>
    <xf numFmtId="165" fontId="32" fillId="0" borderId="0" xfId="2" applyNumberFormat="1" applyFont="1" applyFill="1" applyBorder="1" applyAlignment="1">
      <alignment vertical="top"/>
    </xf>
    <xf numFmtId="43" fontId="32" fillId="0" borderId="0" xfId="1" applyFont="1" applyFill="1" applyBorder="1" applyAlignment="1">
      <alignment vertical="top"/>
    </xf>
    <xf numFmtId="165" fontId="28" fillId="0" borderId="0" xfId="0" applyNumberFormat="1" applyFont="1" applyBorder="1" applyAlignment="1">
      <alignment vertical="top"/>
    </xf>
    <xf numFmtId="0" fontId="28" fillId="0" borderId="31" xfId="0" quotePrefix="1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3" fontId="5" fillId="4" borderId="40" xfId="2" applyNumberFormat="1" applyFont="1" applyFill="1" applyBorder="1" applyAlignment="1">
      <alignment horizontal="right" vertical="center"/>
    </xf>
    <xf numFmtId="3" fontId="5" fillId="4" borderId="104" xfId="2" applyNumberFormat="1" applyFont="1" applyFill="1" applyBorder="1" applyAlignment="1">
      <alignment horizontal="right" vertical="center"/>
    </xf>
    <xf numFmtId="3" fontId="5" fillId="4" borderId="61" xfId="2" applyNumberFormat="1" applyFont="1" applyFill="1" applyBorder="1" applyAlignment="1">
      <alignment horizontal="right" vertical="center"/>
    </xf>
    <xf numFmtId="3" fontId="5" fillId="4" borderId="81" xfId="2" applyNumberFormat="1" applyFont="1" applyFill="1" applyBorder="1" applyAlignment="1">
      <alignment horizontal="right" vertical="center"/>
    </xf>
    <xf numFmtId="3" fontId="6" fillId="5" borderId="116" xfId="2" applyNumberFormat="1" applyFont="1" applyFill="1" applyBorder="1" applyAlignment="1">
      <alignment horizontal="right" vertical="center"/>
    </xf>
    <xf numFmtId="3" fontId="6" fillId="5" borderId="102" xfId="2" applyNumberFormat="1" applyFont="1" applyFill="1" applyBorder="1" applyAlignment="1">
      <alignment horizontal="right" vertical="center"/>
    </xf>
    <xf numFmtId="3" fontId="6" fillId="5" borderId="65" xfId="2" applyNumberFormat="1" applyFont="1" applyFill="1" applyBorder="1" applyAlignment="1">
      <alignment horizontal="right" vertical="center"/>
    </xf>
    <xf numFmtId="3" fontId="6" fillId="5" borderId="72" xfId="2" applyNumberFormat="1" applyFont="1" applyFill="1" applyBorder="1" applyAlignment="1">
      <alignment horizontal="right" vertical="center"/>
    </xf>
    <xf numFmtId="3" fontId="7" fillId="5" borderId="72" xfId="2" applyNumberFormat="1" applyFont="1" applyFill="1" applyBorder="1" applyAlignment="1">
      <alignment horizontal="right" vertical="center"/>
    </xf>
    <xf numFmtId="3" fontId="7" fillId="5" borderId="102" xfId="2" applyNumberFormat="1" applyFont="1" applyFill="1" applyBorder="1" applyAlignment="1">
      <alignment horizontal="right" vertical="center"/>
    </xf>
    <xf numFmtId="3" fontId="7" fillId="5" borderId="65" xfId="2" applyNumberFormat="1" applyFont="1" applyFill="1" applyBorder="1" applyAlignment="1">
      <alignment horizontal="right" vertical="center"/>
    </xf>
    <xf numFmtId="3" fontId="6" fillId="5" borderId="48" xfId="2" applyNumberFormat="1" applyFont="1" applyFill="1" applyBorder="1" applyAlignment="1">
      <alignment horizontal="right" vertical="center"/>
    </xf>
    <xf numFmtId="3" fontId="6" fillId="5" borderId="10" xfId="2" applyNumberFormat="1" applyFont="1" applyFill="1" applyBorder="1" applyAlignment="1">
      <alignment horizontal="right" vertical="center"/>
    </xf>
    <xf numFmtId="165" fontId="6" fillId="5" borderId="94" xfId="2" applyNumberFormat="1" applyFont="1" applyFill="1" applyBorder="1" applyAlignment="1">
      <alignment horizontal="right" vertical="center"/>
    </xf>
    <xf numFmtId="0" fontId="7" fillId="5" borderId="8" xfId="2" applyFont="1" applyFill="1" applyBorder="1" applyAlignment="1">
      <alignment vertical="top" wrapText="1"/>
    </xf>
    <xf numFmtId="3" fontId="16" fillId="5" borderId="72" xfId="3" applyNumberFormat="1" applyFont="1" applyFill="1" applyBorder="1" applyAlignment="1">
      <alignment vertical="center"/>
    </xf>
    <xf numFmtId="3" fontId="16" fillId="5" borderId="65" xfId="3" applyNumberFormat="1" applyFont="1" applyFill="1" applyBorder="1" applyAlignment="1">
      <alignment vertical="center"/>
    </xf>
    <xf numFmtId="3" fontId="16" fillId="5" borderId="64" xfId="3" applyNumberFormat="1" applyFont="1" applyFill="1" applyBorder="1" applyAlignment="1">
      <alignment vertical="center"/>
    </xf>
    <xf numFmtId="165" fontId="16" fillId="5" borderId="65" xfId="3" applyNumberFormat="1" applyFont="1" applyFill="1" applyBorder="1" applyAlignment="1">
      <alignment vertical="center"/>
    </xf>
    <xf numFmtId="3" fontId="5" fillId="4" borderId="48" xfId="2" applyNumberFormat="1" applyFont="1" applyFill="1" applyBorder="1" applyAlignment="1">
      <alignment horizontal="right" vertical="center"/>
    </xf>
    <xf numFmtId="3" fontId="5" fillId="4" borderId="65" xfId="2" applyNumberFormat="1" applyFont="1" applyFill="1" applyBorder="1" applyAlignment="1">
      <alignment horizontal="right" vertical="center"/>
    </xf>
    <xf numFmtId="3" fontId="5" fillId="4" borderId="95" xfId="2" applyNumberFormat="1" applyFont="1" applyFill="1" applyBorder="1" applyAlignment="1">
      <alignment horizontal="right" vertical="center"/>
    </xf>
    <xf numFmtId="165" fontId="5" fillId="4" borderId="65" xfId="2" applyNumberFormat="1" applyFont="1" applyFill="1" applyBorder="1" applyAlignment="1">
      <alignment horizontal="right" vertical="center"/>
    </xf>
    <xf numFmtId="3" fontId="42" fillId="5" borderId="116" xfId="3" applyNumberFormat="1" applyFont="1" applyFill="1" applyBorder="1" applyAlignment="1">
      <alignment vertical="center"/>
    </xf>
    <xf numFmtId="3" fontId="42" fillId="5" borderId="65" xfId="3" applyNumberFormat="1" applyFont="1" applyFill="1" applyBorder="1" applyAlignment="1">
      <alignment vertical="center"/>
    </xf>
    <xf numFmtId="3" fontId="42" fillId="5" borderId="64" xfId="3" applyNumberFormat="1" applyFont="1" applyFill="1" applyBorder="1" applyAlignment="1">
      <alignment vertical="center"/>
    </xf>
    <xf numFmtId="3" fontId="42" fillId="5" borderId="72" xfId="3" applyNumberFormat="1" applyFont="1" applyFill="1" applyBorder="1" applyAlignment="1">
      <alignment vertical="center"/>
    </xf>
    <xf numFmtId="165" fontId="42" fillId="5" borderId="65" xfId="3" applyNumberFormat="1" applyFont="1" applyFill="1" applyBorder="1" applyAlignment="1">
      <alignment vertical="center"/>
    </xf>
    <xf numFmtId="3" fontId="16" fillId="5" borderId="71" xfId="3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43" fontId="5" fillId="0" borderId="63" xfId="1" applyFont="1" applyFill="1" applyBorder="1" applyAlignment="1">
      <alignment vertical="top"/>
    </xf>
    <xf numFmtId="3" fontId="5" fillId="0" borderId="63" xfId="0" applyNumberFormat="1" applyFont="1" applyFill="1" applyBorder="1" applyAlignment="1">
      <alignment vertical="top"/>
    </xf>
    <xf numFmtId="0" fontId="51" fillId="2" borderId="17" xfId="0" applyFont="1" applyFill="1" applyBorder="1" applyAlignment="1">
      <alignment vertical="center" wrapText="1"/>
    </xf>
    <xf numFmtId="0" fontId="6" fillId="5" borderId="94" xfId="2" applyFont="1" applyFill="1" applyBorder="1" applyAlignment="1">
      <alignment vertical="top"/>
    </xf>
    <xf numFmtId="3" fontId="5" fillId="5" borderId="63" xfId="0" applyNumberFormat="1" applyFont="1" applyFill="1" applyBorder="1" applyAlignment="1">
      <alignment vertical="top"/>
    </xf>
    <xf numFmtId="43" fontId="5" fillId="5" borderId="63" xfId="1" applyFont="1" applyFill="1" applyBorder="1" applyAlignment="1">
      <alignment vertical="top"/>
    </xf>
    <xf numFmtId="3" fontId="22" fillId="2" borderId="63" xfId="2" applyNumberFormat="1" applyFont="1" applyFill="1" applyBorder="1" applyAlignment="1">
      <alignment wrapText="1"/>
    </xf>
    <xf numFmtId="43" fontId="5" fillId="0" borderId="64" xfId="1" applyFont="1" applyFill="1" applyBorder="1" applyAlignment="1">
      <alignment vertical="top"/>
    </xf>
    <xf numFmtId="3" fontId="46" fillId="0" borderId="68" xfId="0" applyNumberFormat="1" applyFont="1" applyFill="1" applyBorder="1" applyAlignment="1">
      <alignment vertical="center"/>
    </xf>
    <xf numFmtId="3" fontId="7" fillId="0" borderId="69" xfId="0" applyNumberFormat="1" applyFont="1" applyFill="1" applyBorder="1" applyAlignment="1">
      <alignment vertical="center"/>
    </xf>
    <xf numFmtId="43" fontId="7" fillId="0" borderId="69" xfId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2" fillId="2" borderId="0" xfId="2" applyFont="1" applyFill="1" applyBorder="1" applyAlignment="1">
      <alignment vertical="top" wrapText="1"/>
    </xf>
    <xf numFmtId="43" fontId="34" fillId="0" borderId="0" xfId="1" applyFont="1" applyFill="1" applyBorder="1" applyAlignment="1">
      <alignment vertical="center"/>
    </xf>
    <xf numFmtId="43" fontId="32" fillId="0" borderId="0" xfId="1" applyFont="1" applyFill="1" applyBorder="1" applyAlignment="1">
      <alignment horizontal="right" vertical="center"/>
    </xf>
    <xf numFmtId="3" fontId="32" fillId="0" borderId="0" xfId="2" applyNumberFormat="1" applyFont="1" applyFill="1" applyBorder="1" applyAlignment="1">
      <alignment horizontal="right" vertical="center"/>
    </xf>
    <xf numFmtId="165" fontId="32" fillId="2" borderId="0" xfId="2" applyNumberFormat="1" applyFont="1" applyFill="1" applyBorder="1" applyAlignment="1">
      <alignment horizontal="right" vertical="center"/>
    </xf>
    <xf numFmtId="3" fontId="32" fillId="2" borderId="0" xfId="2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43" fontId="22" fillId="2" borderId="4" xfId="1" quotePrefix="1" applyFont="1" applyFill="1" applyBorder="1" applyAlignment="1">
      <alignment horizontal="center" vertical="top"/>
    </xf>
    <xf numFmtId="0" fontId="27" fillId="15" borderId="0" xfId="0" applyFont="1" applyFill="1" applyAlignment="1">
      <alignment vertical="top"/>
    </xf>
    <xf numFmtId="165" fontId="16" fillId="17" borderId="63" xfId="3" applyNumberFormat="1" applyFont="1" applyFill="1" applyBorder="1" applyAlignment="1">
      <alignment vertical="center"/>
    </xf>
    <xf numFmtId="165" fontId="42" fillId="17" borderId="63" xfId="3" applyNumberFormat="1" applyFont="1" applyFill="1" applyBorder="1" applyAlignment="1">
      <alignment vertical="center"/>
    </xf>
    <xf numFmtId="3" fontId="22" fillId="15" borderId="113" xfId="0" quotePrefix="1" applyNumberFormat="1" applyFont="1" applyFill="1" applyBorder="1" applyAlignment="1">
      <alignment vertical="center"/>
    </xf>
    <xf numFmtId="3" fontId="22" fillId="15" borderId="106" xfId="0" quotePrefix="1" applyNumberFormat="1" applyFont="1" applyFill="1" applyBorder="1" applyAlignment="1">
      <alignment vertical="top"/>
    </xf>
    <xf numFmtId="0" fontId="3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7" fillId="5" borderId="62" xfId="1" applyFont="1" applyFill="1" applyBorder="1" applyAlignment="1">
      <alignment vertical="top"/>
    </xf>
    <xf numFmtId="3" fontId="25" fillId="5" borderId="68" xfId="2" applyNumberFormat="1" applyFont="1" applyFill="1" applyBorder="1" applyAlignment="1">
      <alignment vertical="top"/>
    </xf>
    <xf numFmtId="0" fontId="28" fillId="0" borderId="7" xfId="0" applyFont="1" applyBorder="1" applyAlignment="1">
      <alignment horizontal="center" vertical="center"/>
    </xf>
    <xf numFmtId="0" fontId="28" fillId="2" borderId="6" xfId="0" quotePrefix="1" applyFont="1" applyFill="1" applyBorder="1" applyAlignment="1">
      <alignment horizontal="center" vertical="center"/>
    </xf>
    <xf numFmtId="3" fontId="22" fillId="2" borderId="30" xfId="0" quotePrefix="1" applyNumberFormat="1" applyFont="1" applyFill="1" applyBorder="1" applyAlignment="1">
      <alignment vertical="center"/>
    </xf>
    <xf numFmtId="3" fontId="22" fillId="2" borderId="31" xfId="0" quotePrefix="1" applyNumberFormat="1" applyFont="1" applyFill="1" applyBorder="1" applyAlignment="1">
      <alignment vertical="center"/>
    </xf>
    <xf numFmtId="0" fontId="25" fillId="2" borderId="69" xfId="2" applyFont="1" applyFill="1" applyBorder="1" applyAlignment="1">
      <alignment vertical="top" wrapText="1"/>
    </xf>
    <xf numFmtId="165" fontId="7" fillId="0" borderId="69" xfId="0" applyNumberFormat="1" applyFont="1" applyFill="1" applyBorder="1" applyAlignment="1">
      <alignment vertical="top"/>
    </xf>
    <xf numFmtId="164" fontId="16" fillId="5" borderId="63" xfId="3" applyNumberFormat="1" applyFont="1" applyFill="1" applyBorder="1" applyAlignment="1">
      <alignment vertical="center"/>
    </xf>
    <xf numFmtId="165" fontId="5" fillId="0" borderId="69" xfId="0" applyNumberFormat="1" applyFont="1" applyFill="1" applyBorder="1" applyAlignment="1">
      <alignment vertical="top"/>
    </xf>
    <xf numFmtId="3" fontId="6" fillId="5" borderId="128" xfId="2" applyNumberFormat="1" applyFont="1" applyFill="1" applyBorder="1" applyAlignment="1">
      <alignment horizontal="right" vertical="center"/>
    </xf>
    <xf numFmtId="3" fontId="6" fillId="5" borderId="80" xfId="2" applyNumberFormat="1" applyFont="1" applyFill="1" applyBorder="1" applyAlignment="1">
      <alignment horizontal="right" vertical="center"/>
    </xf>
    <xf numFmtId="165" fontId="5" fillId="4" borderId="59" xfId="0" applyNumberFormat="1" applyFont="1" applyFill="1" applyBorder="1" applyAlignment="1">
      <alignment vertical="center"/>
    </xf>
    <xf numFmtId="3" fontId="22" fillId="0" borderId="107" xfId="0" quotePrefix="1" applyNumberFormat="1" applyFont="1" applyFill="1" applyBorder="1" applyAlignment="1">
      <alignment vertical="center"/>
    </xf>
    <xf numFmtId="3" fontId="22" fillId="0" borderId="110" xfId="0" quotePrefix="1" applyNumberFormat="1" applyFont="1" applyFill="1" applyBorder="1" applyAlignment="1">
      <alignment vertical="center"/>
    </xf>
    <xf numFmtId="3" fontId="22" fillId="0" borderId="13" xfId="0" quotePrefix="1" applyNumberFormat="1" applyFont="1" applyFill="1" applyBorder="1" applyAlignment="1">
      <alignment vertical="top"/>
    </xf>
    <xf numFmtId="3" fontId="15" fillId="0" borderId="61" xfId="0" applyNumberFormat="1" applyFont="1" applyFill="1" applyBorder="1" applyAlignment="1">
      <alignment vertical="center"/>
    </xf>
    <xf numFmtId="43" fontId="22" fillId="0" borderId="114" xfId="1" applyFont="1" applyFill="1" applyBorder="1" applyAlignment="1">
      <alignment horizontal="right" vertical="center"/>
    </xf>
    <xf numFmtId="165" fontId="7" fillId="17" borderId="61" xfId="2" applyNumberFormat="1" applyFont="1" applyFill="1" applyBorder="1" applyAlignment="1">
      <alignment horizontal="right" vertical="center"/>
    </xf>
    <xf numFmtId="3" fontId="7" fillId="17" borderId="61" xfId="2" applyNumberFormat="1" applyFont="1" applyFill="1" applyBorder="1" applyAlignment="1">
      <alignment horizontal="right" vertical="center"/>
    </xf>
    <xf numFmtId="43" fontId="42" fillId="17" borderId="80" xfId="1" applyFont="1" applyFill="1" applyBorder="1" applyAlignment="1">
      <alignment vertical="center"/>
    </xf>
    <xf numFmtId="43" fontId="42" fillId="17" borderId="65" xfId="1" applyFont="1" applyFill="1" applyBorder="1" applyAlignment="1">
      <alignment vertical="center"/>
    </xf>
    <xf numFmtId="165" fontId="42" fillId="17" borderId="80" xfId="3" applyNumberFormat="1" applyFont="1" applyFill="1" applyBorder="1" applyAlignment="1">
      <alignment vertical="center"/>
    </xf>
    <xf numFmtId="0" fontId="17" fillId="2" borderId="97" xfId="0" quotePrefix="1" applyFont="1" applyFill="1" applyBorder="1" applyAlignment="1">
      <alignment horizontal="center" vertical="top" wrapText="1"/>
    </xf>
    <xf numFmtId="43" fontId="25" fillId="0" borderId="65" xfId="1" applyFont="1" applyFill="1" applyBorder="1" applyAlignment="1">
      <alignment vertical="top"/>
    </xf>
    <xf numFmtId="43" fontId="25" fillId="0" borderId="65" xfId="1" applyFont="1" applyFill="1" applyBorder="1" applyAlignment="1">
      <alignment horizontal="right" vertical="center"/>
    </xf>
    <xf numFmtId="43" fontId="25" fillId="0" borderId="71" xfId="1" applyFont="1" applyFill="1" applyBorder="1" applyAlignment="1">
      <alignment horizontal="right" vertical="center"/>
    </xf>
    <xf numFmtId="0" fontId="5" fillId="2" borderId="48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87" xfId="0" quotePrefix="1" applyFont="1" applyBorder="1" applyAlignment="1">
      <alignment horizontal="center"/>
    </xf>
    <xf numFmtId="3" fontId="15" fillId="4" borderId="89" xfId="0" applyNumberFormat="1" applyFont="1" applyFill="1" applyBorder="1" applyAlignment="1">
      <alignment horizontal="right" vertical="center" wrapText="1"/>
    </xf>
    <xf numFmtId="3" fontId="15" fillId="4" borderId="126" xfId="0" applyNumberFormat="1" applyFont="1" applyFill="1" applyBorder="1" applyAlignment="1">
      <alignment vertical="center" wrapText="1"/>
    </xf>
    <xf numFmtId="3" fontId="22" fillId="5" borderId="126" xfId="0" applyNumberFormat="1" applyFont="1" applyFill="1" applyBorder="1" applyAlignment="1">
      <alignment vertical="center" wrapText="1"/>
    </xf>
    <xf numFmtId="3" fontId="22" fillId="2" borderId="125" xfId="0" quotePrefix="1" applyNumberFormat="1" applyFont="1" applyFill="1" applyBorder="1" applyAlignment="1">
      <alignment vertical="center"/>
    </xf>
    <xf numFmtId="3" fontId="15" fillId="4" borderId="30" xfId="0" applyNumberFormat="1" applyFont="1" applyFill="1" applyBorder="1" applyAlignment="1">
      <alignment horizontal="right" vertical="center" wrapText="1"/>
    </xf>
    <xf numFmtId="3" fontId="22" fillId="5" borderId="30" xfId="0" applyNumberFormat="1" applyFont="1" applyFill="1" applyBorder="1" applyAlignment="1">
      <alignment horizontal="right" vertical="center" wrapText="1"/>
    </xf>
    <xf numFmtId="3" fontId="22" fillId="2" borderId="129" xfId="0" quotePrefix="1" applyNumberFormat="1" applyFont="1" applyFill="1" applyBorder="1" applyAlignment="1">
      <alignment vertical="center"/>
    </xf>
    <xf numFmtId="3" fontId="22" fillId="2" borderId="130" xfId="0" quotePrefix="1" applyNumberFormat="1" applyFont="1" applyFill="1" applyBorder="1" applyAlignment="1">
      <alignment vertical="center"/>
    </xf>
    <xf numFmtId="0" fontId="25" fillId="0" borderId="30" xfId="0" applyFont="1" applyFill="1" applyBorder="1" applyAlignment="1">
      <alignment vertical="center"/>
    </xf>
    <xf numFmtId="3" fontId="25" fillId="2" borderId="89" xfId="0" applyNumberFormat="1" applyFont="1" applyFill="1" applyBorder="1" applyAlignment="1">
      <alignment vertical="center" wrapText="1"/>
    </xf>
    <xf numFmtId="3" fontId="14" fillId="6" borderId="37" xfId="0" applyNumberFormat="1" applyFont="1" applyFill="1" applyBorder="1" applyAlignment="1">
      <alignment vertical="center" wrapText="1"/>
    </xf>
    <xf numFmtId="3" fontId="14" fillId="6" borderId="14" xfId="0" applyNumberFormat="1" applyFont="1" applyFill="1" applyBorder="1" applyAlignment="1">
      <alignment vertical="center" wrapText="1"/>
    </xf>
    <xf numFmtId="164" fontId="14" fillId="6" borderId="50" xfId="0" applyNumberFormat="1" applyFont="1" applyFill="1" applyBorder="1" applyAlignment="1">
      <alignment vertical="center" wrapText="1"/>
    </xf>
    <xf numFmtId="164" fontId="14" fillId="6" borderId="31" xfId="0" applyNumberFormat="1" applyFont="1" applyFill="1" applyBorder="1" applyAlignment="1">
      <alignment vertical="center" wrapText="1"/>
    </xf>
    <xf numFmtId="3" fontId="14" fillId="7" borderId="37" xfId="0" applyNumberFormat="1" applyFont="1" applyFill="1" applyBorder="1" applyAlignment="1">
      <alignment vertical="center" wrapText="1"/>
    </xf>
    <xf numFmtId="164" fontId="14" fillId="7" borderId="50" xfId="0" applyNumberFormat="1" applyFont="1" applyFill="1" applyBorder="1" applyAlignment="1">
      <alignment vertical="center" wrapText="1"/>
    </xf>
    <xf numFmtId="3" fontId="7" fillId="0" borderId="63" xfId="1" applyNumberFormat="1" applyFont="1" applyFill="1" applyBorder="1" applyAlignment="1">
      <alignment horizontal="right" vertical="center"/>
    </xf>
    <xf numFmtId="3" fontId="21" fillId="0" borderId="46" xfId="0" applyNumberFormat="1" applyFont="1" applyFill="1" applyBorder="1" applyAlignment="1">
      <alignment vertical="center" wrapText="1"/>
    </xf>
    <xf numFmtId="3" fontId="21" fillId="0" borderId="97" xfId="0" applyNumberFormat="1" applyFont="1" applyFill="1" applyBorder="1" applyAlignment="1">
      <alignment vertical="center" wrapText="1"/>
    </xf>
    <xf numFmtId="3" fontId="21" fillId="0" borderId="49" xfId="0" applyNumberFormat="1" applyFont="1" applyFill="1" applyBorder="1" applyAlignment="1">
      <alignment vertical="center" wrapText="1"/>
    </xf>
    <xf numFmtId="3" fontId="21" fillId="0" borderId="38" xfId="0" applyNumberFormat="1" applyFont="1" applyFill="1" applyBorder="1" applyAlignment="1">
      <alignment vertical="center" wrapText="1"/>
    </xf>
    <xf numFmtId="164" fontId="52" fillId="15" borderId="97" xfId="0" applyNumberFormat="1" applyFont="1" applyFill="1" applyBorder="1" applyAlignment="1">
      <alignment vertical="center" wrapText="1"/>
    </xf>
    <xf numFmtId="164" fontId="52" fillId="15" borderId="38" xfId="0" applyNumberFormat="1" applyFont="1" applyFill="1" applyBorder="1" applyAlignment="1">
      <alignment vertical="center" wrapText="1"/>
    </xf>
    <xf numFmtId="0" fontId="16" fillId="0" borderId="48" xfId="0" applyFont="1" applyBorder="1"/>
    <xf numFmtId="0" fontId="16" fillId="0" borderId="47" xfId="0" applyFont="1" applyBorder="1"/>
    <xf numFmtId="0" fontId="33" fillId="0" borderId="48" xfId="2" applyFont="1" applyFill="1" applyBorder="1" applyAlignment="1">
      <alignment horizontal="center" vertical="center"/>
    </xf>
    <xf numFmtId="0" fontId="28" fillId="2" borderId="6" xfId="0" quotePrefix="1" applyFont="1" applyFill="1" applyBorder="1" applyAlignment="1">
      <alignment horizontal="center" vertical="top"/>
    </xf>
    <xf numFmtId="0" fontId="34" fillId="0" borderId="92" xfId="0" applyFont="1" applyBorder="1"/>
    <xf numFmtId="3" fontId="22" fillId="2" borderId="105" xfId="0" quotePrefix="1" applyNumberFormat="1" applyFont="1" applyFill="1" applyBorder="1" applyAlignment="1">
      <alignment vertical="center"/>
    </xf>
    <xf numFmtId="3" fontId="15" fillId="4" borderId="57" xfId="0" applyNumberFormat="1" applyFont="1" applyFill="1" applyBorder="1" applyAlignment="1">
      <alignment horizontal="right" vertical="center" wrapText="1"/>
    </xf>
    <xf numFmtId="3" fontId="22" fillId="5" borderId="57" xfId="0" applyNumberFormat="1" applyFont="1" applyFill="1" applyBorder="1" applyAlignment="1">
      <alignment horizontal="right" vertical="center" wrapText="1"/>
    </xf>
    <xf numFmtId="3" fontId="22" fillId="5" borderId="56" xfId="0" applyNumberFormat="1" applyFont="1" applyFill="1" applyBorder="1" applyAlignment="1">
      <alignment vertical="center" wrapText="1"/>
    </xf>
    <xf numFmtId="3" fontId="15" fillId="4" borderId="56" xfId="0" applyNumberFormat="1" applyFont="1" applyFill="1" applyBorder="1" applyAlignment="1">
      <alignment vertical="center" wrapText="1"/>
    </xf>
    <xf numFmtId="0" fontId="32" fillId="0" borderId="87" xfId="0" applyFont="1" applyBorder="1" applyAlignment="1">
      <alignment vertical="top"/>
    </xf>
    <xf numFmtId="0" fontId="32" fillId="0" borderId="92" xfId="0" applyFont="1" applyBorder="1" applyAlignment="1">
      <alignment vertical="top"/>
    </xf>
    <xf numFmtId="43" fontId="5" fillId="5" borderId="64" xfId="1" applyFont="1" applyFill="1" applyBorder="1" applyAlignment="1">
      <alignment vertical="top"/>
    </xf>
    <xf numFmtId="43" fontId="7" fillId="0" borderId="70" xfId="1" applyFont="1" applyFill="1" applyBorder="1" applyAlignment="1">
      <alignment vertical="center"/>
    </xf>
    <xf numFmtId="3" fontId="16" fillId="17" borderId="93" xfId="3" applyNumberFormat="1" applyFont="1" applyFill="1" applyBorder="1" applyAlignment="1">
      <alignment vertical="center"/>
    </xf>
    <xf numFmtId="3" fontId="16" fillId="17" borderId="94" xfId="3" applyNumberFormat="1" applyFont="1" applyFill="1" applyBorder="1" applyAlignment="1">
      <alignment vertical="center"/>
    </xf>
    <xf numFmtId="3" fontId="15" fillId="4" borderId="30" xfId="0" applyNumberFormat="1" applyFont="1" applyFill="1" applyBorder="1" applyAlignment="1">
      <alignment vertical="center" wrapText="1"/>
    </xf>
    <xf numFmtId="0" fontId="21" fillId="0" borderId="39" xfId="0" applyFont="1" applyBorder="1" applyAlignment="1">
      <alignment horizontal="center" vertical="center"/>
    </xf>
    <xf numFmtId="165" fontId="22" fillId="0" borderId="52" xfId="2" applyNumberFormat="1" applyFont="1" applyFill="1" applyBorder="1" applyAlignment="1">
      <alignment horizontal="right" vertical="center"/>
    </xf>
    <xf numFmtId="0" fontId="7" fillId="5" borderId="94" xfId="2" applyFont="1" applyFill="1" applyBorder="1" applyAlignment="1">
      <alignment vertical="center"/>
    </xf>
    <xf numFmtId="3" fontId="7" fillId="5" borderId="94" xfId="2" applyNumberFormat="1" applyFont="1" applyFill="1" applyBorder="1" applyAlignment="1">
      <alignment vertical="top"/>
    </xf>
    <xf numFmtId="0" fontId="25" fillId="0" borderId="137" xfId="0" applyFont="1" applyFill="1" applyBorder="1" applyAlignment="1">
      <alignment vertical="center" wrapText="1"/>
    </xf>
    <xf numFmtId="3" fontId="25" fillId="0" borderId="137" xfId="0" applyNumberFormat="1" applyFont="1" applyFill="1" applyBorder="1" applyAlignment="1">
      <alignment vertical="center" wrapText="1"/>
    </xf>
    <xf numFmtId="3" fontId="25" fillId="0" borderId="5" xfId="0" applyNumberFormat="1" applyFont="1" applyFill="1" applyBorder="1" applyAlignment="1">
      <alignment vertical="center" wrapText="1"/>
    </xf>
    <xf numFmtId="3" fontId="25" fillId="0" borderId="90" xfId="0" applyNumberFormat="1" applyFont="1" applyFill="1" applyBorder="1" applyAlignment="1">
      <alignment vertical="center" wrapText="1"/>
    </xf>
    <xf numFmtId="3" fontId="25" fillId="0" borderId="3" xfId="0" applyNumberFormat="1" applyFont="1" applyFill="1" applyBorder="1" applyAlignment="1">
      <alignment vertical="center" wrapText="1"/>
    </xf>
    <xf numFmtId="165" fontId="25" fillId="0" borderId="5" xfId="0" applyNumberFormat="1" applyFont="1" applyFill="1" applyBorder="1" applyAlignment="1">
      <alignment vertical="center" wrapText="1"/>
    </xf>
    <xf numFmtId="43" fontId="25" fillId="0" borderId="2" xfId="1" applyFont="1" applyFill="1" applyBorder="1" applyAlignment="1">
      <alignment vertical="center" wrapText="1"/>
    </xf>
    <xf numFmtId="3" fontId="25" fillId="0" borderId="88" xfId="0" applyNumberFormat="1" applyFont="1" applyFill="1" applyBorder="1" applyAlignment="1">
      <alignment vertical="center" wrapText="1"/>
    </xf>
    <xf numFmtId="43" fontId="25" fillId="0" borderId="71" xfId="1" applyFont="1" applyFill="1" applyBorder="1" applyAlignment="1">
      <alignment vertical="top"/>
    </xf>
    <xf numFmtId="0" fontId="25" fillId="0" borderId="53" xfId="0" applyFont="1" applyFill="1" applyBorder="1" applyAlignment="1">
      <alignment vertical="center" wrapText="1"/>
    </xf>
    <xf numFmtId="3" fontId="25" fillId="0" borderId="55" xfId="0" applyNumberFormat="1" applyFont="1" applyFill="1" applyBorder="1" applyAlignment="1">
      <alignment vertical="center" wrapText="1"/>
    </xf>
    <xf numFmtId="165" fontId="25" fillId="0" borderId="52" xfId="0" applyNumberFormat="1" applyFont="1" applyFill="1" applyBorder="1" applyAlignment="1">
      <alignment vertical="center" wrapText="1"/>
    </xf>
    <xf numFmtId="165" fontId="25" fillId="0" borderId="16" xfId="0" applyNumberFormat="1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3" fontId="21" fillId="0" borderId="17" xfId="0" applyNumberFormat="1" applyFont="1" applyFill="1" applyBorder="1" applyAlignment="1">
      <alignment vertical="center" wrapText="1"/>
    </xf>
    <xf numFmtId="3" fontId="21" fillId="0" borderId="20" xfId="0" applyNumberFormat="1" applyFont="1" applyFill="1" applyBorder="1" applyAlignment="1">
      <alignment vertical="center" wrapText="1"/>
    </xf>
    <xf numFmtId="3" fontId="21" fillId="0" borderId="87" xfId="0" applyNumberFormat="1" applyFont="1" applyFill="1" applyBorder="1" applyAlignment="1">
      <alignment vertical="center" wrapText="1"/>
    </xf>
    <xf numFmtId="164" fontId="52" fillId="15" borderId="20" xfId="0" applyNumberFormat="1" applyFont="1" applyFill="1" applyBorder="1" applyAlignment="1">
      <alignment vertical="center" wrapText="1"/>
    </xf>
    <xf numFmtId="164" fontId="52" fillId="15" borderId="87" xfId="0" applyNumberFormat="1" applyFont="1" applyFill="1" applyBorder="1" applyAlignment="1">
      <alignment vertical="center" wrapText="1"/>
    </xf>
    <xf numFmtId="3" fontId="21" fillId="0" borderId="39" xfId="0" applyNumberFormat="1" applyFont="1" applyFill="1" applyBorder="1" applyAlignment="1">
      <alignment vertical="center" wrapText="1"/>
    </xf>
    <xf numFmtId="0" fontId="34" fillId="0" borderId="19" xfId="0" applyFont="1" applyBorder="1" applyAlignment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28" fillId="0" borderId="88" xfId="0" applyFont="1" applyBorder="1" applyAlignment="1">
      <alignment horizontal="center" vertical="top"/>
    </xf>
    <xf numFmtId="3" fontId="20" fillId="0" borderId="12" xfId="0" applyNumberFormat="1" applyFont="1" applyFill="1" applyBorder="1" applyAlignment="1">
      <alignment vertical="top"/>
    </xf>
    <xf numFmtId="0" fontId="28" fillId="0" borderId="92" xfId="0" applyFont="1" applyBorder="1" applyAlignment="1">
      <alignment horizontal="center" vertical="top"/>
    </xf>
    <xf numFmtId="0" fontId="34" fillId="0" borderId="19" xfId="0" applyFont="1" applyBorder="1" applyAlignment="1">
      <alignment vertical="top"/>
    </xf>
    <xf numFmtId="0" fontId="6" fillId="0" borderId="69" xfId="2" applyFont="1" applyFill="1" applyBorder="1" applyAlignment="1">
      <alignment vertical="top"/>
    </xf>
    <xf numFmtId="43" fontId="36" fillId="0" borderId="68" xfId="1" applyFont="1" applyFill="1" applyBorder="1" applyAlignment="1">
      <alignment horizontal="right" vertical="center"/>
    </xf>
    <xf numFmtId="43" fontId="36" fillId="0" borderId="70" xfId="1" applyFont="1" applyFill="1" applyBorder="1" applyAlignment="1">
      <alignment horizontal="right" vertical="center"/>
    </xf>
    <xf numFmtId="43" fontId="36" fillId="0" borderId="13" xfId="1" applyFont="1" applyFill="1" applyBorder="1" applyAlignment="1">
      <alignment horizontal="right" vertical="center"/>
    </xf>
    <xf numFmtId="3" fontId="28" fillId="0" borderId="19" xfId="0" applyNumberFormat="1" applyFont="1" applyFill="1" applyBorder="1" applyAlignment="1">
      <alignment vertical="top"/>
    </xf>
    <xf numFmtId="0" fontId="28" fillId="0" borderId="87" xfId="0" applyFont="1" applyBorder="1" applyAlignment="1">
      <alignment horizontal="center" vertical="top"/>
    </xf>
    <xf numFmtId="3" fontId="20" fillId="0" borderId="12" xfId="0" applyNumberFormat="1" applyFont="1" applyFill="1" applyBorder="1" applyAlignment="1">
      <alignment horizontal="right" vertical="top"/>
    </xf>
    <xf numFmtId="3" fontId="28" fillId="0" borderId="12" xfId="0" applyNumberFormat="1" applyFont="1" applyFill="1" applyBorder="1" applyAlignment="1"/>
    <xf numFmtId="43" fontId="22" fillId="0" borderId="93" xfId="1" applyFont="1" applyFill="1" applyBorder="1" applyAlignment="1">
      <alignment horizontal="right" vertical="center"/>
    </xf>
    <xf numFmtId="43" fontId="22" fillId="0" borderId="95" xfId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vertical="top" wrapText="1"/>
    </xf>
    <xf numFmtId="43" fontId="25" fillId="0" borderId="58" xfId="1" applyFont="1" applyFill="1" applyBorder="1" applyAlignment="1">
      <alignment vertical="top"/>
    </xf>
    <xf numFmtId="43" fontId="25" fillId="0" borderId="59" xfId="1" applyFont="1" applyFill="1" applyBorder="1" applyAlignment="1">
      <alignment vertical="top"/>
    </xf>
    <xf numFmtId="43" fontId="25" fillId="0" borderId="60" xfId="1" applyFont="1" applyFill="1" applyBorder="1" applyAlignment="1">
      <alignment vertical="top"/>
    </xf>
    <xf numFmtId="43" fontId="25" fillId="0" borderId="17" xfId="1" applyFont="1" applyFill="1" applyBorder="1" applyAlignment="1">
      <alignment vertical="top"/>
    </xf>
    <xf numFmtId="0" fontId="7" fillId="0" borderId="33" xfId="2" applyFont="1" applyFill="1" applyBorder="1" applyAlignment="1">
      <alignment vertical="top"/>
    </xf>
    <xf numFmtId="3" fontId="25" fillId="0" borderId="32" xfId="2" applyNumberFormat="1" applyFont="1" applyFill="1" applyBorder="1" applyAlignment="1">
      <alignment vertical="top"/>
    </xf>
    <xf numFmtId="3" fontId="25" fillId="0" borderId="33" xfId="2" applyNumberFormat="1" applyFont="1" applyFill="1" applyBorder="1" applyAlignment="1">
      <alignment vertical="top"/>
    </xf>
    <xf numFmtId="3" fontId="25" fillId="0" borderId="105" xfId="2" applyNumberFormat="1" applyFont="1" applyFill="1" applyBorder="1" applyAlignment="1">
      <alignment vertical="top"/>
    </xf>
    <xf numFmtId="3" fontId="7" fillId="0" borderId="32" xfId="2" applyNumberFormat="1" applyFont="1" applyFill="1" applyBorder="1" applyAlignment="1">
      <alignment vertical="top"/>
    </xf>
    <xf numFmtId="165" fontId="7" fillId="0" borderId="33" xfId="2" applyNumberFormat="1" applyFont="1" applyFill="1" applyBorder="1" applyAlignment="1">
      <alignment vertical="top"/>
    </xf>
    <xf numFmtId="3" fontId="7" fillId="0" borderId="33" xfId="2" applyNumberFormat="1" applyFont="1" applyFill="1" applyBorder="1" applyAlignment="1">
      <alignment vertical="top"/>
    </xf>
    <xf numFmtId="0" fontId="22" fillId="0" borderId="52" xfId="2" applyFont="1" applyFill="1" applyBorder="1" applyAlignment="1">
      <alignment horizontal="left" vertical="center"/>
    </xf>
    <xf numFmtId="3" fontId="22" fillId="0" borderId="51" xfId="2" applyNumberFormat="1" applyFont="1" applyFill="1" applyBorder="1" applyAlignment="1">
      <alignment horizontal="right" vertical="center"/>
    </xf>
    <xf numFmtId="3" fontId="22" fillId="0" borderId="52" xfId="2" applyNumberFormat="1" applyFont="1" applyFill="1" applyBorder="1" applyAlignment="1">
      <alignment horizontal="right" vertical="center"/>
    </xf>
    <xf numFmtId="3" fontId="22" fillId="0" borderId="16" xfId="2" applyNumberFormat="1" applyFont="1" applyFill="1" applyBorder="1" applyAlignment="1">
      <alignment horizontal="right" vertical="center"/>
    </xf>
    <xf numFmtId="3" fontId="28" fillId="0" borderId="12" xfId="0" applyNumberFormat="1" applyFont="1" applyFill="1" applyBorder="1" applyAlignment="1">
      <alignment vertical="top"/>
    </xf>
    <xf numFmtId="0" fontId="16" fillId="0" borderId="40" xfId="0" applyFont="1" applyBorder="1"/>
    <xf numFmtId="0" fontId="16" fillId="0" borderId="19" xfId="0" applyFont="1" applyBorder="1"/>
    <xf numFmtId="0" fontId="34" fillId="0" borderId="19" xfId="0" applyFont="1" applyBorder="1"/>
    <xf numFmtId="0" fontId="34" fillId="0" borderId="87" xfId="0" applyFont="1" applyBorder="1"/>
    <xf numFmtId="0" fontId="16" fillId="0" borderId="12" xfId="0" applyFont="1" applyBorder="1"/>
    <xf numFmtId="0" fontId="7" fillId="5" borderId="69" xfId="2" applyFont="1" applyFill="1" applyBorder="1" applyAlignment="1">
      <alignment vertical="top"/>
    </xf>
    <xf numFmtId="0" fontId="33" fillId="0" borderId="40" xfId="2" applyFont="1" applyFill="1" applyBorder="1" applyAlignment="1">
      <alignment horizontal="center" vertical="center"/>
    </xf>
    <xf numFmtId="0" fontId="32" fillId="0" borderId="19" xfId="2" applyFont="1" applyFill="1" applyBorder="1" applyAlignment="1">
      <alignment vertical="top"/>
    </xf>
    <xf numFmtId="3" fontId="28" fillId="0" borderId="19" xfId="2" applyNumberFormat="1" applyFont="1" applyFill="1" applyBorder="1" applyAlignment="1">
      <alignment vertical="top"/>
    </xf>
    <xf numFmtId="43" fontId="28" fillId="0" borderId="19" xfId="1" applyFont="1" applyFill="1" applyBorder="1" applyAlignment="1">
      <alignment vertical="top"/>
    </xf>
    <xf numFmtId="3" fontId="32" fillId="0" borderId="19" xfId="2" applyNumberFormat="1" applyFont="1" applyFill="1" applyBorder="1" applyAlignment="1">
      <alignment vertical="top"/>
    </xf>
    <xf numFmtId="165" fontId="32" fillId="0" borderId="19" xfId="2" applyNumberFormat="1" applyFont="1" applyFill="1" applyBorder="1" applyAlignment="1">
      <alignment vertical="top"/>
    </xf>
    <xf numFmtId="43" fontId="32" fillId="0" borderId="19" xfId="1" applyFont="1" applyFill="1" applyBorder="1" applyAlignment="1">
      <alignment vertical="top"/>
    </xf>
    <xf numFmtId="0" fontId="32" fillId="0" borderId="88" xfId="2" applyFont="1" applyFill="1" applyBorder="1" applyAlignment="1">
      <alignment horizontal="center" vertical="center" wrapText="1"/>
    </xf>
    <xf numFmtId="0" fontId="20" fillId="0" borderId="48" xfId="0" quotePrefix="1" applyFont="1" applyBorder="1" applyAlignment="1">
      <alignment vertical="top"/>
    </xf>
    <xf numFmtId="3" fontId="28" fillId="0" borderId="0" xfId="0" applyNumberFormat="1" applyFont="1" applyBorder="1" applyAlignment="1">
      <alignment vertical="top"/>
    </xf>
    <xf numFmtId="3" fontId="28" fillId="0" borderId="12" xfId="0" applyNumberFormat="1" applyFont="1" applyBorder="1" applyAlignment="1">
      <alignment vertical="top"/>
    </xf>
    <xf numFmtId="0" fontId="33" fillId="17" borderId="6" xfId="2" applyFont="1" applyFill="1" applyBorder="1" applyAlignment="1">
      <alignment vertical="top" wrapText="1"/>
    </xf>
    <xf numFmtId="3" fontId="7" fillId="17" borderId="7" xfId="2" applyNumberFormat="1" applyFont="1" applyFill="1" applyBorder="1" applyAlignment="1">
      <alignment horizontal="right" vertical="center"/>
    </xf>
    <xf numFmtId="3" fontId="7" fillId="17" borderId="8" xfId="2" applyNumberFormat="1" applyFont="1" applyFill="1" applyBorder="1" applyAlignment="1">
      <alignment horizontal="right" vertical="center"/>
    </xf>
    <xf numFmtId="3" fontId="7" fillId="17" borderId="10" xfId="2" applyNumberFormat="1" applyFont="1" applyFill="1" applyBorder="1" applyAlignment="1">
      <alignment horizontal="right" vertical="center"/>
    </xf>
    <xf numFmtId="43" fontId="7" fillId="0" borderId="93" xfId="1" applyFont="1" applyFill="1" applyBorder="1" applyAlignment="1">
      <alignment horizontal="right"/>
    </xf>
    <xf numFmtId="43" fontId="7" fillId="0" borderId="94" xfId="1" applyFont="1" applyFill="1" applyBorder="1" applyAlignment="1">
      <alignment horizontal="right"/>
    </xf>
    <xf numFmtId="165" fontId="16" fillId="17" borderId="94" xfId="3" applyNumberFormat="1" applyFont="1" applyFill="1" applyBorder="1" applyAlignment="1">
      <alignment vertical="center"/>
    </xf>
    <xf numFmtId="165" fontId="16" fillId="17" borderId="91" xfId="3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horizontal="center" vertical="center"/>
    </xf>
    <xf numFmtId="0" fontId="43" fillId="0" borderId="14" xfId="2" applyFont="1" applyFill="1" applyBorder="1" applyAlignment="1">
      <alignment vertical="center"/>
    </xf>
    <xf numFmtId="0" fontId="35" fillId="0" borderId="31" xfId="0" applyFont="1" applyBorder="1" applyAlignment="1">
      <alignment horizontal="center" vertical="center" wrapText="1"/>
    </xf>
    <xf numFmtId="3" fontId="16" fillId="0" borderId="11" xfId="3" applyNumberFormat="1" applyFont="1" applyFill="1" applyBorder="1" applyAlignment="1">
      <alignment vertical="center"/>
    </xf>
    <xf numFmtId="43" fontId="7" fillId="0" borderId="13" xfId="1" applyFont="1" applyFill="1" applyBorder="1" applyAlignment="1">
      <alignment horizontal="right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92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167" fontId="7" fillId="0" borderId="13" xfId="1" applyNumberFormat="1" applyFont="1" applyFill="1" applyBorder="1" applyAlignment="1">
      <alignment horizontal="right"/>
    </xf>
    <xf numFmtId="167" fontId="7" fillId="0" borderId="15" xfId="1" applyNumberFormat="1" applyFont="1" applyFill="1" applyBorder="1" applyAlignment="1">
      <alignment horizontal="right"/>
    </xf>
    <xf numFmtId="0" fontId="30" fillId="0" borderId="19" xfId="0" applyFont="1" applyFill="1" applyBorder="1" applyAlignment="1">
      <alignment horizontal="left"/>
    </xf>
    <xf numFmtId="0" fontId="9" fillId="2" borderId="87" xfId="0" applyFont="1" applyFill="1" applyBorder="1" applyAlignment="1">
      <alignment horizontal="right" vertical="center"/>
    </xf>
    <xf numFmtId="0" fontId="32" fillId="0" borderId="40" xfId="0" applyFont="1" applyBorder="1" applyAlignment="1">
      <alignment vertical="top"/>
    </xf>
    <xf numFmtId="3" fontId="21" fillId="0" borderId="12" xfId="0" applyNumberFormat="1" applyFont="1" applyFill="1" applyBorder="1" applyAlignment="1">
      <alignment vertical="center" wrapText="1"/>
    </xf>
    <xf numFmtId="0" fontId="32" fillId="0" borderId="128" xfId="0" applyFont="1" applyBorder="1" applyAlignment="1">
      <alignment vertical="top"/>
    </xf>
    <xf numFmtId="0" fontId="15" fillId="4" borderId="82" xfId="2" applyFont="1" applyFill="1" applyBorder="1" applyAlignment="1">
      <alignment horizontal="left" vertical="center"/>
    </xf>
    <xf numFmtId="3" fontId="15" fillId="4" borderId="74" xfId="0" applyNumberFormat="1" applyFont="1" applyFill="1" applyBorder="1" applyAlignment="1">
      <alignment vertical="center" wrapText="1"/>
    </xf>
    <xf numFmtId="3" fontId="22" fillId="2" borderId="58" xfId="0" quotePrefix="1" applyNumberFormat="1" applyFont="1" applyFill="1" applyBorder="1" applyAlignment="1">
      <alignment vertical="center"/>
    </xf>
    <xf numFmtId="165" fontId="6" fillId="0" borderId="59" xfId="2" applyNumberFormat="1" applyFont="1" applyFill="1" applyBorder="1" applyAlignment="1">
      <alignment horizontal="right" vertical="center"/>
    </xf>
    <xf numFmtId="43" fontId="22" fillId="2" borderId="59" xfId="1" quotePrefix="1" applyFont="1" applyFill="1" applyBorder="1" applyAlignment="1">
      <alignment vertical="center"/>
    </xf>
    <xf numFmtId="43" fontId="22" fillId="2" borderId="62" xfId="1" quotePrefix="1" applyFont="1" applyFill="1" applyBorder="1" applyAlignment="1">
      <alignment vertical="center"/>
    </xf>
    <xf numFmtId="165" fontId="25" fillId="0" borderId="63" xfId="0" applyNumberFormat="1" applyFont="1" applyFill="1" applyBorder="1" applyAlignment="1">
      <alignment vertical="center" wrapText="1"/>
    </xf>
    <xf numFmtId="3" fontId="25" fillId="0" borderId="63" xfId="0" applyNumberFormat="1" applyFont="1" applyFill="1" applyBorder="1" applyAlignment="1">
      <alignment vertical="center" wrapText="1"/>
    </xf>
    <xf numFmtId="3" fontId="25" fillId="0" borderId="64" xfId="0" applyNumberFormat="1" applyFont="1" applyFill="1" applyBorder="1" applyAlignment="1">
      <alignment vertical="center" wrapText="1"/>
    </xf>
    <xf numFmtId="165" fontId="15" fillId="4" borderId="74" xfId="0" applyNumberFormat="1" applyFont="1" applyFill="1" applyBorder="1" applyAlignment="1">
      <alignment horizontal="right" vertical="center" wrapText="1"/>
    </xf>
    <xf numFmtId="3" fontId="15" fillId="4" borderId="75" xfId="0" applyNumberFormat="1" applyFont="1" applyFill="1" applyBorder="1" applyAlignment="1">
      <alignment vertical="center" wrapText="1"/>
    </xf>
    <xf numFmtId="3" fontId="25" fillId="11" borderId="70" xfId="0" applyNumberFormat="1" applyFont="1" applyFill="1" applyBorder="1" applyAlignment="1">
      <alignment vertical="center"/>
    </xf>
    <xf numFmtId="0" fontId="15" fillId="19" borderId="63" xfId="2" applyFont="1" applyFill="1" applyBorder="1" applyAlignment="1">
      <alignment horizontal="left" vertical="center"/>
    </xf>
    <xf numFmtId="0" fontId="20" fillId="19" borderId="64" xfId="2" applyFont="1" applyFill="1" applyBorder="1" applyAlignment="1">
      <alignment horizontal="left" vertical="center"/>
    </xf>
    <xf numFmtId="3" fontId="5" fillId="19" borderId="62" xfId="2" applyNumberFormat="1" applyFont="1" applyFill="1" applyBorder="1" applyAlignment="1">
      <alignment horizontal="right" vertical="center"/>
    </xf>
    <xf numFmtId="3" fontId="5" fillId="19" borderId="63" xfId="2" applyNumberFormat="1" applyFont="1" applyFill="1" applyBorder="1" applyAlignment="1">
      <alignment horizontal="right" vertical="center"/>
    </xf>
    <xf numFmtId="3" fontId="22" fillId="5" borderId="77" xfId="2" applyNumberFormat="1" applyFont="1" applyFill="1" applyBorder="1" applyAlignment="1">
      <alignment vertical="top" wrapText="1"/>
    </xf>
    <xf numFmtId="3" fontId="15" fillId="19" borderId="62" xfId="2" applyNumberFormat="1" applyFont="1" applyFill="1" applyBorder="1" applyAlignment="1">
      <alignment horizontal="right" vertical="center"/>
    </xf>
    <xf numFmtId="165" fontId="5" fillId="19" borderId="63" xfId="2" applyNumberFormat="1" applyFont="1" applyFill="1" applyBorder="1" applyAlignment="1">
      <alignment horizontal="right" vertical="center"/>
    </xf>
    <xf numFmtId="43" fontId="5" fillId="19" borderId="63" xfId="1" applyFont="1" applyFill="1" applyBorder="1" applyAlignment="1">
      <alignment horizontal="right" vertical="center"/>
    </xf>
    <xf numFmtId="43" fontId="5" fillId="19" borderId="65" xfId="1" applyFont="1" applyFill="1" applyBorder="1" applyAlignment="1">
      <alignment horizontal="right" vertical="center"/>
    </xf>
    <xf numFmtId="165" fontId="5" fillId="19" borderId="65" xfId="2" applyNumberFormat="1" applyFont="1" applyFill="1" applyBorder="1" applyAlignment="1">
      <alignment horizontal="right" vertical="center"/>
    </xf>
    <xf numFmtId="3" fontId="5" fillId="19" borderId="62" xfId="2" applyNumberFormat="1" applyFont="1" applyFill="1" applyBorder="1" applyAlignment="1"/>
    <xf numFmtId="3" fontId="5" fillId="19" borderId="63" xfId="2" applyNumberFormat="1" applyFont="1" applyFill="1" applyBorder="1" applyAlignment="1"/>
    <xf numFmtId="0" fontId="15" fillId="19" borderId="59" xfId="2" applyFont="1" applyFill="1" applyBorder="1" applyAlignment="1">
      <alignment horizontal="left" vertical="center"/>
    </xf>
    <xf numFmtId="0" fontId="20" fillId="19" borderId="60" xfId="2" applyFont="1" applyFill="1" applyBorder="1" applyAlignment="1">
      <alignment horizontal="left" vertical="center"/>
    </xf>
    <xf numFmtId="3" fontId="5" fillId="19" borderId="58" xfId="0" applyNumberFormat="1" applyFont="1" applyFill="1" applyBorder="1" applyAlignment="1">
      <alignment horizontal="right" vertical="center"/>
    </xf>
    <xf numFmtId="3" fontId="5" fillId="19" borderId="59" xfId="0" applyNumberFormat="1" applyFont="1" applyFill="1" applyBorder="1" applyAlignment="1">
      <alignment horizontal="right" vertical="center"/>
    </xf>
    <xf numFmtId="3" fontId="16" fillId="5" borderId="102" xfId="0" applyNumberFormat="1" applyFont="1" applyFill="1" applyBorder="1"/>
    <xf numFmtId="3" fontId="5" fillId="4" borderId="102" xfId="2" applyNumberFormat="1" applyFont="1" applyFill="1" applyBorder="1" applyAlignment="1">
      <alignment horizontal="right" vertical="center"/>
    </xf>
    <xf numFmtId="3" fontId="42" fillId="5" borderId="102" xfId="3" applyNumberFormat="1" applyFont="1" applyFill="1" applyBorder="1" applyAlignment="1">
      <alignment vertical="center"/>
    </xf>
    <xf numFmtId="43" fontId="5" fillId="4" borderId="65" xfId="1" applyFont="1" applyFill="1" applyBorder="1" applyAlignment="1"/>
    <xf numFmtId="43" fontId="22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42" fillId="0" borderId="65" xfId="1" applyFont="1" applyFill="1" applyBorder="1" applyAlignment="1">
      <alignment vertical="center"/>
    </xf>
    <xf numFmtId="43" fontId="7" fillId="0" borderId="71" xfId="1" applyFont="1" applyFill="1" applyBorder="1" applyAlignment="1">
      <alignment horizontal="right" vertical="center"/>
    </xf>
    <xf numFmtId="43" fontId="15" fillId="4" borderId="65" xfId="1" applyFont="1" applyFill="1" applyBorder="1" applyAlignment="1">
      <alignment horizontal="right" vertical="center"/>
    </xf>
    <xf numFmtId="43" fontId="7" fillId="0" borderId="62" xfId="1" applyFont="1" applyFill="1" applyBorder="1" applyAlignment="1">
      <alignment horizontal="right" vertical="center"/>
    </xf>
    <xf numFmtId="43" fontId="7" fillId="0" borderId="68" xfId="1" applyFont="1" applyFill="1" applyBorder="1" applyAlignment="1">
      <alignment horizontal="right" vertical="center"/>
    </xf>
    <xf numFmtId="3" fontId="23" fillId="2" borderId="108" xfId="0" quotePrefix="1" applyNumberFormat="1" applyFont="1" applyFill="1" applyBorder="1" applyAlignment="1">
      <alignment vertical="center"/>
    </xf>
    <xf numFmtId="3" fontId="23" fillId="2" borderId="111" xfId="0" quotePrefix="1" applyNumberFormat="1" applyFont="1" applyFill="1" applyBorder="1" applyAlignment="1">
      <alignment vertical="center"/>
    </xf>
    <xf numFmtId="3" fontId="23" fillId="2" borderId="57" xfId="0" quotePrefix="1" applyNumberFormat="1" applyFont="1" applyFill="1" applyBorder="1" applyAlignment="1">
      <alignment vertical="top"/>
    </xf>
    <xf numFmtId="3" fontId="20" fillId="4" borderId="60" xfId="0" applyNumberFormat="1" applyFont="1" applyFill="1" applyBorder="1" applyAlignment="1">
      <alignment vertical="center"/>
    </xf>
    <xf numFmtId="3" fontId="20" fillId="5" borderId="64" xfId="0" applyNumberFormat="1" applyFont="1" applyFill="1" applyBorder="1" applyAlignment="1">
      <alignment vertical="center"/>
    </xf>
    <xf numFmtId="3" fontId="28" fillId="5" borderId="78" xfId="0" applyNumberFormat="1" applyFont="1" applyFill="1" applyBorder="1" applyAlignment="1">
      <alignment vertical="top"/>
    </xf>
    <xf numFmtId="3" fontId="28" fillId="5" borderId="64" xfId="0" applyNumberFormat="1" applyFont="1" applyFill="1" applyBorder="1" applyAlignment="1">
      <alignment vertical="top"/>
    </xf>
    <xf numFmtId="3" fontId="20" fillId="4" borderId="64" xfId="0" applyNumberFormat="1" applyFont="1" applyFill="1" applyBorder="1" applyAlignment="1">
      <alignment vertical="top"/>
    </xf>
    <xf numFmtId="3" fontId="20" fillId="16" borderId="64" xfId="0" applyNumberFormat="1" applyFont="1" applyFill="1" applyBorder="1" applyAlignment="1">
      <alignment vertical="center"/>
    </xf>
    <xf numFmtId="3" fontId="28" fillId="16" borderId="64" xfId="0" applyNumberFormat="1" applyFont="1" applyFill="1" applyBorder="1" applyAlignment="1">
      <alignment vertical="top"/>
    </xf>
    <xf numFmtId="3" fontId="29" fillId="16" borderId="64" xfId="0" applyNumberFormat="1" applyFont="1" applyFill="1" applyBorder="1" applyAlignment="1">
      <alignment vertical="top"/>
    </xf>
    <xf numFmtId="3" fontId="28" fillId="16" borderId="70" xfId="0" applyNumberFormat="1" applyFont="1" applyFill="1" applyBorder="1" applyAlignment="1">
      <alignment vertical="top"/>
    </xf>
    <xf numFmtId="0" fontId="28" fillId="4" borderId="61" xfId="0" applyFont="1" applyFill="1" applyBorder="1" applyAlignment="1">
      <alignment vertical="top"/>
    </xf>
    <xf numFmtId="3" fontId="15" fillId="4" borderId="59" xfId="0" applyNumberFormat="1" applyFont="1" applyFill="1" applyBorder="1" applyAlignment="1">
      <alignment vertical="top"/>
    </xf>
    <xf numFmtId="3" fontId="15" fillId="4" borderId="61" xfId="0" applyNumberFormat="1" applyFont="1" applyFill="1" applyBorder="1" applyAlignment="1">
      <alignment vertical="top"/>
    </xf>
    <xf numFmtId="3" fontId="15" fillId="4" borderId="58" xfId="0" applyNumberFormat="1" applyFont="1" applyFill="1" applyBorder="1" applyAlignment="1">
      <alignment vertical="top"/>
    </xf>
    <xf numFmtId="164" fontId="15" fillId="4" borderId="59" xfId="0" applyNumberFormat="1" applyFont="1" applyFill="1" applyBorder="1" applyAlignment="1">
      <alignment vertical="top"/>
    </xf>
    <xf numFmtId="3" fontId="22" fillId="16" borderId="63" xfId="2" applyNumberFormat="1" applyFont="1" applyFill="1" applyBorder="1" applyAlignment="1">
      <alignment vertical="top" wrapText="1"/>
    </xf>
    <xf numFmtId="164" fontId="22" fillId="16" borderId="63" xfId="0" applyNumberFormat="1" applyFont="1" applyFill="1" applyBorder="1" applyAlignment="1">
      <alignment vertical="top"/>
    </xf>
    <xf numFmtId="0" fontId="25" fillId="16" borderId="63" xfId="0" applyFont="1" applyFill="1" applyBorder="1" applyAlignment="1">
      <alignment vertical="top" wrapText="1"/>
    </xf>
    <xf numFmtId="164" fontId="25" fillId="16" borderId="63" xfId="0" applyNumberFormat="1" applyFont="1" applyFill="1" applyBorder="1" applyAlignment="1">
      <alignment vertical="top"/>
    </xf>
    <xf numFmtId="43" fontId="25" fillId="16" borderId="65" xfId="1" applyFont="1" applyFill="1" applyBorder="1" applyAlignment="1">
      <alignment vertical="top"/>
    </xf>
    <xf numFmtId="0" fontId="22" fillId="16" borderId="63" xfId="2" applyFont="1" applyFill="1" applyBorder="1" applyAlignment="1">
      <alignment vertical="top"/>
    </xf>
    <xf numFmtId="0" fontId="25" fillId="16" borderId="63" xfId="2" applyFont="1" applyFill="1" applyBorder="1" applyAlignment="1">
      <alignment vertical="center"/>
    </xf>
    <xf numFmtId="3" fontId="25" fillId="16" borderId="67" xfId="0" applyNumberFormat="1" applyFont="1" applyFill="1" applyBorder="1" applyAlignment="1">
      <alignment vertical="top"/>
    </xf>
    <xf numFmtId="0" fontId="35" fillId="4" borderId="65" xfId="0" applyFont="1" applyFill="1" applyBorder="1" applyAlignment="1">
      <alignment horizontal="center" vertical="center"/>
    </xf>
    <xf numFmtId="164" fontId="15" fillId="4" borderId="63" xfId="0" applyNumberFormat="1" applyFont="1" applyFill="1" applyBorder="1" applyAlignment="1">
      <alignment vertical="top"/>
    </xf>
    <xf numFmtId="0" fontId="35" fillId="16" borderId="65" xfId="0" applyFont="1" applyFill="1" applyBorder="1" applyAlignment="1">
      <alignment horizontal="center" vertical="center"/>
    </xf>
    <xf numFmtId="3" fontId="15" fillId="16" borderId="63" xfId="0" applyNumberFormat="1" applyFont="1" applyFill="1" applyBorder="1" applyAlignment="1">
      <alignment vertical="top"/>
    </xf>
    <xf numFmtId="3" fontId="15" fillId="16" borderId="65" xfId="0" applyNumberFormat="1" applyFont="1" applyFill="1" applyBorder="1" applyAlignment="1">
      <alignment vertical="top"/>
    </xf>
    <xf numFmtId="3" fontId="15" fillId="16" borderId="62" xfId="0" applyNumberFormat="1" applyFont="1" applyFill="1" applyBorder="1" applyAlignment="1">
      <alignment vertical="top"/>
    </xf>
    <xf numFmtId="164" fontId="15" fillId="16" borderId="63" xfId="0" applyNumberFormat="1" applyFont="1" applyFill="1" applyBorder="1" applyAlignment="1">
      <alignment vertical="top"/>
    </xf>
    <xf numFmtId="43" fontId="25" fillId="16" borderId="63" xfId="1" applyFont="1" applyFill="1" applyBorder="1" applyAlignment="1">
      <alignment vertical="top"/>
    </xf>
    <xf numFmtId="43" fontId="15" fillId="16" borderId="63" xfId="1" applyFont="1" applyFill="1" applyBorder="1" applyAlignment="1">
      <alignment vertical="top"/>
    </xf>
    <xf numFmtId="0" fontId="22" fillId="16" borderId="63" xfId="2" applyFont="1" applyFill="1" applyBorder="1" applyAlignment="1">
      <alignment vertical="center"/>
    </xf>
    <xf numFmtId="0" fontId="25" fillId="16" borderId="69" xfId="2" applyFont="1" applyFill="1" applyBorder="1" applyAlignment="1">
      <alignment vertical="center"/>
    </xf>
    <xf numFmtId="3" fontId="25" fillId="16" borderId="96" xfId="0" applyNumberFormat="1" applyFont="1" applyFill="1" applyBorder="1" applyAlignment="1">
      <alignment vertical="top"/>
    </xf>
    <xf numFmtId="3" fontId="25" fillId="16" borderId="71" xfId="0" applyNumberFormat="1" applyFont="1" applyFill="1" applyBorder="1" applyAlignment="1">
      <alignment vertical="top"/>
    </xf>
    <xf numFmtId="3" fontId="25" fillId="16" borderId="68" xfId="0" applyNumberFormat="1" applyFont="1" applyFill="1" applyBorder="1" applyAlignment="1">
      <alignment vertical="top"/>
    </xf>
    <xf numFmtId="164" fontId="25" fillId="16" borderId="69" xfId="0" applyNumberFormat="1" applyFont="1" applyFill="1" applyBorder="1" applyAlignment="1">
      <alignment vertical="top"/>
    </xf>
    <xf numFmtId="43" fontId="25" fillId="0" borderId="71" xfId="1" applyFont="1" applyFill="1" applyBorder="1" applyAlignment="1">
      <alignment vertical="center"/>
    </xf>
    <xf numFmtId="43" fontId="25" fillId="0" borderId="65" xfId="1" applyFont="1" applyFill="1" applyBorder="1" applyAlignment="1">
      <alignment vertical="center"/>
    </xf>
    <xf numFmtId="43" fontId="22" fillId="0" borderId="65" xfId="1" applyFont="1" applyFill="1" applyBorder="1" applyAlignment="1">
      <alignment vertical="center"/>
    </xf>
    <xf numFmtId="165" fontId="15" fillId="12" borderId="61" xfId="0" applyNumberFormat="1" applyFont="1" applyFill="1" applyBorder="1" applyAlignment="1">
      <alignment vertical="center"/>
    </xf>
    <xf numFmtId="43" fontId="25" fillId="0" borderId="64" xfId="1" applyFont="1" applyFill="1" applyBorder="1" applyAlignment="1">
      <alignment horizontal="right" vertical="center"/>
    </xf>
    <xf numFmtId="43" fontId="25" fillId="0" borderId="70" xfId="1" applyFont="1" applyFill="1" applyBorder="1" applyAlignment="1">
      <alignment horizontal="right" vertical="center"/>
    </xf>
    <xf numFmtId="3" fontId="7" fillId="11" borderId="64" xfId="0" applyNumberFormat="1" applyFont="1" applyFill="1" applyBorder="1" applyAlignment="1">
      <alignment vertical="center"/>
    </xf>
    <xf numFmtId="43" fontId="5" fillId="4" borderId="64" xfId="1" applyFont="1" applyFill="1" applyBorder="1" applyAlignment="1">
      <alignment vertical="top"/>
    </xf>
    <xf numFmtId="0" fontId="35" fillId="4" borderId="28" xfId="0" applyFont="1" applyFill="1" applyBorder="1" applyAlignment="1">
      <alignment horizontal="center" vertical="center"/>
    </xf>
    <xf numFmtId="43" fontId="15" fillId="4" borderId="25" xfId="1" applyFont="1" applyFill="1" applyBorder="1" applyAlignment="1">
      <alignment vertical="top"/>
    </xf>
    <xf numFmtId="43" fontId="15" fillId="4" borderId="28" xfId="1" applyFont="1" applyFill="1" applyBorder="1" applyAlignment="1">
      <alignment vertical="top"/>
    </xf>
    <xf numFmtId="43" fontId="25" fillId="0" borderId="96" xfId="1" applyFont="1" applyFill="1" applyBorder="1" applyAlignment="1">
      <alignment vertical="top"/>
    </xf>
    <xf numFmtId="3" fontId="25" fillId="14" borderId="60" xfId="0" applyNumberFormat="1" applyFont="1" applyFill="1" applyBorder="1" applyAlignment="1">
      <alignment vertical="top"/>
    </xf>
    <xf numFmtId="0" fontId="25" fillId="14" borderId="98" xfId="0" applyFont="1" applyFill="1" applyBorder="1" applyAlignment="1">
      <alignment vertical="top"/>
    </xf>
    <xf numFmtId="0" fontId="25" fillId="14" borderId="60" xfId="0" applyFont="1" applyFill="1" applyBorder="1" applyAlignment="1">
      <alignment vertical="top"/>
    </xf>
    <xf numFmtId="164" fontId="7" fillId="14" borderId="59" xfId="0" applyNumberFormat="1" applyFont="1" applyFill="1" applyBorder="1" applyAlignment="1">
      <alignment vertical="top"/>
    </xf>
    <xf numFmtId="3" fontId="7" fillId="14" borderId="59" xfId="0" applyNumberFormat="1" applyFont="1" applyFill="1" applyBorder="1" applyAlignment="1">
      <alignment vertical="top"/>
    </xf>
    <xf numFmtId="43" fontId="15" fillId="4" borderId="27" xfId="1" applyFont="1" applyFill="1" applyBorder="1" applyAlignment="1">
      <alignment vertical="top"/>
    </xf>
    <xf numFmtId="43" fontId="22" fillId="0" borderId="23" xfId="1" applyFont="1" applyFill="1" applyBorder="1" applyAlignment="1">
      <alignment vertical="top"/>
    </xf>
    <xf numFmtId="43" fontId="25" fillId="0" borderId="106" xfId="1" applyFont="1" applyFill="1" applyBorder="1" applyAlignment="1">
      <alignment vertical="top"/>
    </xf>
    <xf numFmtId="3" fontId="25" fillId="14" borderId="58" xfId="0" applyNumberFormat="1" applyFont="1" applyFill="1" applyBorder="1" applyAlignment="1">
      <alignment vertical="top"/>
    </xf>
    <xf numFmtId="3" fontId="25" fillId="7" borderId="61" xfId="2" applyNumberFormat="1" applyFont="1" applyFill="1" applyBorder="1" applyAlignment="1">
      <alignment horizontal="right" vertical="center"/>
    </xf>
    <xf numFmtId="43" fontId="25" fillId="4" borderId="65" xfId="1" applyFont="1" applyFill="1" applyBorder="1" applyAlignment="1">
      <alignment vertical="center"/>
    </xf>
    <xf numFmtId="43" fontId="36" fillId="0" borderId="10" xfId="1" applyFont="1" applyFill="1" applyBorder="1" applyAlignment="1">
      <alignment horizontal="right" vertical="center"/>
    </xf>
    <xf numFmtId="43" fontId="25" fillId="0" borderId="27" xfId="1" applyFont="1" applyFill="1" applyBorder="1" applyAlignment="1">
      <alignment vertical="top"/>
    </xf>
    <xf numFmtId="43" fontId="36" fillId="0" borderId="23" xfId="1" applyFont="1" applyFill="1" applyBorder="1" applyAlignment="1">
      <alignment horizontal="right" vertical="center"/>
    </xf>
    <xf numFmtId="43" fontId="25" fillId="0" borderId="118" xfId="1" applyFont="1" applyFill="1" applyBorder="1" applyAlignment="1">
      <alignment vertical="top"/>
    </xf>
    <xf numFmtId="43" fontId="36" fillId="0" borderId="71" xfId="1" applyFont="1" applyFill="1" applyBorder="1" applyAlignment="1">
      <alignment horizontal="right" vertical="center"/>
    </xf>
    <xf numFmtId="43" fontId="25" fillId="0" borderId="10" xfId="1" applyFont="1" applyFill="1" applyBorder="1" applyAlignment="1">
      <alignment vertical="top"/>
    </xf>
    <xf numFmtId="165" fontId="7" fillId="0" borderId="23" xfId="2" applyNumberFormat="1" applyFont="1" applyFill="1" applyBorder="1" applyAlignment="1">
      <alignment vertical="top"/>
    </xf>
    <xf numFmtId="165" fontId="7" fillId="0" borderId="118" xfId="2" applyNumberFormat="1" applyFont="1" applyFill="1" applyBorder="1" applyAlignment="1">
      <alignment horizontal="right" vertical="center"/>
    </xf>
    <xf numFmtId="165" fontId="7" fillId="9" borderId="27" xfId="2" applyNumberFormat="1" applyFont="1" applyFill="1" applyBorder="1" applyAlignment="1">
      <alignment horizontal="right" vertical="center"/>
    </xf>
    <xf numFmtId="165" fontId="5" fillId="4" borderId="23" xfId="2" applyNumberFormat="1" applyFont="1" applyFill="1" applyBorder="1" applyAlignment="1">
      <alignment horizontal="right" vertical="center"/>
    </xf>
    <xf numFmtId="165" fontId="22" fillId="0" borderId="23" xfId="2" applyNumberFormat="1" applyFont="1" applyFill="1" applyBorder="1" applyAlignment="1">
      <alignment horizontal="right" vertical="center"/>
    </xf>
    <xf numFmtId="165" fontId="7" fillId="8" borderId="61" xfId="2" applyNumberFormat="1" applyFont="1" applyFill="1" applyBorder="1" applyAlignment="1">
      <alignment horizontal="right" vertical="center"/>
    </xf>
    <xf numFmtId="43" fontId="15" fillId="4" borderId="65" xfId="1" applyFont="1" applyFill="1" applyBorder="1" applyAlignment="1">
      <alignment vertical="center"/>
    </xf>
    <xf numFmtId="43" fontId="22" fillId="0" borderId="91" xfId="1" applyFont="1" applyFill="1" applyBorder="1" applyAlignment="1">
      <alignment horizontal="right" vertical="center"/>
    </xf>
    <xf numFmtId="43" fontId="25" fillId="0" borderId="91" xfId="1" applyFont="1" applyFill="1" applyBorder="1" applyAlignment="1">
      <alignment vertical="top"/>
    </xf>
    <xf numFmtId="43" fontId="25" fillId="0" borderId="61" xfId="1" applyFont="1" applyFill="1" applyBorder="1" applyAlignment="1">
      <alignment vertical="top"/>
    </xf>
    <xf numFmtId="165" fontId="7" fillId="0" borderId="71" xfId="2" applyNumberFormat="1" applyFont="1" applyFill="1" applyBorder="1" applyAlignment="1">
      <alignment horizontal="right" vertical="center"/>
    </xf>
    <xf numFmtId="165" fontId="15" fillId="4" borderId="23" xfId="2" applyNumberFormat="1" applyFont="1" applyFill="1" applyBorder="1" applyAlignment="1">
      <alignment vertical="center"/>
    </xf>
    <xf numFmtId="165" fontId="7" fillId="0" borderId="106" xfId="2" applyNumberFormat="1" applyFont="1" applyFill="1" applyBorder="1" applyAlignment="1">
      <alignment vertical="top"/>
    </xf>
    <xf numFmtId="165" fontId="22" fillId="0" borderId="115" xfId="2" applyNumberFormat="1" applyFont="1" applyFill="1" applyBorder="1" applyAlignment="1">
      <alignment horizontal="right" vertical="center"/>
    </xf>
    <xf numFmtId="165" fontId="7" fillId="0" borderId="118" xfId="2" applyNumberFormat="1" applyFont="1" applyFill="1" applyBorder="1" applyAlignment="1">
      <alignment vertical="top"/>
    </xf>
    <xf numFmtId="3" fontId="20" fillId="4" borderId="65" xfId="2" applyNumberFormat="1" applyFont="1" applyFill="1" applyBorder="1" applyAlignment="1">
      <alignment vertical="center"/>
    </xf>
    <xf numFmtId="43" fontId="22" fillId="0" borderId="71" xfId="1" applyFont="1" applyFill="1" applyBorder="1" applyAlignment="1">
      <alignment horizontal="right" vertical="center"/>
    </xf>
    <xf numFmtId="0" fontId="20" fillId="4" borderId="60" xfId="0" applyFont="1" applyFill="1" applyBorder="1" applyAlignment="1">
      <alignment vertical="center"/>
    </xf>
    <xf numFmtId="3" fontId="5" fillId="4" borderId="101" xfId="2" applyNumberFormat="1" applyFont="1" applyFill="1" applyBorder="1" applyAlignment="1"/>
    <xf numFmtId="3" fontId="5" fillId="4" borderId="61" xfId="2" applyNumberFormat="1" applyFont="1" applyFill="1" applyBorder="1" applyAlignment="1"/>
    <xf numFmtId="43" fontId="5" fillId="4" borderId="60" xfId="1" applyFont="1" applyFill="1" applyBorder="1" applyAlignment="1"/>
    <xf numFmtId="3" fontId="5" fillId="4" borderId="58" xfId="2" applyNumberFormat="1" applyFont="1" applyFill="1" applyBorder="1" applyAlignment="1"/>
    <xf numFmtId="165" fontId="5" fillId="4" borderId="59" xfId="2" applyNumberFormat="1" applyFont="1" applyFill="1" applyBorder="1" applyAlignment="1"/>
    <xf numFmtId="3" fontId="5" fillId="4" borderId="59" xfId="2" applyNumberFormat="1" applyFont="1" applyFill="1" applyBorder="1" applyAlignment="1"/>
    <xf numFmtId="43" fontId="22" fillId="5" borderId="64" xfId="1" applyFont="1" applyFill="1" applyBorder="1" applyAlignment="1">
      <alignment vertical="top"/>
    </xf>
    <xf numFmtId="0" fontId="16" fillId="0" borderId="72" xfId="0" applyFont="1" applyBorder="1"/>
    <xf numFmtId="165" fontId="7" fillId="5" borderId="65" xfId="2" applyNumberFormat="1" applyFont="1" applyFill="1" applyBorder="1" applyAlignment="1">
      <alignment vertical="top"/>
    </xf>
    <xf numFmtId="3" fontId="5" fillId="4" borderId="72" xfId="2" applyNumberFormat="1" applyFont="1" applyFill="1" applyBorder="1" applyAlignment="1"/>
    <xf numFmtId="3" fontId="5" fillId="4" borderId="65" xfId="2" applyNumberFormat="1" applyFont="1" applyFill="1" applyBorder="1" applyAlignment="1"/>
    <xf numFmtId="165" fontId="5" fillId="4" borderId="63" xfId="2" applyNumberFormat="1" applyFont="1" applyFill="1" applyBorder="1" applyAlignment="1"/>
    <xf numFmtId="165" fontId="7" fillId="5" borderId="71" xfId="2" applyNumberFormat="1" applyFont="1" applyFill="1" applyBorder="1" applyAlignment="1">
      <alignment vertical="top"/>
    </xf>
    <xf numFmtId="3" fontId="5" fillId="4" borderId="60" xfId="2" applyNumberFormat="1" applyFont="1" applyFill="1" applyBorder="1" applyAlignment="1"/>
    <xf numFmtId="3" fontId="25" fillId="5" borderId="64" xfId="2" applyNumberFormat="1" applyFont="1" applyFill="1" applyBorder="1" applyAlignment="1">
      <alignment vertical="top"/>
    </xf>
    <xf numFmtId="3" fontId="5" fillId="4" borderId="64" xfId="2" applyNumberFormat="1" applyFont="1" applyFill="1" applyBorder="1" applyAlignment="1"/>
    <xf numFmtId="3" fontId="25" fillId="5" borderId="70" xfId="2" applyNumberFormat="1" applyFont="1" applyFill="1" applyBorder="1" applyAlignment="1">
      <alignment vertical="top"/>
    </xf>
    <xf numFmtId="3" fontId="22" fillId="5" borderId="80" xfId="2" applyNumberFormat="1" applyFont="1" applyFill="1" applyBorder="1" applyAlignment="1">
      <alignment vertical="center"/>
    </xf>
    <xf numFmtId="3" fontId="22" fillId="5" borderId="0" xfId="2" applyNumberFormat="1" applyFont="1" applyFill="1" applyBorder="1" applyAlignment="1">
      <alignment vertical="top"/>
    </xf>
    <xf numFmtId="43" fontId="7" fillId="5" borderId="65" xfId="1" applyFont="1" applyFill="1" applyBorder="1" applyAlignment="1">
      <alignment horizontal="right" vertical="center"/>
    </xf>
    <xf numFmtId="3" fontId="22" fillId="5" borderId="80" xfId="2" applyNumberFormat="1" applyFont="1" applyFill="1" applyBorder="1" applyAlignment="1">
      <alignment vertical="top"/>
    </xf>
    <xf numFmtId="3" fontId="22" fillId="5" borderId="65" xfId="2" applyNumberFormat="1" applyFont="1" applyFill="1" applyBorder="1" applyAlignment="1">
      <alignment vertical="top"/>
    </xf>
    <xf numFmtId="3" fontId="7" fillId="5" borderId="103" xfId="2" applyNumberFormat="1" applyFont="1" applyFill="1" applyBorder="1" applyAlignment="1">
      <alignment horizontal="right" vertical="center"/>
    </xf>
    <xf numFmtId="3" fontId="25" fillId="2" borderId="10" xfId="2" applyNumberFormat="1" applyFont="1" applyFill="1" applyBorder="1" applyAlignment="1">
      <alignment horizontal="right" vertical="center"/>
    </xf>
    <xf numFmtId="43" fontId="25" fillId="4" borderId="10" xfId="1" applyFont="1" applyFill="1" applyBorder="1" applyAlignment="1">
      <alignment vertical="center"/>
    </xf>
    <xf numFmtId="43" fontId="36" fillId="0" borderId="91" xfId="1" applyFont="1" applyFill="1" applyBorder="1" applyAlignment="1">
      <alignment horizontal="right" vertical="center"/>
    </xf>
    <xf numFmtId="3" fontId="25" fillId="0" borderId="23" xfId="2" applyNumberFormat="1" applyFont="1" applyFill="1" applyBorder="1" applyAlignment="1">
      <alignment vertical="top"/>
    </xf>
    <xf numFmtId="3" fontId="25" fillId="0" borderId="118" xfId="2" applyNumberFormat="1" applyFont="1" applyFill="1" applyBorder="1" applyAlignment="1">
      <alignment horizontal="right" vertical="center"/>
    </xf>
    <xf numFmtId="3" fontId="25" fillId="9" borderId="27" xfId="2" applyNumberFormat="1" applyFont="1" applyFill="1" applyBorder="1" applyAlignment="1">
      <alignment horizontal="right" vertical="center"/>
    </xf>
    <xf numFmtId="3" fontId="15" fillId="4" borderId="23" xfId="2" applyNumberFormat="1" applyFont="1" applyFill="1" applyBorder="1" applyAlignment="1">
      <alignment horizontal="right" vertical="center"/>
    </xf>
    <xf numFmtId="3" fontId="22" fillId="0" borderId="23" xfId="2" applyNumberFormat="1" applyFont="1" applyFill="1" applyBorder="1" applyAlignment="1">
      <alignment horizontal="right" vertical="center"/>
    </xf>
    <xf numFmtId="3" fontId="25" fillId="8" borderId="34" xfId="2" applyNumberFormat="1" applyFont="1" applyFill="1" applyBorder="1" applyAlignment="1">
      <alignment horizontal="right" vertical="center"/>
    </xf>
    <xf numFmtId="3" fontId="25" fillId="0" borderId="71" xfId="2" applyNumberFormat="1" applyFont="1" applyFill="1" applyBorder="1" applyAlignment="1">
      <alignment horizontal="right" vertical="center"/>
    </xf>
    <xf numFmtId="3" fontId="15" fillId="4" borderId="23" xfId="2" applyNumberFormat="1" applyFont="1" applyFill="1" applyBorder="1" applyAlignment="1">
      <alignment vertical="center"/>
    </xf>
    <xf numFmtId="3" fontId="25" fillId="0" borderId="106" xfId="2" applyNumberFormat="1" applyFont="1" applyFill="1" applyBorder="1" applyAlignment="1">
      <alignment vertical="top"/>
    </xf>
    <xf numFmtId="3" fontId="22" fillId="0" borderId="115" xfId="2" applyNumberFormat="1" applyFont="1" applyFill="1" applyBorder="1" applyAlignment="1">
      <alignment horizontal="right" vertical="center"/>
    </xf>
    <xf numFmtId="3" fontId="25" fillId="0" borderId="118" xfId="2" applyNumberFormat="1" applyFont="1" applyFill="1" applyBorder="1" applyAlignment="1">
      <alignment vertical="top"/>
    </xf>
    <xf numFmtId="0" fontId="32" fillId="0" borderId="88" xfId="2" applyFont="1" applyFill="1" applyBorder="1" applyAlignment="1">
      <alignment vertical="center" wrapText="1"/>
    </xf>
    <xf numFmtId="3" fontId="22" fillId="5" borderId="6" xfId="2" applyNumberFormat="1" applyFont="1" applyFill="1" applyBorder="1" applyAlignment="1">
      <alignment vertical="top"/>
    </xf>
    <xf numFmtId="3" fontId="7" fillId="5" borderId="70" xfId="2" applyNumberFormat="1" applyFont="1" applyFill="1" applyBorder="1" applyAlignment="1">
      <alignment horizontal="right" vertical="center"/>
    </xf>
    <xf numFmtId="3" fontId="25" fillId="7" borderId="58" xfId="2" applyNumberFormat="1" applyFont="1" applyFill="1" applyBorder="1" applyAlignment="1">
      <alignment horizontal="right" vertical="center"/>
    </xf>
    <xf numFmtId="43" fontId="25" fillId="4" borderId="64" xfId="1" applyFont="1" applyFill="1" applyBorder="1" applyAlignment="1">
      <alignment vertical="center"/>
    </xf>
    <xf numFmtId="43" fontId="36" fillId="0" borderId="64" xfId="1" applyFont="1" applyFill="1" applyBorder="1" applyAlignment="1">
      <alignment horizontal="right" vertical="center"/>
    </xf>
    <xf numFmtId="3" fontId="25" fillId="0" borderId="31" xfId="2" applyNumberFormat="1" applyFont="1" applyFill="1" applyBorder="1" applyAlignment="1">
      <alignment horizontal="right" vertical="center"/>
    </xf>
    <xf numFmtId="43" fontId="22" fillId="0" borderId="69" xfId="1" applyFont="1" applyFill="1" applyBorder="1" applyAlignment="1">
      <alignment horizontal="right" vertical="center"/>
    </xf>
    <xf numFmtId="0" fontId="5" fillId="7" borderId="59" xfId="0" applyFont="1" applyFill="1" applyBorder="1" applyAlignment="1">
      <alignment vertical="center" wrapText="1"/>
    </xf>
    <xf numFmtId="0" fontId="33" fillId="7" borderId="60" xfId="0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vertical="top"/>
    </xf>
    <xf numFmtId="0" fontId="7" fillId="7" borderId="59" xfId="0" applyFont="1" applyFill="1" applyBorder="1" applyAlignment="1">
      <alignment vertical="top"/>
    </xf>
    <xf numFmtId="165" fontId="7" fillId="7" borderId="59" xfId="0" applyNumberFormat="1" applyFont="1" applyFill="1" applyBorder="1" applyAlignment="1">
      <alignment vertical="top"/>
    </xf>
    <xf numFmtId="165" fontId="5" fillId="4" borderId="63" xfId="0" applyNumberFormat="1" applyFont="1" applyFill="1" applyBorder="1" applyAlignment="1">
      <alignment vertical="top"/>
    </xf>
    <xf numFmtId="3" fontId="5" fillId="0" borderId="62" xfId="0" applyNumberFormat="1" applyFont="1" applyFill="1" applyBorder="1" applyAlignment="1">
      <alignment vertical="top"/>
    </xf>
    <xf numFmtId="165" fontId="5" fillId="0" borderId="63" xfId="0" applyNumberFormat="1" applyFont="1" applyFill="1" applyBorder="1" applyAlignment="1">
      <alignment vertical="top"/>
    </xf>
    <xf numFmtId="0" fontId="7" fillId="0" borderId="69" xfId="0" applyFont="1" applyFill="1" applyBorder="1" applyAlignment="1">
      <alignment vertical="center"/>
    </xf>
    <xf numFmtId="3" fontId="7" fillId="7" borderId="59" xfId="0" applyNumberFormat="1" applyFont="1" applyFill="1" applyBorder="1" applyAlignment="1">
      <alignment vertical="top"/>
    </xf>
    <xf numFmtId="0" fontId="32" fillId="7" borderId="60" xfId="0" applyFont="1" applyFill="1" applyBorder="1" applyAlignment="1">
      <alignment vertical="top"/>
    </xf>
    <xf numFmtId="0" fontId="21" fillId="0" borderId="139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32" fillId="0" borderId="104" xfId="0" applyFont="1" applyBorder="1" applyAlignment="1">
      <alignment vertical="top"/>
    </xf>
    <xf numFmtId="0" fontId="32" fillId="0" borderId="102" xfId="0" applyFont="1" applyBorder="1" applyAlignment="1">
      <alignment vertical="top"/>
    </xf>
    <xf numFmtId="0" fontId="32" fillId="0" borderId="103" xfId="0" applyFont="1" applyBorder="1" applyAlignment="1">
      <alignment vertical="top"/>
    </xf>
    <xf numFmtId="165" fontId="42" fillId="0" borderId="63" xfId="3" applyNumberFormat="1" applyFont="1" applyFill="1" applyBorder="1" applyAlignment="1">
      <alignment vertical="center"/>
    </xf>
    <xf numFmtId="0" fontId="7" fillId="2" borderId="63" xfId="2" applyFont="1" applyFill="1" applyBorder="1" applyAlignment="1">
      <alignment vertical="top" wrapText="1"/>
    </xf>
    <xf numFmtId="165" fontId="5" fillId="4" borderId="64" xfId="0" applyNumberFormat="1" applyFont="1" applyFill="1" applyBorder="1" applyAlignment="1">
      <alignment vertical="top"/>
    </xf>
    <xf numFmtId="165" fontId="5" fillId="0" borderId="64" xfId="0" applyNumberFormat="1" applyFont="1" applyFill="1" applyBorder="1" applyAlignment="1">
      <alignment vertical="top"/>
    </xf>
    <xf numFmtId="0" fontId="7" fillId="0" borderId="63" xfId="0" applyFont="1" applyFill="1" applyBorder="1" applyAlignment="1">
      <alignment vertical="center"/>
    </xf>
    <xf numFmtId="165" fontId="7" fillId="0" borderId="63" xfId="0" applyNumberFormat="1" applyFont="1" applyFill="1" applyBorder="1" applyAlignment="1">
      <alignment vertical="top"/>
    </xf>
    <xf numFmtId="165" fontId="7" fillId="0" borderId="64" xfId="0" applyNumberFormat="1" applyFont="1" applyFill="1" applyBorder="1" applyAlignment="1">
      <alignment vertical="top"/>
    </xf>
    <xf numFmtId="3" fontId="5" fillId="4" borderId="67" xfId="2" applyNumberFormat="1" applyFont="1" applyFill="1" applyBorder="1" applyAlignment="1"/>
    <xf numFmtId="3" fontId="42" fillId="0" borderId="67" xfId="3" applyNumberFormat="1" applyFont="1" applyFill="1" applyBorder="1" applyAlignment="1">
      <alignment vertical="center"/>
    </xf>
    <xf numFmtId="3" fontId="22" fillId="2" borderId="72" xfId="0" quotePrefix="1" applyNumberFormat="1" applyFont="1" applyFill="1" applyBorder="1" applyAlignment="1">
      <alignment vertical="center"/>
    </xf>
    <xf numFmtId="3" fontId="22" fillId="2" borderId="63" xfId="0" quotePrefix="1" applyNumberFormat="1" applyFont="1" applyFill="1" applyBorder="1" applyAlignment="1">
      <alignment vertical="center"/>
    </xf>
    <xf numFmtId="0" fontId="22" fillId="0" borderId="63" xfId="0" applyFont="1" applyBorder="1" applyAlignment="1">
      <alignment horizontal="left" vertical="top"/>
    </xf>
    <xf numFmtId="43" fontId="22" fillId="2" borderId="62" xfId="1" quotePrefix="1" applyFont="1" applyFill="1" applyBorder="1" applyAlignment="1">
      <alignment vertical="top"/>
    </xf>
    <xf numFmtId="0" fontId="22" fillId="0" borderId="61" xfId="0" applyFont="1" applyBorder="1" applyAlignment="1">
      <alignment horizontal="left" vertical="center"/>
    </xf>
    <xf numFmtId="3" fontId="22" fillId="2" borderId="101" xfId="0" quotePrefix="1" applyNumberFormat="1" applyFont="1" applyFill="1" applyBorder="1" applyAlignment="1">
      <alignment vertical="center"/>
    </xf>
    <xf numFmtId="3" fontId="22" fillId="2" borderId="59" xfId="0" quotePrefix="1" applyNumberFormat="1" applyFont="1" applyFill="1" applyBorder="1" applyAlignment="1">
      <alignment vertical="center"/>
    </xf>
    <xf numFmtId="3" fontId="22" fillId="2" borderId="104" xfId="0" quotePrefix="1" applyNumberFormat="1" applyFont="1" applyFill="1" applyBorder="1" applyAlignment="1">
      <alignment vertical="center"/>
    </xf>
    <xf numFmtId="3" fontId="22" fillId="2" borderId="124" xfId="0" quotePrefix="1" applyNumberFormat="1" applyFont="1" applyFill="1" applyBorder="1" applyAlignment="1">
      <alignment vertical="center"/>
    </xf>
    <xf numFmtId="165" fontId="22" fillId="0" borderId="59" xfId="2" applyNumberFormat="1" applyFont="1" applyFill="1" applyBorder="1" applyAlignment="1">
      <alignment horizontal="right" vertical="center"/>
    </xf>
    <xf numFmtId="3" fontId="22" fillId="2" borderId="61" xfId="0" quotePrefix="1" applyNumberFormat="1" applyFont="1" applyFill="1" applyBorder="1" applyAlignment="1">
      <alignment vertical="center"/>
    </xf>
    <xf numFmtId="165" fontId="22" fillId="0" borderId="60" xfId="2" applyNumberFormat="1" applyFont="1" applyFill="1" applyBorder="1" applyAlignment="1">
      <alignment horizontal="right" vertical="center"/>
    </xf>
    <xf numFmtId="3" fontId="22" fillId="2" borderId="131" xfId="0" quotePrefix="1" applyNumberFormat="1" applyFont="1" applyFill="1" applyBorder="1" applyAlignment="1">
      <alignment vertical="center"/>
    </xf>
    <xf numFmtId="0" fontId="22" fillId="0" borderId="72" xfId="0" applyFont="1" applyBorder="1" applyAlignment="1">
      <alignment horizontal="left" vertical="top"/>
    </xf>
    <xf numFmtId="3" fontId="22" fillId="2" borderId="102" xfId="0" quotePrefix="1" applyNumberFormat="1" applyFont="1" applyFill="1" applyBorder="1" applyAlignment="1">
      <alignment vertical="center"/>
    </xf>
    <xf numFmtId="3" fontId="22" fillId="2" borderId="66" xfId="0" quotePrefix="1" applyNumberFormat="1" applyFont="1" applyFill="1" applyBorder="1" applyAlignment="1">
      <alignment vertical="center"/>
    </xf>
    <xf numFmtId="165" fontId="22" fillId="0" borderId="63" xfId="2" applyNumberFormat="1" applyFont="1" applyFill="1" applyBorder="1" applyAlignment="1">
      <alignment horizontal="right" vertical="center"/>
    </xf>
    <xf numFmtId="165" fontId="22" fillId="0" borderId="64" xfId="2" applyNumberFormat="1" applyFont="1" applyFill="1" applyBorder="1" applyAlignment="1">
      <alignment horizontal="right" vertical="center"/>
    </xf>
    <xf numFmtId="3" fontId="22" fillId="2" borderId="132" xfId="0" quotePrefix="1" applyNumberFormat="1" applyFont="1" applyFill="1" applyBorder="1" applyAlignment="1">
      <alignment vertical="center"/>
    </xf>
    <xf numFmtId="0" fontId="15" fillId="4" borderId="72" xfId="2" applyFont="1" applyFill="1" applyBorder="1" applyAlignment="1">
      <alignment horizontal="left" vertical="center"/>
    </xf>
    <xf numFmtId="3" fontId="15" fillId="4" borderId="72" xfId="0" applyNumberFormat="1" applyFont="1" applyFill="1" applyBorder="1" applyAlignment="1">
      <alignment horizontal="right" vertical="center" wrapText="1"/>
    </xf>
    <xf numFmtId="3" fontId="15" fillId="4" borderId="63" xfId="0" applyNumberFormat="1" applyFont="1" applyFill="1" applyBorder="1" applyAlignment="1">
      <alignment horizontal="right" vertical="center" wrapText="1"/>
    </xf>
    <xf numFmtId="3" fontId="15" fillId="4" borderId="102" xfId="0" applyNumberFormat="1" applyFont="1" applyFill="1" applyBorder="1" applyAlignment="1">
      <alignment horizontal="right" vertical="center" wrapText="1"/>
    </xf>
    <xf numFmtId="3" fontId="15" fillId="4" borderId="66" xfId="0" applyNumberFormat="1" applyFont="1" applyFill="1" applyBorder="1" applyAlignment="1">
      <alignment horizontal="right" vertical="center" wrapText="1"/>
    </xf>
    <xf numFmtId="164" fontId="15" fillId="4" borderId="63" xfId="0" applyNumberFormat="1" applyFont="1" applyFill="1" applyBorder="1" applyAlignment="1">
      <alignment horizontal="right" vertical="center" wrapText="1"/>
    </xf>
    <xf numFmtId="164" fontId="15" fillId="4" borderId="64" xfId="0" applyNumberFormat="1" applyFont="1" applyFill="1" applyBorder="1" applyAlignment="1">
      <alignment horizontal="right" vertical="center" wrapText="1"/>
    </xf>
    <xf numFmtId="3" fontId="15" fillId="4" borderId="64" xfId="0" applyNumberFormat="1" applyFont="1" applyFill="1" applyBorder="1" applyAlignment="1">
      <alignment horizontal="right" vertical="center" wrapText="1"/>
    </xf>
    <xf numFmtId="0" fontId="22" fillId="5" borderId="72" xfId="2" applyFont="1" applyFill="1" applyBorder="1" applyAlignment="1">
      <alignment vertical="center"/>
    </xf>
    <xf numFmtId="3" fontId="22" fillId="5" borderId="72" xfId="0" applyNumberFormat="1" applyFont="1" applyFill="1" applyBorder="1" applyAlignment="1">
      <alignment horizontal="right" vertical="center" wrapText="1"/>
    </xf>
    <xf numFmtId="3" fontId="22" fillId="5" borderId="63" xfId="0" applyNumberFormat="1" applyFont="1" applyFill="1" applyBorder="1" applyAlignment="1">
      <alignment horizontal="right" vertical="center" wrapText="1"/>
    </xf>
    <xf numFmtId="3" fontId="22" fillId="5" borderId="102" xfId="0" applyNumberFormat="1" applyFont="1" applyFill="1" applyBorder="1" applyAlignment="1">
      <alignment horizontal="right" vertical="center" wrapText="1"/>
    </xf>
    <xf numFmtId="3" fontId="22" fillId="5" borderId="66" xfId="0" applyNumberFormat="1" applyFont="1" applyFill="1" applyBorder="1" applyAlignment="1">
      <alignment horizontal="right" vertical="center" wrapText="1"/>
    </xf>
    <xf numFmtId="164" fontId="22" fillId="5" borderId="63" xfId="0" applyNumberFormat="1" applyFont="1" applyFill="1" applyBorder="1" applyAlignment="1">
      <alignment horizontal="right" vertical="center" wrapText="1"/>
    </xf>
    <xf numFmtId="164" fontId="22" fillId="5" borderId="64" xfId="0" applyNumberFormat="1" applyFont="1" applyFill="1" applyBorder="1" applyAlignment="1">
      <alignment horizontal="right" vertical="center" wrapText="1"/>
    </xf>
    <xf numFmtId="3" fontId="22" fillId="5" borderId="64" xfId="0" applyNumberFormat="1" applyFont="1" applyFill="1" applyBorder="1" applyAlignment="1">
      <alignment horizontal="right" vertical="center" wrapText="1"/>
    </xf>
    <xf numFmtId="0" fontId="25" fillId="0" borderId="72" xfId="0" applyFont="1" applyFill="1" applyBorder="1" applyAlignment="1">
      <alignment vertical="center" wrapText="1"/>
    </xf>
    <xf numFmtId="3" fontId="25" fillId="0" borderId="72" xfId="0" applyNumberFormat="1" applyFont="1" applyFill="1" applyBorder="1" applyAlignment="1">
      <alignment vertical="center" wrapText="1"/>
    </xf>
    <xf numFmtId="3" fontId="25" fillId="0" borderId="102" xfId="0" applyNumberFormat="1" applyFont="1" applyFill="1" applyBorder="1" applyAlignment="1">
      <alignment vertical="center" wrapText="1"/>
    </xf>
    <xf numFmtId="3" fontId="25" fillId="0" borderId="66" xfId="0" applyNumberFormat="1" applyFont="1" applyFill="1" applyBorder="1" applyAlignment="1">
      <alignment vertical="center" wrapText="1"/>
    </xf>
    <xf numFmtId="3" fontId="25" fillId="0" borderId="65" xfId="0" applyNumberFormat="1" applyFont="1" applyFill="1" applyBorder="1" applyAlignment="1">
      <alignment vertical="center" wrapText="1"/>
    </xf>
    <xf numFmtId="165" fontId="25" fillId="0" borderId="64" xfId="0" applyNumberFormat="1" applyFont="1" applyFill="1" applyBorder="1" applyAlignment="1">
      <alignment vertical="center" wrapText="1"/>
    </xf>
    <xf numFmtId="0" fontId="22" fillId="5" borderId="72" xfId="2" applyFont="1" applyFill="1" applyBorder="1" applyAlignment="1">
      <alignment vertical="center" wrapText="1"/>
    </xf>
    <xf numFmtId="3" fontId="22" fillId="5" borderId="72" xfId="0" applyNumberFormat="1" applyFont="1" applyFill="1" applyBorder="1" applyAlignment="1">
      <alignment vertical="center" wrapText="1"/>
    </xf>
    <xf numFmtId="3" fontId="22" fillId="5" borderId="63" xfId="0" applyNumberFormat="1" applyFont="1" applyFill="1" applyBorder="1" applyAlignment="1">
      <alignment vertical="center" wrapText="1"/>
    </xf>
    <xf numFmtId="3" fontId="22" fillId="5" borderId="102" xfId="0" applyNumberFormat="1" applyFont="1" applyFill="1" applyBorder="1" applyAlignment="1">
      <alignment vertical="center" wrapText="1"/>
    </xf>
    <xf numFmtId="3" fontId="22" fillId="5" borderId="66" xfId="0" applyNumberFormat="1" applyFont="1" applyFill="1" applyBorder="1" applyAlignment="1">
      <alignment vertical="center" wrapText="1"/>
    </xf>
    <xf numFmtId="165" fontId="22" fillId="5" borderId="63" xfId="0" applyNumberFormat="1" applyFont="1" applyFill="1" applyBorder="1" applyAlignment="1">
      <alignment horizontal="right" vertical="center" wrapText="1"/>
    </xf>
    <xf numFmtId="3" fontId="22" fillId="5" borderId="64" xfId="0" applyNumberFormat="1" applyFont="1" applyFill="1" applyBorder="1" applyAlignment="1">
      <alignment vertical="center" wrapText="1"/>
    </xf>
    <xf numFmtId="3" fontId="25" fillId="0" borderId="73" xfId="0" applyNumberFormat="1" applyFont="1" applyFill="1" applyBorder="1" applyAlignment="1">
      <alignment vertical="center" wrapText="1"/>
    </xf>
    <xf numFmtId="3" fontId="6" fillId="17" borderId="63" xfId="2" applyNumberFormat="1" applyFont="1" applyFill="1" applyBorder="1" applyAlignment="1">
      <alignment vertical="top" wrapText="1"/>
    </xf>
    <xf numFmtId="3" fontId="22" fillId="17" borderId="63" xfId="2" applyNumberFormat="1" applyFont="1" applyFill="1" applyBorder="1" applyAlignment="1">
      <alignment vertical="top" wrapText="1"/>
    </xf>
    <xf numFmtId="165" fontId="7" fillId="0" borderId="63" xfId="2" applyNumberFormat="1" applyFont="1" applyFill="1" applyBorder="1" applyAlignment="1">
      <alignment horizontal="right" vertical="center"/>
    </xf>
    <xf numFmtId="0" fontId="25" fillId="0" borderId="101" xfId="0" applyFont="1" applyFill="1" applyBorder="1" applyAlignment="1">
      <alignment vertical="center" wrapText="1"/>
    </xf>
    <xf numFmtId="3" fontId="25" fillId="0" borderId="101" xfId="0" applyNumberFormat="1" applyFont="1" applyFill="1" applyBorder="1" applyAlignment="1">
      <alignment vertical="center" wrapText="1"/>
    </xf>
    <xf numFmtId="3" fontId="25" fillId="0" borderId="59" xfId="0" applyNumberFormat="1" applyFont="1" applyFill="1" applyBorder="1" applyAlignment="1">
      <alignment vertical="center" wrapText="1"/>
    </xf>
    <xf numFmtId="3" fontId="25" fillId="0" borderId="124" xfId="0" applyNumberFormat="1" applyFont="1" applyFill="1" applyBorder="1" applyAlignment="1">
      <alignment vertical="center" wrapText="1"/>
    </xf>
    <xf numFmtId="3" fontId="25" fillId="0" borderId="58" xfId="0" applyNumberFormat="1" applyFont="1" applyFill="1" applyBorder="1" applyAlignment="1">
      <alignment vertical="center" wrapText="1"/>
    </xf>
    <xf numFmtId="165" fontId="25" fillId="0" borderId="59" xfId="0" applyNumberFormat="1" applyFont="1" applyFill="1" applyBorder="1" applyAlignment="1">
      <alignment vertical="center" wrapText="1"/>
    </xf>
    <xf numFmtId="165" fontId="25" fillId="0" borderId="60" xfId="0" applyNumberFormat="1" applyFont="1" applyFill="1" applyBorder="1" applyAlignment="1">
      <alignment vertical="center" wrapText="1"/>
    </xf>
    <xf numFmtId="3" fontId="22" fillId="5" borderId="62" xfId="0" applyNumberFormat="1" applyFont="1" applyFill="1" applyBorder="1" applyAlignment="1">
      <alignment vertical="center" wrapText="1"/>
    </xf>
    <xf numFmtId="3" fontId="25" fillId="0" borderId="62" xfId="0" applyNumberFormat="1" applyFont="1" applyFill="1" applyBorder="1" applyAlignment="1">
      <alignment vertical="center" wrapText="1"/>
    </xf>
    <xf numFmtId="3" fontId="25" fillId="0" borderId="67" xfId="0" applyNumberFormat="1" applyFont="1" applyFill="1" applyBorder="1" applyAlignment="1">
      <alignment vertical="center" wrapText="1"/>
    </xf>
    <xf numFmtId="0" fontId="22" fillId="0" borderId="71" xfId="0" applyFont="1" applyBorder="1" applyAlignment="1">
      <alignment horizontal="left" vertical="center"/>
    </xf>
    <xf numFmtId="3" fontId="22" fillId="2" borderId="73" xfId="0" quotePrefix="1" applyNumberFormat="1" applyFont="1" applyFill="1" applyBorder="1" applyAlignment="1">
      <alignment vertical="center"/>
    </xf>
    <xf numFmtId="3" fontId="22" fillId="2" borderId="69" xfId="0" quotePrefix="1" applyNumberFormat="1" applyFont="1" applyFill="1" applyBorder="1" applyAlignment="1">
      <alignment vertical="center"/>
    </xf>
    <xf numFmtId="3" fontId="22" fillId="2" borderId="103" xfId="0" quotePrefix="1" applyNumberFormat="1" applyFont="1" applyFill="1" applyBorder="1" applyAlignment="1">
      <alignment vertical="center"/>
    </xf>
    <xf numFmtId="3" fontId="22" fillId="2" borderId="85" xfId="0" quotePrefix="1" applyNumberFormat="1" applyFont="1" applyFill="1" applyBorder="1" applyAlignment="1">
      <alignment vertical="center"/>
    </xf>
    <xf numFmtId="165" fontId="22" fillId="0" borderId="69" xfId="2" applyNumberFormat="1" applyFont="1" applyFill="1" applyBorder="1" applyAlignment="1">
      <alignment horizontal="right" vertical="center"/>
    </xf>
    <xf numFmtId="3" fontId="22" fillId="2" borderId="71" xfId="0" quotePrefix="1" applyNumberFormat="1" applyFont="1" applyFill="1" applyBorder="1" applyAlignment="1">
      <alignment vertical="center"/>
    </xf>
    <xf numFmtId="165" fontId="22" fillId="0" borderId="70" xfId="2" applyNumberFormat="1" applyFont="1" applyFill="1" applyBorder="1" applyAlignment="1">
      <alignment horizontal="right" vertical="center"/>
    </xf>
    <xf numFmtId="3" fontId="22" fillId="2" borderId="133" xfId="0" quotePrefix="1" applyNumberFormat="1" applyFont="1" applyFill="1" applyBorder="1" applyAlignment="1">
      <alignment vertical="center"/>
    </xf>
    <xf numFmtId="0" fontId="25" fillId="0" borderId="73" xfId="0" applyFont="1" applyFill="1" applyBorder="1" applyAlignment="1">
      <alignment vertical="center" wrapText="1"/>
    </xf>
    <xf numFmtId="3" fontId="25" fillId="0" borderId="69" xfId="0" applyNumberFormat="1" applyFont="1" applyFill="1" applyBorder="1" applyAlignment="1">
      <alignment vertical="center" wrapText="1"/>
    </xf>
    <xf numFmtId="3" fontId="25" fillId="0" borderId="85" xfId="0" applyNumberFormat="1" applyFont="1" applyFill="1" applyBorder="1" applyAlignment="1">
      <alignment vertical="center" wrapText="1"/>
    </xf>
    <xf numFmtId="165" fontId="25" fillId="0" borderId="69" xfId="0" applyNumberFormat="1" applyFont="1" applyFill="1" applyBorder="1" applyAlignment="1">
      <alignment vertical="center" wrapText="1"/>
    </xf>
    <xf numFmtId="165" fontId="25" fillId="0" borderId="70" xfId="0" applyNumberFormat="1" applyFont="1" applyFill="1" applyBorder="1" applyAlignment="1">
      <alignment vertical="center" wrapText="1"/>
    </xf>
    <xf numFmtId="43" fontId="22" fillId="0" borderId="15" xfId="1" applyFont="1" applyFill="1" applyBorder="1" applyAlignment="1">
      <alignment horizontal="right" vertical="center"/>
    </xf>
    <xf numFmtId="0" fontId="25" fillId="0" borderId="101" xfId="0" applyFont="1" applyFill="1" applyBorder="1" applyAlignment="1">
      <alignment vertical="center"/>
    </xf>
    <xf numFmtId="3" fontId="25" fillId="0" borderId="104" xfId="0" applyNumberFormat="1" applyFont="1" applyFill="1" applyBorder="1" applyAlignment="1">
      <alignment vertical="center" wrapText="1"/>
    </xf>
    <xf numFmtId="0" fontId="22" fillId="5" borderId="125" xfId="2" applyFont="1" applyFill="1" applyBorder="1" applyAlignment="1">
      <alignment vertical="center" wrapText="1"/>
    </xf>
    <xf numFmtId="3" fontId="22" fillId="5" borderId="125" xfId="0" applyNumberFormat="1" applyFont="1" applyFill="1" applyBorder="1" applyAlignment="1">
      <alignment vertical="center" wrapText="1"/>
    </xf>
    <xf numFmtId="3" fontId="22" fillId="5" borderId="33" xfId="0" applyNumberFormat="1" applyFont="1" applyFill="1" applyBorder="1" applyAlignment="1">
      <alignment vertical="center" wrapText="1"/>
    </xf>
    <xf numFmtId="3" fontId="22" fillId="5" borderId="136" xfId="0" applyNumberFormat="1" applyFont="1" applyFill="1" applyBorder="1" applyAlignment="1">
      <alignment vertical="center" wrapText="1"/>
    </xf>
    <xf numFmtId="3" fontId="22" fillId="5" borderId="130" xfId="0" applyNumberFormat="1" applyFont="1" applyFill="1" applyBorder="1" applyAlignment="1">
      <alignment vertical="center" wrapText="1"/>
    </xf>
    <xf numFmtId="165" fontId="22" fillId="5" borderId="33" xfId="0" applyNumberFormat="1" applyFont="1" applyFill="1" applyBorder="1" applyAlignment="1">
      <alignment horizontal="right" vertical="center" wrapText="1"/>
    </xf>
    <xf numFmtId="165" fontId="22" fillId="5" borderId="105" xfId="0" applyNumberFormat="1" applyFont="1" applyFill="1" applyBorder="1" applyAlignment="1">
      <alignment horizontal="right" vertical="center" wrapText="1"/>
    </xf>
    <xf numFmtId="3" fontId="22" fillId="5" borderId="105" xfId="0" applyNumberFormat="1" applyFont="1" applyFill="1" applyBorder="1" applyAlignment="1">
      <alignment vertical="center" wrapText="1"/>
    </xf>
    <xf numFmtId="0" fontId="33" fillId="0" borderId="45" xfId="0" applyFont="1" applyBorder="1" applyAlignment="1">
      <alignment vertical="top"/>
    </xf>
    <xf numFmtId="0" fontId="48" fillId="0" borderId="48" xfId="0" applyFont="1" applyFill="1" applyBorder="1" applyAlignment="1">
      <alignment vertical="top"/>
    </xf>
    <xf numFmtId="3" fontId="25" fillId="2" borderId="52" xfId="0" applyNumberFormat="1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3" fontId="21" fillId="0" borderId="19" xfId="0" applyNumberFormat="1" applyFont="1" applyFill="1" applyBorder="1" applyAlignment="1">
      <alignment vertical="center" wrapText="1"/>
    </xf>
    <xf numFmtId="3" fontId="6" fillId="5" borderId="86" xfId="0" applyNumberFormat="1" applyFont="1" applyFill="1" applyBorder="1" applyAlignment="1">
      <alignment vertical="center"/>
    </xf>
    <xf numFmtId="3" fontId="6" fillId="5" borderId="80" xfId="0" applyNumberFormat="1" applyFont="1" applyFill="1" applyBorder="1" applyAlignment="1">
      <alignment vertical="center"/>
    </xf>
    <xf numFmtId="3" fontId="6" fillId="5" borderId="77" xfId="0" applyNumberFormat="1" applyFont="1" applyFill="1" applyBorder="1" applyAlignment="1">
      <alignment vertical="center"/>
    </xf>
    <xf numFmtId="3" fontId="6" fillId="5" borderId="79" xfId="0" applyNumberFormat="1" applyFont="1" applyFill="1" applyBorder="1" applyAlignment="1">
      <alignment vertical="center"/>
    </xf>
    <xf numFmtId="165" fontId="22" fillId="5" borderId="77" xfId="0" applyNumberFormat="1" applyFont="1" applyFill="1" applyBorder="1" applyAlignment="1">
      <alignment vertical="center"/>
    </xf>
    <xf numFmtId="3" fontId="22" fillId="5" borderId="80" xfId="0" applyNumberFormat="1" applyFont="1" applyFill="1" applyBorder="1" applyAlignment="1">
      <alignment vertical="center"/>
    </xf>
    <xf numFmtId="165" fontId="22" fillId="5" borderId="80" xfId="0" applyNumberFormat="1" applyFont="1" applyFill="1" applyBorder="1" applyAlignment="1">
      <alignment vertical="center"/>
    </xf>
    <xf numFmtId="3" fontId="6" fillId="5" borderId="78" xfId="0" applyNumberFormat="1" applyFont="1" applyFill="1" applyBorder="1" applyAlignment="1">
      <alignment vertical="center"/>
    </xf>
    <xf numFmtId="3" fontId="20" fillId="0" borderId="19" xfId="0" applyNumberFormat="1" applyFont="1" applyFill="1" applyBorder="1" applyAlignment="1">
      <alignment horizontal="right" vertical="top"/>
    </xf>
    <xf numFmtId="3" fontId="20" fillId="0" borderId="19" xfId="0" applyNumberFormat="1" applyFont="1" applyFill="1" applyBorder="1" applyAlignment="1">
      <alignment vertical="top"/>
    </xf>
    <xf numFmtId="0" fontId="33" fillId="0" borderId="101" xfId="0" applyFont="1" applyBorder="1" applyAlignment="1">
      <alignment vertical="top"/>
    </xf>
    <xf numFmtId="0" fontId="32" fillId="0" borderId="124" xfId="0" applyFont="1" applyBorder="1" applyAlignment="1">
      <alignment horizontal="center" vertical="top" wrapText="1"/>
    </xf>
    <xf numFmtId="0" fontId="33" fillId="0" borderId="72" xfId="0" applyFont="1" applyBorder="1" applyAlignment="1">
      <alignment vertical="top"/>
    </xf>
    <xf numFmtId="0" fontId="32" fillId="0" borderId="66" xfId="0" applyFont="1" applyBorder="1" applyAlignment="1">
      <alignment horizontal="center" vertical="top" wrapText="1"/>
    </xf>
    <xf numFmtId="0" fontId="33" fillId="0" borderId="73" xfId="0" applyFont="1" applyBorder="1" applyAlignment="1">
      <alignment vertical="top"/>
    </xf>
    <xf numFmtId="0" fontId="32" fillId="0" borderId="85" xfId="0" applyFont="1" applyBorder="1" applyAlignment="1">
      <alignment horizontal="center" vertical="top" wrapText="1"/>
    </xf>
    <xf numFmtId="0" fontId="20" fillId="0" borderId="101" xfId="0" applyFont="1" applyBorder="1" applyAlignment="1">
      <alignment vertical="top"/>
    </xf>
    <xf numFmtId="0" fontId="28" fillId="0" borderId="104" xfId="0" applyFont="1" applyBorder="1" applyAlignment="1">
      <alignment vertical="top"/>
    </xf>
    <xf numFmtId="3" fontId="20" fillId="0" borderId="104" xfId="0" applyNumberFormat="1" applyFont="1" applyFill="1" applyBorder="1" applyAlignment="1">
      <alignment vertical="top"/>
    </xf>
    <xf numFmtId="0" fontId="28" fillId="0" borderId="124" xfId="0" applyFont="1" applyBorder="1" applyAlignment="1">
      <alignment horizontal="center" vertical="top"/>
    </xf>
    <xf numFmtId="0" fontId="20" fillId="0" borderId="72" xfId="0" applyFont="1" applyBorder="1" applyAlignment="1">
      <alignment vertical="top"/>
    </xf>
    <xf numFmtId="0" fontId="28" fillId="0" borderId="102" xfId="0" applyFont="1" applyBorder="1" applyAlignment="1">
      <alignment vertical="top"/>
    </xf>
    <xf numFmtId="3" fontId="28" fillId="0" borderId="102" xfId="0" applyNumberFormat="1" applyFont="1" applyFill="1" applyBorder="1" applyAlignment="1">
      <alignment vertical="top"/>
    </xf>
    <xf numFmtId="0" fontId="28" fillId="0" borderId="66" xfId="0" applyFont="1" applyBorder="1" applyAlignment="1">
      <alignment horizontal="center" vertical="top"/>
    </xf>
    <xf numFmtId="3" fontId="20" fillId="0" borderId="102" xfId="0" applyNumberFormat="1" applyFont="1" applyFill="1" applyBorder="1" applyAlignment="1">
      <alignment vertical="top"/>
    </xf>
    <xf numFmtId="3" fontId="20" fillId="0" borderId="102" xfId="0" applyNumberFormat="1" applyFont="1" applyFill="1" applyBorder="1" applyAlignment="1">
      <alignment horizontal="right" vertical="top"/>
    </xf>
    <xf numFmtId="3" fontId="28" fillId="0" borderId="102" xfId="0" applyNumberFormat="1" applyFont="1" applyFill="1" applyBorder="1" applyAlignment="1"/>
    <xf numFmtId="0" fontId="20" fillId="0" borderId="73" xfId="0" applyFont="1" applyBorder="1" applyAlignment="1">
      <alignment vertical="top"/>
    </xf>
    <xf numFmtId="0" fontId="28" fillId="0" borderId="103" xfId="0" applyFont="1" applyBorder="1" applyAlignment="1">
      <alignment vertical="top"/>
    </xf>
    <xf numFmtId="3" fontId="28" fillId="0" borderId="103" xfId="0" applyNumberFormat="1" applyFont="1" applyFill="1" applyBorder="1" applyAlignment="1">
      <alignment vertical="top"/>
    </xf>
    <xf numFmtId="0" fontId="28" fillId="0" borderId="85" xfId="0" applyFont="1" applyBorder="1" applyAlignment="1">
      <alignment horizontal="center" vertical="top"/>
    </xf>
    <xf numFmtId="0" fontId="5" fillId="8" borderId="59" xfId="2" applyFont="1" applyFill="1" applyBorder="1" applyAlignment="1">
      <alignment horizontal="left" vertical="center" wrapText="1"/>
    </xf>
    <xf numFmtId="0" fontId="33" fillId="8" borderId="60" xfId="2" applyFont="1" applyFill="1" applyBorder="1" applyAlignment="1">
      <alignment horizontal="center" vertical="center" wrapText="1"/>
    </xf>
    <xf numFmtId="3" fontId="25" fillId="8" borderId="59" xfId="2" applyNumberFormat="1" applyFont="1" applyFill="1" applyBorder="1" applyAlignment="1">
      <alignment horizontal="right" vertical="center"/>
    </xf>
    <xf numFmtId="3" fontId="25" fillId="8" borderId="61" xfId="2" applyNumberFormat="1" applyFont="1" applyFill="1" applyBorder="1" applyAlignment="1">
      <alignment horizontal="right" vertical="center"/>
    </xf>
    <xf numFmtId="165" fontId="7" fillId="8" borderId="20" xfId="2" applyNumberFormat="1" applyFont="1" applyFill="1" applyBorder="1" applyAlignment="1">
      <alignment horizontal="right" vertical="center"/>
    </xf>
    <xf numFmtId="3" fontId="7" fillId="8" borderId="59" xfId="2" applyNumberFormat="1" applyFont="1" applyFill="1" applyBorder="1" applyAlignment="1">
      <alignment horizontal="right" vertical="center"/>
    </xf>
    <xf numFmtId="165" fontId="7" fillId="8" borderId="34" xfId="2" applyNumberFormat="1" applyFont="1" applyFill="1" applyBorder="1" applyAlignment="1">
      <alignment horizontal="right" vertical="center"/>
    </xf>
    <xf numFmtId="3" fontId="25" fillId="8" borderId="60" xfId="2" applyNumberFormat="1" applyFont="1" applyFill="1" applyBorder="1" applyAlignment="1">
      <alignment horizontal="right" vertical="center"/>
    </xf>
    <xf numFmtId="0" fontId="22" fillId="0" borderId="13" xfId="2" applyFont="1" applyFill="1" applyBorder="1" applyAlignment="1">
      <alignment horizontal="left" vertical="center"/>
    </xf>
    <xf numFmtId="0" fontId="34" fillId="0" borderId="31" xfId="0" applyFont="1" applyBorder="1" applyAlignment="1">
      <alignment wrapText="1"/>
    </xf>
    <xf numFmtId="0" fontId="25" fillId="0" borderId="13" xfId="0" applyFont="1" applyBorder="1" applyAlignment="1">
      <alignment vertical="top"/>
    </xf>
    <xf numFmtId="0" fontId="25" fillId="0" borderId="15" xfId="0" applyFont="1" applyBorder="1" applyAlignment="1">
      <alignment vertical="top"/>
    </xf>
    <xf numFmtId="165" fontId="25" fillId="0" borderId="13" xfId="0" applyNumberFormat="1" applyFont="1" applyBorder="1" applyAlignment="1">
      <alignment vertical="top"/>
    </xf>
    <xf numFmtId="3" fontId="22" fillId="0" borderId="13" xfId="2" applyNumberFormat="1" applyFont="1" applyFill="1" applyBorder="1" applyAlignment="1">
      <alignment horizontal="right" vertical="center"/>
    </xf>
    <xf numFmtId="165" fontId="25" fillId="0" borderId="15" xfId="0" applyNumberFormat="1" applyFont="1" applyBorder="1" applyAlignment="1">
      <alignment vertical="top"/>
    </xf>
    <xf numFmtId="0" fontId="25" fillId="0" borderId="31" xfId="0" applyFont="1" applyBorder="1" applyAlignment="1">
      <alignment vertical="top"/>
    </xf>
    <xf numFmtId="3" fontId="28" fillId="0" borderId="19" xfId="0" applyNumberFormat="1" applyFont="1" applyFill="1" applyBorder="1" applyAlignment="1"/>
    <xf numFmtId="0" fontId="7" fillId="0" borderId="52" xfId="2" applyFont="1" applyFill="1" applyBorder="1" applyAlignment="1">
      <alignment vertical="top"/>
    </xf>
    <xf numFmtId="0" fontId="34" fillId="0" borderId="16" xfId="0" applyFont="1" applyBorder="1" applyAlignment="1">
      <alignment wrapText="1"/>
    </xf>
    <xf numFmtId="3" fontId="25" fillId="0" borderId="51" xfId="2" applyNumberFormat="1" applyFont="1" applyFill="1" applyBorder="1" applyAlignment="1">
      <alignment vertical="top"/>
    </xf>
    <xf numFmtId="3" fontId="25" fillId="0" borderId="52" xfId="2" applyNumberFormat="1" applyFont="1" applyFill="1" applyBorder="1" applyAlignment="1">
      <alignment vertical="top"/>
    </xf>
    <xf numFmtId="3" fontId="25" fillId="0" borderId="115" xfId="2" applyNumberFormat="1" applyFont="1" applyFill="1" applyBorder="1" applyAlignment="1">
      <alignment vertical="top"/>
    </xf>
    <xf numFmtId="3" fontId="7" fillId="0" borderId="51" xfId="2" applyNumberFormat="1" applyFont="1" applyFill="1" applyBorder="1" applyAlignment="1">
      <alignment vertical="top"/>
    </xf>
    <xf numFmtId="165" fontId="7" fillId="0" borderId="52" xfId="2" applyNumberFormat="1" applyFont="1" applyFill="1" applyBorder="1" applyAlignment="1">
      <alignment vertical="top"/>
    </xf>
    <xf numFmtId="3" fontId="7" fillId="0" borderId="52" xfId="2" applyNumberFormat="1" applyFont="1" applyFill="1" applyBorder="1" applyAlignment="1">
      <alignment vertical="top"/>
    </xf>
    <xf numFmtId="165" fontId="7" fillId="0" borderId="115" xfId="2" applyNumberFormat="1" applyFont="1" applyFill="1" applyBorder="1" applyAlignment="1">
      <alignment vertical="top"/>
    </xf>
    <xf numFmtId="3" fontId="25" fillId="0" borderId="16" xfId="2" applyNumberFormat="1" applyFont="1" applyFill="1" applyBorder="1" applyAlignment="1">
      <alignment vertical="top"/>
    </xf>
    <xf numFmtId="43" fontId="22" fillId="0" borderId="68" xfId="1" applyFont="1" applyFill="1" applyBorder="1" applyAlignment="1">
      <alignment horizontal="right" vertical="center"/>
    </xf>
    <xf numFmtId="43" fontId="22" fillId="0" borderId="13" xfId="1" applyFont="1" applyFill="1" applyBorder="1" applyAlignment="1">
      <alignment horizontal="right" vertical="center"/>
    </xf>
    <xf numFmtId="43" fontId="22" fillId="0" borderId="70" xfId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vertical="top"/>
    </xf>
    <xf numFmtId="43" fontId="25" fillId="0" borderId="20" xfId="1" applyFont="1" applyFill="1" applyBorder="1" applyAlignment="1">
      <alignment vertical="top"/>
    </xf>
    <xf numFmtId="0" fontId="5" fillId="9" borderId="13" xfId="2" applyFont="1" applyFill="1" applyBorder="1" applyAlignment="1">
      <alignment horizontal="left" vertical="center" wrapText="1"/>
    </xf>
    <xf numFmtId="0" fontId="33" fillId="9" borderId="31" xfId="2" applyFont="1" applyFill="1" applyBorder="1" applyAlignment="1">
      <alignment horizontal="center" vertical="center" wrapText="1"/>
    </xf>
    <xf numFmtId="3" fontId="25" fillId="9" borderId="11" xfId="2" applyNumberFormat="1" applyFont="1" applyFill="1" applyBorder="1" applyAlignment="1">
      <alignment horizontal="right" vertical="center"/>
    </xf>
    <xf numFmtId="3" fontId="25" fillId="9" borderId="13" xfId="2" applyNumberFormat="1" applyFont="1" applyFill="1" applyBorder="1" applyAlignment="1">
      <alignment horizontal="right" vertical="center"/>
    </xf>
    <xf numFmtId="3" fontId="25" fillId="9" borderId="15" xfId="2" applyNumberFormat="1" applyFont="1" applyFill="1" applyBorder="1" applyAlignment="1">
      <alignment horizontal="right" vertical="center"/>
    </xf>
    <xf numFmtId="3" fontId="7" fillId="9" borderId="11" xfId="2" applyNumberFormat="1" applyFont="1" applyFill="1" applyBorder="1" applyAlignment="1">
      <alignment horizontal="right" vertical="center"/>
    </xf>
    <xf numFmtId="165" fontId="7" fillId="9" borderId="13" xfId="2" applyNumberFormat="1" applyFont="1" applyFill="1" applyBorder="1" applyAlignment="1">
      <alignment horizontal="right" vertical="center"/>
    </xf>
    <xf numFmtId="3" fontId="7" fillId="9" borderId="13" xfId="2" applyNumberFormat="1" applyFont="1" applyFill="1" applyBorder="1" applyAlignment="1">
      <alignment horizontal="right" vertical="center"/>
    </xf>
    <xf numFmtId="165" fontId="7" fillId="9" borderId="15" xfId="2" applyNumberFormat="1" applyFont="1" applyFill="1" applyBorder="1" applyAlignment="1">
      <alignment horizontal="right" vertical="center"/>
    </xf>
    <xf numFmtId="3" fontId="25" fillId="9" borderId="31" xfId="2" applyNumberFormat="1" applyFont="1" applyFill="1" applyBorder="1" applyAlignment="1">
      <alignment horizontal="right" vertical="center"/>
    </xf>
    <xf numFmtId="3" fontId="20" fillId="4" borderId="16" xfId="2" applyNumberFormat="1" applyFont="1" applyFill="1" applyBorder="1" applyAlignment="1">
      <alignment vertical="center"/>
    </xf>
    <xf numFmtId="3" fontId="15" fillId="4" borderId="51" xfId="2" applyNumberFormat="1" applyFont="1" applyFill="1" applyBorder="1" applyAlignment="1">
      <alignment vertical="center"/>
    </xf>
    <xf numFmtId="3" fontId="15" fillId="4" borderId="52" xfId="2" applyNumberFormat="1" applyFont="1" applyFill="1" applyBorder="1" applyAlignment="1">
      <alignment vertical="center"/>
    </xf>
    <xf numFmtId="3" fontId="15" fillId="4" borderId="115" xfId="2" applyNumberFormat="1" applyFont="1" applyFill="1" applyBorder="1" applyAlignment="1">
      <alignment vertical="center"/>
    </xf>
    <xf numFmtId="165" fontId="15" fillId="4" borderId="52" xfId="2" applyNumberFormat="1" applyFont="1" applyFill="1" applyBorder="1" applyAlignment="1">
      <alignment vertical="center"/>
    </xf>
    <xf numFmtId="165" fontId="15" fillId="4" borderId="115" xfId="2" applyNumberFormat="1" applyFont="1" applyFill="1" applyBorder="1" applyAlignment="1">
      <alignment vertical="center"/>
    </xf>
    <xf numFmtId="3" fontId="15" fillId="4" borderId="16" xfId="2" applyNumberFormat="1" applyFont="1" applyFill="1" applyBorder="1" applyAlignment="1">
      <alignment vertical="center"/>
    </xf>
    <xf numFmtId="0" fontId="43" fillId="0" borderId="131" xfId="0" applyFont="1" applyBorder="1" applyAlignment="1">
      <alignment vertical="top"/>
    </xf>
    <xf numFmtId="0" fontId="43" fillId="0" borderId="132" xfId="0" applyFont="1" applyBorder="1" applyAlignment="1">
      <alignment vertical="top"/>
    </xf>
    <xf numFmtId="165" fontId="7" fillId="14" borderId="59" xfId="0" applyNumberFormat="1" applyFont="1" applyFill="1" applyBorder="1" applyAlignment="1">
      <alignment vertical="top"/>
    </xf>
    <xf numFmtId="165" fontId="7" fillId="14" borderId="61" xfId="0" applyNumberFormat="1" applyFont="1" applyFill="1" applyBorder="1" applyAlignment="1">
      <alignment vertical="top"/>
    </xf>
    <xf numFmtId="3" fontId="16" fillId="5" borderId="93" xfId="3" applyNumberFormat="1" applyFont="1" applyFill="1" applyBorder="1" applyAlignment="1">
      <alignment vertical="center"/>
    </xf>
    <xf numFmtId="3" fontId="16" fillId="5" borderId="94" xfId="3" applyNumberFormat="1" applyFont="1" applyFill="1" applyBorder="1" applyAlignment="1">
      <alignment vertical="center"/>
    </xf>
    <xf numFmtId="3" fontId="16" fillId="5" borderId="138" xfId="3" applyNumberFormat="1" applyFont="1" applyFill="1" applyBorder="1" applyAlignment="1">
      <alignment vertical="center"/>
    </xf>
    <xf numFmtId="3" fontId="16" fillId="5" borderId="116" xfId="3" applyNumberFormat="1" applyFont="1" applyFill="1" applyBorder="1" applyAlignment="1">
      <alignment vertical="center"/>
    </xf>
    <xf numFmtId="165" fontId="16" fillId="5" borderId="91" xfId="3" applyNumberFormat="1" applyFont="1" applyFill="1" applyBorder="1" applyAlignment="1">
      <alignment vertical="center"/>
    </xf>
    <xf numFmtId="3" fontId="16" fillId="5" borderId="91" xfId="3" applyNumberFormat="1" applyFont="1" applyFill="1" applyBorder="1" applyAlignment="1">
      <alignment vertical="center"/>
    </xf>
    <xf numFmtId="165" fontId="22" fillId="2" borderId="63" xfId="2" applyNumberFormat="1" applyFont="1" applyFill="1" applyBorder="1" applyAlignment="1">
      <alignment horizontal="right" vertical="center"/>
    </xf>
    <xf numFmtId="3" fontId="22" fillId="2" borderId="64" xfId="2" applyNumberFormat="1" applyFont="1" applyFill="1" applyBorder="1" applyAlignment="1"/>
    <xf numFmtId="3" fontId="7" fillId="0" borderId="64" xfId="2" applyNumberFormat="1" applyFont="1" applyFill="1" applyBorder="1" applyAlignment="1">
      <alignment horizontal="right" vertical="center"/>
    </xf>
    <xf numFmtId="3" fontId="22" fillId="0" borderId="64" xfId="2" applyNumberFormat="1" applyFont="1" applyFill="1" applyBorder="1" applyAlignment="1">
      <alignment horizontal="right" vertical="center"/>
    </xf>
    <xf numFmtId="3" fontId="42" fillId="0" borderId="64" xfId="3" applyNumberFormat="1" applyFont="1" applyFill="1" applyBorder="1" applyAlignment="1">
      <alignment vertical="center"/>
    </xf>
    <xf numFmtId="0" fontId="7" fillId="2" borderId="69" xfId="2" applyFont="1" applyFill="1" applyBorder="1" applyAlignment="1">
      <alignment vertical="center" wrapText="1"/>
    </xf>
    <xf numFmtId="3" fontId="7" fillId="0" borderId="70" xfId="2" applyNumberFormat="1" applyFont="1" applyFill="1" applyBorder="1" applyAlignment="1">
      <alignment horizontal="right" vertical="center"/>
    </xf>
    <xf numFmtId="165" fontId="7" fillId="2" borderId="94" xfId="2" applyNumberFormat="1" applyFont="1" applyFill="1" applyBorder="1" applyAlignment="1">
      <alignment horizontal="right" vertical="center"/>
    </xf>
    <xf numFmtId="0" fontId="7" fillId="2" borderId="94" xfId="2" applyFont="1" applyFill="1" applyBorder="1" applyAlignment="1">
      <alignment vertical="top" wrapText="1"/>
    </xf>
    <xf numFmtId="3" fontId="5" fillId="4" borderId="64" xfId="0" applyNumberFormat="1" applyFont="1" applyFill="1" applyBorder="1" applyAlignment="1">
      <alignment vertical="top"/>
    </xf>
    <xf numFmtId="3" fontId="5" fillId="0" borderId="64" xfId="0" applyNumberFormat="1" applyFont="1" applyFill="1" applyBorder="1" applyAlignment="1">
      <alignment vertical="top"/>
    </xf>
    <xf numFmtId="3" fontId="7" fillId="0" borderId="64" xfId="0" applyNumberFormat="1" applyFont="1" applyFill="1" applyBorder="1" applyAlignment="1">
      <alignment vertical="top"/>
    </xf>
    <xf numFmtId="0" fontId="7" fillId="7" borderId="60" xfId="0" applyFont="1" applyFill="1" applyBorder="1" applyAlignment="1">
      <alignment vertical="top"/>
    </xf>
    <xf numFmtId="165" fontId="7" fillId="7" borderId="60" xfId="0" applyNumberFormat="1" applyFont="1" applyFill="1" applyBorder="1" applyAlignment="1">
      <alignment vertical="top"/>
    </xf>
    <xf numFmtId="0" fontId="7" fillId="7" borderId="98" xfId="0" applyFont="1" applyFill="1" applyBorder="1" applyAlignment="1">
      <alignment vertical="top"/>
    </xf>
    <xf numFmtId="0" fontId="22" fillId="0" borderId="59" xfId="0" applyFont="1" applyBorder="1" applyAlignment="1">
      <alignment horizontal="left" vertical="center"/>
    </xf>
    <xf numFmtId="43" fontId="22" fillId="2" borderId="60" xfId="1" quotePrefix="1" applyFont="1" applyFill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5" fillId="17" borderId="98" xfId="2" applyFont="1" applyFill="1" applyBorder="1" applyAlignment="1">
      <alignment vertical="center" wrapText="1"/>
    </xf>
    <xf numFmtId="0" fontId="15" fillId="19" borderId="67" xfId="2" applyFont="1" applyFill="1" applyBorder="1" applyAlignment="1">
      <alignment horizontal="left" vertical="center"/>
    </xf>
    <xf numFmtId="3" fontId="6" fillId="17" borderId="99" xfId="2" applyNumberFormat="1" applyFont="1" applyFill="1" applyBorder="1" applyAlignment="1">
      <alignment vertical="top" wrapText="1"/>
    </xf>
    <xf numFmtId="3" fontId="7" fillId="17" borderId="67" xfId="2" applyNumberFormat="1" applyFont="1" applyFill="1" applyBorder="1" applyAlignment="1">
      <alignment vertical="top" wrapText="1"/>
    </xf>
    <xf numFmtId="0" fontId="7" fillId="17" borderId="67" xfId="2" applyFont="1" applyFill="1" applyBorder="1" applyAlignment="1">
      <alignment vertical="top"/>
    </xf>
    <xf numFmtId="0" fontId="6" fillId="17" borderId="67" xfId="2" applyFont="1" applyFill="1" applyBorder="1" applyAlignment="1">
      <alignment vertical="top"/>
    </xf>
    <xf numFmtId="3" fontId="22" fillId="17" borderId="99" xfId="2" applyNumberFormat="1" applyFont="1" applyFill="1" applyBorder="1" applyAlignment="1">
      <alignment vertical="top" wrapText="1"/>
    </xf>
    <xf numFmtId="0" fontId="7" fillId="17" borderId="67" xfId="2" applyFont="1" applyFill="1" applyBorder="1" applyAlignment="1">
      <alignment horizontal="left" vertical="center"/>
    </xf>
    <xf numFmtId="0" fontId="5" fillId="17" borderId="67" xfId="2" applyFont="1" applyFill="1" applyBorder="1" applyAlignment="1">
      <alignment vertical="top"/>
    </xf>
    <xf numFmtId="0" fontId="36" fillId="17" borderId="96" xfId="2" applyFont="1" applyFill="1" applyBorder="1" applyAlignment="1">
      <alignment vertical="top"/>
    </xf>
    <xf numFmtId="0" fontId="5" fillId="17" borderId="9" xfId="2" applyFont="1" applyFill="1" applyBorder="1" applyAlignment="1">
      <alignment vertical="center" wrapText="1"/>
    </xf>
    <xf numFmtId="0" fontId="7" fillId="17" borderId="67" xfId="2" applyFont="1" applyFill="1" applyBorder="1" applyAlignment="1">
      <alignment vertical="top" wrapText="1"/>
    </xf>
    <xf numFmtId="0" fontId="22" fillId="17" borderId="99" xfId="2" applyFont="1" applyFill="1" applyBorder="1" applyAlignment="1">
      <alignment vertical="top"/>
    </xf>
    <xf numFmtId="0" fontId="7" fillId="17" borderId="117" xfId="2" applyFont="1" applyFill="1" applyBorder="1" applyAlignment="1">
      <alignment vertical="top"/>
    </xf>
    <xf numFmtId="0" fontId="5" fillId="18" borderId="17" xfId="2" applyFont="1" applyFill="1" applyBorder="1" applyAlignment="1">
      <alignment horizontal="center" vertical="top"/>
    </xf>
    <xf numFmtId="0" fontId="5" fillId="18" borderId="7" xfId="2" applyFont="1" applyFill="1" applyBorder="1" applyAlignment="1">
      <alignment horizontal="center" vertical="top"/>
    </xf>
    <xf numFmtId="0" fontId="7" fillId="18" borderId="7" xfId="2" applyFont="1" applyFill="1" applyBorder="1" applyAlignment="1">
      <alignment horizontal="center" vertical="top"/>
    </xf>
    <xf numFmtId="0" fontId="7" fillId="18" borderId="11" xfId="2" applyFont="1" applyFill="1" applyBorder="1" applyAlignment="1">
      <alignment horizontal="center" vertical="top"/>
    </xf>
    <xf numFmtId="3" fontId="25" fillId="0" borderId="68" xfId="0" applyNumberFormat="1" applyFont="1" applyFill="1" applyBorder="1" applyAlignment="1">
      <alignment vertical="center" wrapText="1"/>
    </xf>
    <xf numFmtId="3" fontId="25" fillId="0" borderId="96" xfId="0" applyNumberFormat="1" applyFont="1" applyFill="1" applyBorder="1" applyAlignment="1">
      <alignment vertical="center" wrapText="1"/>
    </xf>
    <xf numFmtId="3" fontId="25" fillId="0" borderId="133" xfId="0" applyNumberFormat="1" applyFont="1" applyFill="1" applyBorder="1" applyAlignment="1">
      <alignment vertical="center" wrapText="1"/>
    </xf>
    <xf numFmtId="0" fontId="51" fillId="2" borderId="7" xfId="0" applyFont="1" applyFill="1" applyBorder="1" applyAlignment="1">
      <alignment vertical="center" wrapText="1"/>
    </xf>
    <xf numFmtId="0" fontId="25" fillId="0" borderId="48" xfId="0" applyFont="1" applyFill="1" applyBorder="1" applyAlignment="1">
      <alignment vertical="center"/>
    </xf>
    <xf numFmtId="3" fontId="21" fillId="0" borderId="37" xfId="0" applyNumberFormat="1" applyFont="1" applyFill="1" applyBorder="1" applyAlignment="1">
      <alignment vertical="center" wrapText="1"/>
    </xf>
    <xf numFmtId="3" fontId="21" fillId="0" borderId="18" xfId="0" applyNumberFormat="1" applyFont="1" applyFill="1" applyBorder="1" applyAlignment="1">
      <alignment vertical="center" wrapText="1"/>
    </xf>
    <xf numFmtId="0" fontId="21" fillId="0" borderId="86" xfId="0" applyFont="1" applyBorder="1" applyAlignment="1">
      <alignment horizontal="center"/>
    </xf>
    <xf numFmtId="3" fontId="16" fillId="17" borderId="102" xfId="3" applyNumberFormat="1" applyFont="1" applyFill="1" applyBorder="1" applyAlignment="1">
      <alignment vertical="center"/>
    </xf>
    <xf numFmtId="3" fontId="16" fillId="17" borderId="67" xfId="3" applyNumberFormat="1" applyFont="1" applyFill="1" applyBorder="1" applyAlignment="1">
      <alignment vertical="center"/>
    </xf>
    <xf numFmtId="3" fontId="7" fillId="17" borderId="98" xfId="2" applyNumberFormat="1" applyFont="1" applyFill="1" applyBorder="1" applyAlignment="1">
      <alignment horizontal="right" vertical="center"/>
    </xf>
    <xf numFmtId="3" fontId="5" fillId="19" borderId="67" xfId="2" applyNumberFormat="1" applyFont="1" applyFill="1" applyBorder="1" applyAlignment="1">
      <alignment horizontal="right" vertical="center"/>
    </xf>
    <xf numFmtId="3" fontId="6" fillId="17" borderId="67" xfId="2" applyNumberFormat="1" applyFont="1" applyFill="1" applyBorder="1" applyAlignment="1">
      <alignment horizontal="right" vertical="center"/>
    </xf>
    <xf numFmtId="3" fontId="7" fillId="17" borderId="67" xfId="2" applyNumberFormat="1" applyFont="1" applyFill="1" applyBorder="1" applyAlignment="1">
      <alignment horizontal="right" vertical="center"/>
    </xf>
    <xf numFmtId="43" fontId="16" fillId="17" borderId="67" xfId="1" applyFont="1" applyFill="1" applyBorder="1" applyAlignment="1">
      <alignment vertical="center"/>
    </xf>
    <xf numFmtId="3" fontId="42" fillId="17" borderId="67" xfId="3" applyNumberFormat="1" applyFont="1" applyFill="1" applyBorder="1" applyAlignment="1">
      <alignment vertical="center"/>
    </xf>
    <xf numFmtId="3" fontId="16" fillId="17" borderId="96" xfId="3" applyNumberFormat="1" applyFont="1" applyFill="1" applyBorder="1" applyAlignment="1">
      <alignment vertical="center"/>
    </xf>
    <xf numFmtId="0" fontId="43" fillId="0" borderId="135" xfId="0" applyFont="1" applyBorder="1" applyAlignment="1">
      <alignment vertical="top"/>
    </xf>
    <xf numFmtId="0" fontId="22" fillId="0" borderId="20" xfId="0" applyFont="1" applyBorder="1" applyAlignment="1">
      <alignment horizontal="left" vertical="center"/>
    </xf>
    <xf numFmtId="3" fontId="22" fillId="2" borderId="17" xfId="0" quotePrefix="1" applyNumberFormat="1" applyFont="1" applyFill="1" applyBorder="1" applyAlignment="1">
      <alignment vertical="center"/>
    </xf>
    <xf numFmtId="165" fontId="22" fillId="0" borderId="20" xfId="2" applyNumberFormat="1" applyFont="1" applyFill="1" applyBorder="1" applyAlignment="1">
      <alignment horizontal="right" vertical="center"/>
    </xf>
    <xf numFmtId="0" fontId="29" fillId="0" borderId="136" xfId="0" quotePrefix="1" applyFont="1" applyBorder="1" applyAlignment="1">
      <alignment horizontal="center" vertical="top"/>
    </xf>
    <xf numFmtId="3" fontId="22" fillId="2" borderId="81" xfId="0" quotePrefix="1" applyNumberFormat="1" applyFont="1" applyFill="1" applyBorder="1" applyAlignment="1">
      <alignment vertical="center"/>
    </xf>
    <xf numFmtId="0" fontId="10" fillId="0" borderId="34" xfId="0" quotePrefix="1" applyFont="1" applyBorder="1" applyAlignment="1">
      <alignment horizontal="center" vertical="center"/>
    </xf>
    <xf numFmtId="3" fontId="22" fillId="2" borderId="20" xfId="0" quotePrefix="1" applyNumberFormat="1" applyFont="1" applyFill="1" applyBorder="1" applyAlignment="1">
      <alignment vertical="center"/>
    </xf>
    <xf numFmtId="3" fontId="22" fillId="2" borderId="18" xfId="0" quotePrefix="1" applyNumberFormat="1" applyFont="1" applyFill="1" applyBorder="1" applyAlignment="1">
      <alignment vertical="center"/>
    </xf>
    <xf numFmtId="43" fontId="22" fillId="2" borderId="122" xfId="1" quotePrefix="1" applyFont="1" applyFill="1" applyBorder="1" applyAlignment="1">
      <alignment vertical="top"/>
    </xf>
    <xf numFmtId="0" fontId="22" fillId="0" borderId="106" xfId="0" applyFont="1" applyBorder="1" applyAlignment="1">
      <alignment horizontal="left" vertical="top"/>
    </xf>
    <xf numFmtId="3" fontId="22" fillId="2" borderId="44" xfId="0" quotePrefix="1" applyNumberFormat="1" applyFont="1" applyFill="1" applyBorder="1" applyAlignment="1">
      <alignment vertical="top"/>
    </xf>
    <xf numFmtId="0" fontId="15" fillId="0" borderId="63" xfId="2" applyFont="1" applyFill="1" applyBorder="1" applyAlignment="1">
      <alignment horizontal="left" vertical="center" wrapText="1"/>
    </xf>
    <xf numFmtId="3" fontId="25" fillId="14" borderId="59" xfId="0" applyNumberFormat="1" applyFont="1" applyFill="1" applyBorder="1" applyAlignment="1">
      <alignment vertical="top"/>
    </xf>
    <xf numFmtId="0" fontId="25" fillId="14" borderId="58" xfId="0" applyFont="1" applyFill="1" applyBorder="1" applyAlignment="1">
      <alignment vertical="top"/>
    </xf>
    <xf numFmtId="43" fontId="22" fillId="0" borderId="99" xfId="1" applyFont="1" applyFill="1" applyBorder="1" applyAlignment="1">
      <alignment vertical="top"/>
    </xf>
    <xf numFmtId="43" fontId="22" fillId="0" borderId="77" xfId="1" applyFont="1" applyFill="1" applyBorder="1" applyAlignment="1">
      <alignment vertical="top"/>
    </xf>
    <xf numFmtId="43" fontId="22" fillId="0" borderId="80" xfId="1" applyFont="1" applyFill="1" applyBorder="1" applyAlignment="1">
      <alignment vertical="top"/>
    </xf>
    <xf numFmtId="0" fontId="28" fillId="2" borderId="8" xfId="0" quotePrefix="1" applyFont="1" applyFill="1" applyBorder="1" applyAlignment="1">
      <alignment horizontal="center" vertical="top"/>
    </xf>
    <xf numFmtId="3" fontId="25" fillId="2" borderId="88" xfId="2" applyNumberFormat="1" applyFont="1" applyFill="1" applyBorder="1" applyAlignment="1">
      <alignment horizontal="right" vertical="center"/>
    </xf>
    <xf numFmtId="3" fontId="15" fillId="4" borderId="62" xfId="2" applyNumberFormat="1" applyFont="1" applyFill="1" applyBorder="1" applyAlignment="1">
      <alignment vertical="center"/>
    </xf>
    <xf numFmtId="3" fontId="15" fillId="4" borderId="63" xfId="2" applyNumberFormat="1" applyFont="1" applyFill="1" applyBorder="1" applyAlignment="1">
      <alignment vertical="center"/>
    </xf>
    <xf numFmtId="3" fontId="15" fillId="4" borderId="65" xfId="2" applyNumberFormat="1" applyFont="1" applyFill="1" applyBorder="1" applyAlignment="1">
      <alignment vertical="center"/>
    </xf>
    <xf numFmtId="165" fontId="5" fillId="4" borderId="63" xfId="2" applyNumberFormat="1" applyFont="1" applyFill="1" applyBorder="1" applyAlignment="1">
      <alignment vertical="center"/>
    </xf>
    <xf numFmtId="3" fontId="5" fillId="4" borderId="63" xfId="2" applyNumberFormat="1" applyFont="1" applyFill="1" applyBorder="1" applyAlignment="1">
      <alignment vertical="center"/>
    </xf>
    <xf numFmtId="3" fontId="15" fillId="4" borderId="64" xfId="2" applyNumberFormat="1" applyFont="1" applyFill="1" applyBorder="1" applyAlignment="1">
      <alignment vertical="center"/>
    </xf>
    <xf numFmtId="3" fontId="15" fillId="4" borderId="58" xfId="0" applyNumberFormat="1" applyFont="1" applyFill="1" applyBorder="1" applyAlignment="1">
      <alignment vertical="center"/>
    </xf>
    <xf numFmtId="3" fontId="5" fillId="4" borderId="59" xfId="0" applyNumberFormat="1" applyFont="1" applyFill="1" applyBorder="1" applyAlignment="1">
      <alignment vertical="center"/>
    </xf>
    <xf numFmtId="43" fontId="7" fillId="14" borderId="59" xfId="1" applyFont="1" applyFill="1" applyBorder="1" applyAlignment="1">
      <alignment horizontal="right" vertical="center"/>
    </xf>
    <xf numFmtId="0" fontId="33" fillId="7" borderId="61" xfId="0" applyFont="1" applyFill="1" applyBorder="1" applyAlignment="1">
      <alignment horizontal="center" vertical="center" wrapText="1"/>
    </xf>
    <xf numFmtId="0" fontId="20" fillId="4" borderId="65" xfId="2" applyFont="1" applyFill="1" applyBorder="1" applyAlignment="1">
      <alignment horizontal="left" vertical="center"/>
    </xf>
    <xf numFmtId="0" fontId="33" fillId="0" borderId="86" xfId="0" applyFont="1" applyBorder="1" applyAlignment="1">
      <alignment vertical="top"/>
    </xf>
    <xf numFmtId="0" fontId="32" fillId="0" borderId="84" xfId="0" applyFont="1" applyBorder="1" applyAlignment="1">
      <alignment horizontal="center" vertical="top" wrapText="1"/>
    </xf>
    <xf numFmtId="0" fontId="25" fillId="5" borderId="0" xfId="0" applyFont="1" applyFill="1" applyBorder="1" applyAlignment="1">
      <alignment vertical="top"/>
    </xf>
    <xf numFmtId="3" fontId="25" fillId="5" borderId="0" xfId="0" applyNumberFormat="1" applyFont="1" applyFill="1" applyBorder="1" applyAlignment="1">
      <alignment vertical="top"/>
    </xf>
    <xf numFmtId="0" fontId="7" fillId="7" borderId="0" xfId="0" applyFont="1" applyFill="1" applyBorder="1" applyAlignment="1">
      <alignment vertical="top"/>
    </xf>
    <xf numFmtId="43" fontId="7" fillId="7" borderId="0" xfId="1" applyFont="1" applyFill="1" applyBorder="1" applyAlignment="1">
      <alignment vertical="top"/>
    </xf>
    <xf numFmtId="165" fontId="7" fillId="7" borderId="0" xfId="0" applyNumberFormat="1" applyFont="1" applyFill="1" applyBorder="1" applyAlignment="1">
      <alignment vertical="top"/>
    </xf>
    <xf numFmtId="0" fontId="15" fillId="4" borderId="0" xfId="2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vertical="top"/>
    </xf>
    <xf numFmtId="43" fontId="5" fillId="4" borderId="0" xfId="1" applyFont="1" applyFill="1" applyBorder="1" applyAlignment="1">
      <alignment vertical="top"/>
    </xf>
    <xf numFmtId="165" fontId="5" fillId="4" borderId="0" xfId="0" applyNumberFormat="1" applyFont="1" applyFill="1" applyBorder="1" applyAlignment="1">
      <alignment vertical="top"/>
    </xf>
    <xf numFmtId="0" fontId="22" fillId="2" borderId="65" xfId="2" applyFont="1" applyFill="1" applyBorder="1" applyAlignment="1">
      <alignment vertical="top"/>
    </xf>
    <xf numFmtId="0" fontId="15" fillId="0" borderId="0" xfId="2" applyFont="1" applyFill="1" applyBorder="1" applyAlignment="1">
      <alignment horizontal="left" vertical="center" wrapText="1"/>
    </xf>
    <xf numFmtId="0" fontId="33" fillId="17" borderId="104" xfId="2" applyFont="1" applyFill="1" applyBorder="1" applyAlignment="1">
      <alignment vertical="top" wrapText="1"/>
    </xf>
    <xf numFmtId="0" fontId="20" fillId="19" borderId="102" xfId="2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wrapText="1"/>
    </xf>
    <xf numFmtId="0" fontId="19" fillId="0" borderId="88" xfId="0" applyFont="1" applyFill="1" applyBorder="1" applyAlignment="1">
      <alignment vertical="top"/>
    </xf>
    <xf numFmtId="0" fontId="16" fillId="0" borderId="0" xfId="0" applyFont="1" applyBorder="1"/>
    <xf numFmtId="0" fontId="34" fillId="0" borderId="88" xfId="0" applyFont="1" applyBorder="1" applyAlignment="1">
      <alignment horizontal="center" vertical="center" wrapText="1"/>
    </xf>
    <xf numFmtId="0" fontId="33" fillId="0" borderId="11" xfId="2" applyFont="1" applyFill="1" applyBorder="1" applyAlignment="1">
      <alignment horizontal="center" vertical="center"/>
    </xf>
    <xf numFmtId="0" fontId="33" fillId="0" borderId="51" xfId="2" applyFont="1" applyFill="1" applyBorder="1" applyAlignment="1">
      <alignment horizontal="center" vertical="center"/>
    </xf>
    <xf numFmtId="0" fontId="32" fillId="0" borderId="87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/>
    </xf>
    <xf numFmtId="0" fontId="32" fillId="0" borderId="92" xfId="2" applyFont="1" applyFill="1" applyBorder="1" applyAlignment="1">
      <alignment horizontal="center" vertical="center" wrapText="1"/>
    </xf>
    <xf numFmtId="0" fontId="32" fillId="0" borderId="55" xfId="2" applyFont="1" applyFill="1" applyBorder="1" applyAlignment="1">
      <alignment horizontal="center" vertical="center" wrapText="1"/>
    </xf>
    <xf numFmtId="0" fontId="32" fillId="0" borderId="90" xfId="2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3" fontId="14" fillId="7" borderId="46" xfId="0" applyNumberFormat="1" applyFont="1" applyFill="1" applyBorder="1" applyAlignment="1">
      <alignment vertical="center" wrapText="1"/>
    </xf>
    <xf numFmtId="3" fontId="14" fillId="6" borderId="46" xfId="0" applyNumberFormat="1" applyFont="1" applyFill="1" applyBorder="1" applyAlignment="1">
      <alignment vertical="center" wrapText="1"/>
    </xf>
    <xf numFmtId="3" fontId="14" fillId="6" borderId="43" xfId="0" applyNumberFormat="1" applyFont="1" applyFill="1" applyBorder="1" applyAlignment="1">
      <alignment vertical="center" wrapText="1"/>
    </xf>
    <xf numFmtId="0" fontId="17" fillId="0" borderId="31" xfId="0" quotePrefix="1" applyFont="1" applyBorder="1" applyAlignment="1">
      <alignment horizontal="center" vertical="center"/>
    </xf>
    <xf numFmtId="0" fontId="17" fillId="2" borderId="49" xfId="0" quotePrefix="1" applyFont="1" applyFill="1" applyBorder="1" applyAlignment="1">
      <alignment horizontal="center" vertical="center"/>
    </xf>
    <xf numFmtId="0" fontId="17" fillId="2" borderId="38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97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7" fillId="0" borderId="97" xfId="0" quotePrefix="1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3" fontId="22" fillId="2" borderId="47" xfId="0" quotePrefix="1" applyNumberFormat="1" applyFont="1" applyFill="1" applyBorder="1" applyAlignment="1">
      <alignment vertical="center"/>
    </xf>
    <xf numFmtId="3" fontId="22" fillId="2" borderId="57" xfId="0" quotePrefix="1" applyNumberFormat="1" applyFont="1" applyFill="1" applyBorder="1" applyAlignment="1">
      <alignment vertical="center"/>
    </xf>
    <xf numFmtId="165" fontId="5" fillId="4" borderId="59" xfId="2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5" fontId="6" fillId="5" borderId="63" xfId="2" applyNumberFormat="1" applyFont="1" applyFill="1" applyBorder="1" applyAlignment="1">
      <alignment vertical="center"/>
    </xf>
    <xf numFmtId="165" fontId="7" fillId="5" borderId="63" xfId="2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25" fillId="5" borderId="63" xfId="0" applyFont="1" applyFill="1" applyBorder="1" applyAlignment="1">
      <alignment vertical="center" wrapText="1"/>
    </xf>
    <xf numFmtId="0" fontId="28" fillId="4" borderId="64" xfId="0" applyFont="1" applyFill="1" applyBorder="1" applyAlignment="1">
      <alignment vertical="center" wrapText="1"/>
    </xf>
    <xf numFmtId="3" fontId="15" fillId="4" borderId="72" xfId="0" applyNumberFormat="1" applyFont="1" applyFill="1" applyBorder="1" applyAlignment="1">
      <alignment vertical="center"/>
    </xf>
    <xf numFmtId="3" fontId="15" fillId="4" borderId="65" xfId="0" applyNumberFormat="1" applyFont="1" applyFill="1" applyBorder="1" applyAlignment="1">
      <alignment vertical="center"/>
    </xf>
    <xf numFmtId="3" fontId="15" fillId="4" borderId="62" xfId="0" applyNumberFormat="1" applyFont="1" applyFill="1" applyBorder="1" applyAlignment="1">
      <alignment vertical="center"/>
    </xf>
    <xf numFmtId="165" fontId="15" fillId="4" borderId="65" xfId="0" applyNumberFormat="1" applyFont="1" applyFill="1" applyBorder="1" applyAlignment="1">
      <alignment vertical="center"/>
    </xf>
    <xf numFmtId="3" fontId="15" fillId="4" borderId="63" xfId="0" applyNumberFormat="1" applyFont="1" applyFill="1" applyBorder="1" applyAlignment="1">
      <alignment vertical="center"/>
    </xf>
    <xf numFmtId="3" fontId="15" fillId="4" borderId="64" xfId="0" applyNumberFormat="1" applyFont="1" applyFill="1" applyBorder="1" applyAlignment="1">
      <alignment vertical="center"/>
    </xf>
    <xf numFmtId="0" fontId="25" fillId="5" borderId="69" xfId="0" applyFont="1" applyFill="1" applyBorder="1" applyAlignment="1">
      <alignment vertical="center" wrapText="1"/>
    </xf>
    <xf numFmtId="0" fontId="7" fillId="14" borderId="58" xfId="0" applyFont="1" applyFill="1" applyBorder="1" applyAlignment="1">
      <alignment vertical="center"/>
    </xf>
    <xf numFmtId="0" fontId="7" fillId="14" borderId="59" xfId="0" applyFont="1" applyFill="1" applyBorder="1" applyAlignment="1">
      <alignment vertical="center"/>
    </xf>
    <xf numFmtId="0" fontId="7" fillId="14" borderId="61" xfId="0" applyFont="1" applyFill="1" applyBorder="1" applyAlignment="1">
      <alignment vertical="center"/>
    </xf>
    <xf numFmtId="165" fontId="25" fillId="14" borderId="59" xfId="0" applyNumberFormat="1" applyFont="1" applyFill="1" applyBorder="1" applyAlignment="1">
      <alignment vertical="center"/>
    </xf>
    <xf numFmtId="0" fontId="25" fillId="14" borderId="59" xfId="0" applyFont="1" applyFill="1" applyBorder="1" applyAlignment="1">
      <alignment vertical="center"/>
    </xf>
    <xf numFmtId="0" fontId="7" fillId="14" borderId="124" xfId="0" applyFont="1" applyFill="1" applyBorder="1" applyAlignment="1">
      <alignment vertical="center"/>
    </xf>
    <xf numFmtId="0" fontId="28" fillId="4" borderId="64" xfId="0" applyFont="1" applyFill="1" applyBorder="1" applyAlignment="1">
      <alignment vertical="center"/>
    </xf>
    <xf numFmtId="165" fontId="15" fillId="4" borderId="63" xfId="0" applyNumberFormat="1" applyFont="1" applyFill="1" applyBorder="1" applyAlignment="1">
      <alignment vertical="center"/>
    </xf>
    <xf numFmtId="43" fontId="15" fillId="4" borderId="66" xfId="1" applyFont="1" applyFill="1" applyBorder="1" applyAlignment="1">
      <alignment vertical="center"/>
    </xf>
    <xf numFmtId="43" fontId="22" fillId="2" borderId="63" xfId="1" applyFont="1" applyFill="1" applyBorder="1" applyAlignment="1">
      <alignment vertical="center"/>
    </xf>
    <xf numFmtId="43" fontId="22" fillId="2" borderId="65" xfId="1" applyFont="1" applyFill="1" applyBorder="1" applyAlignment="1">
      <alignment vertical="center"/>
    </xf>
    <xf numFmtId="165" fontId="22" fillId="2" borderId="63" xfId="0" applyNumberFormat="1" applyFont="1" applyFill="1" applyBorder="1" applyAlignment="1">
      <alignment vertical="center"/>
    </xf>
    <xf numFmtId="43" fontId="22" fillId="2" borderId="64" xfId="1" applyFont="1" applyFill="1" applyBorder="1" applyAlignment="1">
      <alignment vertical="center"/>
    </xf>
    <xf numFmtId="43" fontId="25" fillId="0" borderId="63" xfId="1" applyFont="1" applyFill="1" applyBorder="1" applyAlignment="1">
      <alignment vertical="center"/>
    </xf>
    <xf numFmtId="43" fontId="25" fillId="0" borderId="64" xfId="1" applyFont="1" applyFill="1" applyBorder="1" applyAlignment="1">
      <alignment vertical="center"/>
    </xf>
    <xf numFmtId="0" fontId="22" fillId="2" borderId="63" xfId="2" applyFont="1" applyFill="1" applyBorder="1" applyAlignment="1">
      <alignment vertical="center"/>
    </xf>
    <xf numFmtId="43" fontId="22" fillId="0" borderId="63" xfId="1" applyFont="1" applyFill="1" applyBorder="1" applyAlignment="1">
      <alignment vertical="center"/>
    </xf>
    <xf numFmtId="43" fontId="22" fillId="0" borderId="64" xfId="1" applyFont="1" applyFill="1" applyBorder="1" applyAlignment="1">
      <alignment vertical="center"/>
    </xf>
    <xf numFmtId="165" fontId="25" fillId="14" borderId="61" xfId="0" applyNumberFormat="1" applyFont="1" applyFill="1" applyBorder="1" applyAlignment="1">
      <alignment vertical="center"/>
    </xf>
    <xf numFmtId="0" fontId="7" fillId="14" borderId="60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32" fillId="2" borderId="20" xfId="0" applyFont="1" applyFill="1" applyBorder="1" applyAlignment="1">
      <alignment vertical="center"/>
    </xf>
    <xf numFmtId="3" fontId="7" fillId="2" borderId="20" xfId="0" applyNumberFormat="1" applyFont="1" applyFill="1" applyBorder="1" applyAlignment="1">
      <alignment horizontal="left" vertical="center"/>
    </xf>
    <xf numFmtId="0" fontId="7" fillId="2" borderId="34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165" fontId="25" fillId="2" borderId="20" xfId="0" applyNumberFormat="1" applyFont="1" applyFill="1" applyBorder="1" applyAlignment="1">
      <alignment vertical="center"/>
    </xf>
    <xf numFmtId="165" fontId="25" fillId="2" borderId="34" xfId="0" applyNumberFormat="1" applyFont="1" applyFill="1" applyBorder="1" applyAlignment="1">
      <alignment vertical="center"/>
    </xf>
    <xf numFmtId="0" fontId="7" fillId="2" borderId="81" xfId="0" applyFont="1" applyFill="1" applyBorder="1" applyAlignment="1">
      <alignment vertical="center"/>
    </xf>
    <xf numFmtId="0" fontId="32" fillId="2" borderId="39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9" fillId="0" borderId="56" xfId="0" quotePrefix="1" applyFont="1" applyBorder="1" applyAlignment="1">
      <alignment horizontal="center" vertical="center"/>
    </xf>
    <xf numFmtId="3" fontId="22" fillId="2" borderId="106" xfId="0" quotePrefix="1" applyNumberFormat="1" applyFont="1" applyFill="1" applyBorder="1" applyAlignment="1">
      <alignment vertical="center"/>
    </xf>
    <xf numFmtId="3" fontId="22" fillId="2" borderId="56" xfId="0" quotePrefix="1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3" fontId="5" fillId="4" borderId="62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43" fontId="5" fillId="4" borderId="63" xfId="1" applyFont="1" applyFill="1" applyBorder="1" applyAlignment="1">
      <alignment vertical="center"/>
    </xf>
    <xf numFmtId="43" fontId="7" fillId="4" borderId="65" xfId="1" applyFont="1" applyFill="1" applyBorder="1" applyAlignment="1">
      <alignment vertical="center"/>
    </xf>
    <xf numFmtId="43" fontId="5" fillId="4" borderId="64" xfId="1" applyFont="1" applyFill="1" applyBorder="1" applyAlignment="1">
      <alignment vertical="center"/>
    </xf>
    <xf numFmtId="3" fontId="6" fillId="0" borderId="62" xfId="0" applyNumberFormat="1" applyFont="1" applyFill="1" applyBorder="1" applyAlignment="1">
      <alignment vertical="center"/>
    </xf>
    <xf numFmtId="3" fontId="6" fillId="0" borderId="63" xfId="0" applyNumberFormat="1" applyFont="1" applyFill="1" applyBorder="1" applyAlignment="1">
      <alignment vertical="center"/>
    </xf>
    <xf numFmtId="43" fontId="6" fillId="0" borderId="63" xfId="1" applyFont="1" applyFill="1" applyBorder="1" applyAlignment="1">
      <alignment vertical="center"/>
    </xf>
    <xf numFmtId="43" fontId="6" fillId="0" borderId="65" xfId="1" applyFont="1" applyFill="1" applyBorder="1" applyAlignment="1">
      <alignment vertical="center"/>
    </xf>
    <xf numFmtId="43" fontId="6" fillId="0" borderId="64" xfId="1" applyFont="1" applyFill="1" applyBorder="1" applyAlignment="1">
      <alignment vertical="center"/>
    </xf>
    <xf numFmtId="0" fontId="25" fillId="0" borderId="69" xfId="0" applyFont="1" applyFill="1" applyBorder="1" applyAlignment="1">
      <alignment vertical="center"/>
    </xf>
    <xf numFmtId="3" fontId="7" fillId="0" borderId="68" xfId="0" applyNumberFormat="1" applyFont="1" applyFill="1" applyBorder="1" applyAlignment="1">
      <alignment vertical="center"/>
    </xf>
    <xf numFmtId="43" fontId="7" fillId="0" borderId="71" xfId="1" applyFont="1" applyFill="1" applyBorder="1" applyAlignment="1">
      <alignment vertical="center"/>
    </xf>
    <xf numFmtId="43" fontId="25" fillId="0" borderId="69" xfId="1" applyFont="1" applyFill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16" fillId="0" borderId="48" xfId="0" applyFont="1" applyBorder="1" applyAlignment="1">
      <alignment vertical="center"/>
    </xf>
    <xf numFmtId="3" fontId="48" fillId="0" borderId="0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40" fillId="0" borderId="0" xfId="0" applyNumberFormat="1" applyFont="1" applyFill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3" fontId="48" fillId="0" borderId="12" xfId="0" applyNumberFormat="1" applyFont="1" applyFill="1" applyBorder="1" applyAlignment="1">
      <alignment vertical="center"/>
    </xf>
    <xf numFmtId="0" fontId="34" fillId="0" borderId="92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3" fontId="40" fillId="0" borderId="19" xfId="0" applyNumberFormat="1" applyFont="1" applyFill="1" applyBorder="1" applyAlignment="1">
      <alignment vertical="center"/>
    </xf>
    <xf numFmtId="0" fontId="34" fillId="0" borderId="87" xfId="0" applyFont="1" applyBorder="1" applyAlignment="1">
      <alignment vertical="center"/>
    </xf>
    <xf numFmtId="3" fontId="48" fillId="0" borderId="19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40" fillId="0" borderId="12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horizontal="right" vertical="center"/>
    </xf>
    <xf numFmtId="3" fontId="32" fillId="0" borderId="19" xfId="0" applyNumberFormat="1" applyFont="1" applyFill="1" applyBorder="1" applyAlignment="1">
      <alignment vertical="center"/>
    </xf>
    <xf numFmtId="3" fontId="32" fillId="0" borderId="12" xfId="0" applyNumberFormat="1" applyFont="1" applyFill="1" applyBorder="1" applyAlignment="1">
      <alignment vertical="center"/>
    </xf>
    <xf numFmtId="3" fontId="33" fillId="0" borderId="19" xfId="0" applyNumberFormat="1" applyFont="1" applyFill="1" applyBorder="1" applyAlignment="1">
      <alignment horizontal="right" vertical="center"/>
    </xf>
    <xf numFmtId="3" fontId="33" fillId="0" borderId="12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5" fillId="0" borderId="40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17" fillId="2" borderId="50" xfId="0" quotePrefix="1" applyFont="1" applyFill="1" applyBorder="1" applyAlignment="1">
      <alignment horizontal="center" vertical="center"/>
    </xf>
    <xf numFmtId="0" fontId="21" fillId="2" borderId="38" xfId="0" quotePrefix="1" applyFont="1" applyFill="1" applyBorder="1" applyAlignment="1">
      <alignment horizontal="center" vertical="center"/>
    </xf>
    <xf numFmtId="0" fontId="21" fillId="2" borderId="36" xfId="0" quotePrefix="1" applyFont="1" applyFill="1" applyBorder="1" applyAlignment="1">
      <alignment horizontal="center" vertical="center"/>
    </xf>
    <xf numFmtId="0" fontId="21" fillId="2" borderId="50" xfId="0" quotePrefix="1" applyFont="1" applyFill="1" applyBorder="1" applyAlignment="1">
      <alignment horizontal="center" vertical="center"/>
    </xf>
    <xf numFmtId="0" fontId="22" fillId="0" borderId="140" xfId="0" applyFont="1" applyBorder="1" applyAlignment="1">
      <alignment horizontal="left" vertical="center"/>
    </xf>
    <xf numFmtId="0" fontId="17" fillId="2" borderId="88" xfId="0" quotePrefix="1" applyFont="1" applyFill="1" applyBorder="1" applyAlignment="1">
      <alignment horizontal="center" vertical="center"/>
    </xf>
    <xf numFmtId="0" fontId="22" fillId="0" borderId="122" xfId="0" applyFont="1" applyBorder="1" applyAlignment="1">
      <alignment horizontal="left" vertical="top"/>
    </xf>
    <xf numFmtId="3" fontId="22" fillId="0" borderId="110" xfId="2" applyNumberFormat="1" applyFont="1" applyFill="1" applyBorder="1" applyAlignment="1">
      <alignment horizontal="right" vertical="center"/>
    </xf>
    <xf numFmtId="3" fontId="22" fillId="0" borderId="111" xfId="2" applyNumberFormat="1" applyFont="1" applyFill="1" applyBorder="1" applyAlignment="1">
      <alignment horizontal="right" vertical="center"/>
    </xf>
    <xf numFmtId="3" fontId="23" fillId="0" borderId="111" xfId="2" applyNumberFormat="1" applyFont="1" applyFill="1" applyBorder="1" applyAlignment="1">
      <alignment horizontal="right" vertical="center"/>
    </xf>
    <xf numFmtId="0" fontId="17" fillId="2" borderId="88" xfId="0" quotePrefix="1" applyFont="1" applyFill="1" applyBorder="1" applyAlignment="1">
      <alignment horizontal="center" vertical="top"/>
    </xf>
    <xf numFmtId="0" fontId="22" fillId="0" borderId="25" xfId="0" applyFont="1" applyBorder="1" applyAlignment="1">
      <alignment horizontal="left" vertical="top"/>
    </xf>
    <xf numFmtId="43" fontId="22" fillId="2" borderId="30" xfId="1" quotePrefix="1" applyFont="1" applyFill="1" applyBorder="1" applyAlignment="1">
      <alignment horizontal="center" vertical="top"/>
    </xf>
    <xf numFmtId="43" fontId="22" fillId="2" borderId="27" xfId="1" quotePrefix="1" applyFont="1" applyFill="1" applyBorder="1" applyAlignment="1">
      <alignment horizontal="center" vertical="top"/>
    </xf>
    <xf numFmtId="43" fontId="22" fillId="2" borderId="57" xfId="1" quotePrefix="1" applyFont="1" applyFill="1" applyBorder="1" applyAlignment="1">
      <alignment horizontal="center" vertical="top"/>
    </xf>
    <xf numFmtId="43" fontId="22" fillId="2" borderId="26" xfId="1" quotePrefix="1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right" vertical="center"/>
    </xf>
    <xf numFmtId="43" fontId="23" fillId="2" borderId="57" xfId="1" quotePrefix="1" applyFont="1" applyFill="1" applyBorder="1" applyAlignment="1">
      <alignment horizontal="center" vertical="top"/>
    </xf>
    <xf numFmtId="0" fontId="17" fillId="2" borderId="89" xfId="0" quotePrefix="1" applyFont="1" applyFill="1" applyBorder="1" applyAlignment="1">
      <alignment horizontal="center" vertical="top"/>
    </xf>
    <xf numFmtId="0" fontId="15" fillId="4" borderId="9" xfId="2" applyFont="1" applyFill="1" applyBorder="1" applyAlignment="1">
      <alignment horizontal="left" vertical="center"/>
    </xf>
    <xf numFmtId="3" fontId="5" fillId="4" borderId="10" xfId="2" applyNumberFormat="1" applyFont="1" applyFill="1" applyBorder="1" applyAlignment="1">
      <alignment horizontal="right" vertical="center"/>
    </xf>
    <xf numFmtId="3" fontId="5" fillId="4" borderId="6" xfId="2" applyNumberFormat="1" applyFont="1" applyFill="1" applyBorder="1" applyAlignment="1">
      <alignment horizontal="right" vertical="center"/>
    </xf>
    <xf numFmtId="3" fontId="5" fillId="4" borderId="7" xfId="2" applyNumberFormat="1" applyFont="1" applyFill="1" applyBorder="1" applyAlignment="1">
      <alignment horizontal="right" vertical="center"/>
    </xf>
    <xf numFmtId="165" fontId="5" fillId="4" borderId="80" xfId="2" applyNumberFormat="1" applyFont="1" applyFill="1" applyBorder="1" applyAlignment="1">
      <alignment horizontal="right" vertical="center"/>
    </xf>
    <xf numFmtId="3" fontId="5" fillId="4" borderId="8" xfId="2" applyNumberFormat="1" applyFont="1" applyFill="1" applyBorder="1" applyAlignment="1">
      <alignment horizontal="right" vertical="center"/>
    </xf>
    <xf numFmtId="3" fontId="6" fillId="5" borderId="67" xfId="2" applyNumberFormat="1" applyFont="1" applyFill="1" applyBorder="1" applyAlignment="1">
      <alignment vertical="top" wrapText="1"/>
    </xf>
    <xf numFmtId="3" fontId="6" fillId="5" borderId="91" xfId="2" applyNumberFormat="1" applyFont="1" applyFill="1" applyBorder="1" applyAlignment="1">
      <alignment horizontal="right" vertical="center"/>
    </xf>
    <xf numFmtId="3" fontId="6" fillId="5" borderId="95" xfId="2" applyNumberFormat="1" applyFont="1" applyFill="1" applyBorder="1" applyAlignment="1">
      <alignment horizontal="right" vertical="center"/>
    </xf>
    <xf numFmtId="3" fontId="6" fillId="5" borderId="93" xfId="2" applyNumberFormat="1" applyFont="1" applyFill="1" applyBorder="1" applyAlignment="1">
      <alignment horizontal="right" vertical="center"/>
    </xf>
    <xf numFmtId="165" fontId="6" fillId="5" borderId="10" xfId="2" applyNumberFormat="1" applyFont="1" applyFill="1" applyBorder="1" applyAlignment="1">
      <alignment horizontal="right" vertical="center"/>
    </xf>
    <xf numFmtId="3" fontId="6" fillId="5" borderId="94" xfId="2" applyNumberFormat="1" applyFont="1" applyFill="1" applyBorder="1" applyAlignment="1">
      <alignment horizontal="right" vertical="center"/>
    </xf>
    <xf numFmtId="3" fontId="7" fillId="5" borderId="67" xfId="2" applyNumberFormat="1" applyFont="1" applyFill="1" applyBorder="1" applyAlignment="1">
      <alignment vertical="top" wrapText="1"/>
    </xf>
    <xf numFmtId="165" fontId="36" fillId="5" borderId="91" xfId="2" applyNumberFormat="1" applyFont="1" applyFill="1" applyBorder="1" applyAlignment="1">
      <alignment horizontal="right" vertical="center"/>
    </xf>
    <xf numFmtId="0" fontId="6" fillId="5" borderId="67" xfId="2" applyFont="1" applyFill="1" applyBorder="1" applyAlignment="1">
      <alignment vertical="top"/>
    </xf>
    <xf numFmtId="3" fontId="6" fillId="5" borderId="6" xfId="2" applyNumberFormat="1" applyFont="1" applyFill="1" applyBorder="1" applyAlignment="1">
      <alignment horizontal="right" vertical="center"/>
    </xf>
    <xf numFmtId="3" fontId="6" fillId="5" borderId="7" xfId="2" applyNumberFormat="1" applyFont="1" applyFill="1" applyBorder="1" applyAlignment="1">
      <alignment horizontal="right" vertical="center"/>
    </xf>
    <xf numFmtId="165" fontId="6" fillId="5" borderId="91" xfId="2" applyNumberFormat="1" applyFont="1" applyFill="1" applyBorder="1" applyAlignment="1">
      <alignment horizontal="right" vertical="center"/>
    </xf>
    <xf numFmtId="3" fontId="6" fillId="5" borderId="8" xfId="2" applyNumberFormat="1" applyFont="1" applyFill="1" applyBorder="1" applyAlignment="1">
      <alignment horizontal="right" vertical="center"/>
    </xf>
    <xf numFmtId="0" fontId="7" fillId="5" borderId="9" xfId="2" applyFont="1" applyFill="1" applyBorder="1" applyAlignment="1">
      <alignment vertical="top" wrapText="1"/>
    </xf>
    <xf numFmtId="0" fontId="15" fillId="4" borderId="67" xfId="2" applyFont="1" applyFill="1" applyBorder="1" applyAlignment="1">
      <alignment horizontal="left" vertical="center"/>
    </xf>
    <xf numFmtId="3" fontId="5" fillId="4" borderId="8" xfId="2" applyNumberFormat="1" applyFont="1" applyFill="1" applyBorder="1" applyAlignment="1">
      <alignment vertical="center"/>
    </xf>
    <xf numFmtId="0" fontId="22" fillId="5" borderId="67" xfId="2" applyFont="1" applyFill="1" applyBorder="1" applyAlignment="1">
      <alignment vertical="top"/>
    </xf>
    <xf numFmtId="3" fontId="42" fillId="5" borderId="91" xfId="3" applyNumberFormat="1" applyFont="1" applyFill="1" applyBorder="1" applyAlignment="1">
      <alignment vertical="center"/>
    </xf>
    <xf numFmtId="3" fontId="42" fillId="5" borderId="95" xfId="3" applyNumberFormat="1" applyFont="1" applyFill="1" applyBorder="1" applyAlignment="1">
      <alignment vertical="center"/>
    </xf>
    <xf numFmtId="3" fontId="6" fillId="5" borderId="8" xfId="2" applyNumberFormat="1" applyFont="1" applyFill="1" applyBorder="1" applyAlignment="1">
      <alignment vertical="center"/>
    </xf>
    <xf numFmtId="3" fontId="16" fillId="5" borderId="73" xfId="3" applyNumberFormat="1" applyFont="1" applyFill="1" applyBorder="1" applyAlignment="1">
      <alignment vertical="center"/>
    </xf>
    <xf numFmtId="3" fontId="16" fillId="5" borderId="70" xfId="3" applyNumberFormat="1" applyFont="1" applyFill="1" applyBorder="1" applyAlignment="1">
      <alignment vertical="center"/>
    </xf>
    <xf numFmtId="0" fontId="5" fillId="7" borderId="98" xfId="0" applyFont="1" applyFill="1" applyBorder="1" applyAlignment="1">
      <alignment vertical="center" wrapText="1"/>
    </xf>
    <xf numFmtId="165" fontId="5" fillId="4" borderId="63" xfId="2" applyNumberFormat="1" applyFont="1" applyFill="1" applyBorder="1" applyAlignment="1">
      <alignment horizontal="right"/>
    </xf>
    <xf numFmtId="3" fontId="5" fillId="4" borderId="66" xfId="2" applyNumberFormat="1" applyFont="1" applyFill="1" applyBorder="1" applyAlignment="1"/>
    <xf numFmtId="3" fontId="22" fillId="2" borderId="67" xfId="2" applyNumberFormat="1" applyFont="1" applyFill="1" applyBorder="1" applyAlignment="1">
      <alignment vertical="top" wrapText="1"/>
    </xf>
    <xf numFmtId="3" fontId="6" fillId="2" borderId="63" xfId="2" applyNumberFormat="1" applyFont="1" applyFill="1" applyBorder="1" applyAlignment="1"/>
    <xf numFmtId="3" fontId="6" fillId="2" borderId="63" xfId="2" applyNumberFormat="1" applyFont="1" applyFill="1" applyBorder="1" applyAlignment="1">
      <alignment horizontal="right" vertical="center"/>
    </xf>
    <xf numFmtId="3" fontId="22" fillId="2" borderId="66" xfId="2" applyNumberFormat="1" applyFont="1" applyFill="1" applyBorder="1" applyAlignment="1"/>
    <xf numFmtId="0" fontId="7" fillId="0" borderId="67" xfId="2" applyFont="1" applyFill="1" applyBorder="1" applyAlignment="1">
      <alignment vertical="top"/>
    </xf>
    <xf numFmtId="3" fontId="16" fillId="0" borderId="62" xfId="3" applyNumberFormat="1" applyFont="1" applyFill="1" applyBorder="1" applyAlignment="1">
      <alignment vertical="center"/>
    </xf>
    <xf numFmtId="3" fontId="7" fillId="0" borderId="63" xfId="2" applyNumberFormat="1" applyFont="1" applyFill="1" applyBorder="1" applyAlignment="1">
      <alignment horizontal="right" vertical="center"/>
    </xf>
    <xf numFmtId="3" fontId="7" fillId="0" borderId="62" xfId="0" applyNumberFormat="1" applyFont="1" applyFill="1" applyBorder="1" applyAlignment="1">
      <alignment vertical="top"/>
    </xf>
    <xf numFmtId="3" fontId="7" fillId="0" borderId="66" xfId="0" applyNumberFormat="1" applyFont="1" applyFill="1" applyBorder="1" applyAlignment="1">
      <alignment vertical="top"/>
    </xf>
    <xf numFmtId="0" fontId="22" fillId="2" borderId="67" xfId="2" applyFont="1" applyFill="1" applyBorder="1" applyAlignment="1">
      <alignment vertical="top"/>
    </xf>
    <xf numFmtId="3" fontId="22" fillId="0" borderId="63" xfId="2" applyNumberFormat="1" applyFont="1" applyFill="1" applyBorder="1" applyAlignment="1">
      <alignment horizontal="right" vertical="center"/>
    </xf>
    <xf numFmtId="3" fontId="6" fillId="0" borderId="63" xfId="2" applyNumberFormat="1" applyFont="1" applyFill="1" applyBorder="1" applyAlignment="1">
      <alignment horizontal="right" vertical="center"/>
    </xf>
    <xf numFmtId="3" fontId="42" fillId="0" borderId="66" xfId="3" applyNumberFormat="1" applyFont="1" applyFill="1" applyBorder="1" applyAlignment="1">
      <alignment vertical="center"/>
    </xf>
    <xf numFmtId="0" fontId="7" fillId="2" borderId="67" xfId="2" applyFont="1" applyFill="1" applyBorder="1" applyAlignment="1">
      <alignment vertical="top" wrapText="1"/>
    </xf>
    <xf numFmtId="0" fontId="7" fillId="2" borderId="96" xfId="2" applyFont="1" applyFill="1" applyBorder="1" applyAlignment="1">
      <alignment vertical="top" wrapText="1"/>
    </xf>
    <xf numFmtId="3" fontId="16" fillId="0" borderId="68" xfId="3" applyNumberFormat="1" applyFont="1" applyFill="1" applyBorder="1" applyAlignment="1">
      <alignment vertical="center"/>
    </xf>
    <xf numFmtId="3" fontId="7" fillId="0" borderId="69" xfId="2" applyNumberFormat="1" applyFont="1" applyFill="1" applyBorder="1" applyAlignment="1">
      <alignment horizontal="right" vertical="center"/>
    </xf>
    <xf numFmtId="3" fontId="7" fillId="0" borderId="85" xfId="2" applyNumberFormat="1" applyFont="1" applyFill="1" applyBorder="1" applyAlignment="1">
      <alignment horizontal="right" vertical="center"/>
    </xf>
    <xf numFmtId="3" fontId="7" fillId="0" borderId="85" xfId="0" applyNumberFormat="1" applyFont="1" applyFill="1" applyBorder="1" applyAlignment="1">
      <alignment vertical="top"/>
    </xf>
    <xf numFmtId="0" fontId="5" fillId="7" borderId="61" xfId="2" applyFont="1" applyFill="1" applyBorder="1" applyAlignment="1">
      <alignment horizontal="left" vertical="center" wrapText="1"/>
    </xf>
    <xf numFmtId="0" fontId="33" fillId="7" borderId="60" xfId="2" applyFont="1" applyFill="1" applyBorder="1" applyAlignment="1">
      <alignment horizontal="center" vertical="center" wrapText="1"/>
    </xf>
    <xf numFmtId="3" fontId="25" fillId="7" borderId="60" xfId="2" applyNumberFormat="1" applyFont="1" applyFill="1" applyBorder="1" applyAlignment="1">
      <alignment horizontal="right" vertical="center"/>
    </xf>
    <xf numFmtId="3" fontId="7" fillId="7" borderId="58" xfId="2" applyNumberFormat="1" applyFont="1" applyFill="1" applyBorder="1" applyAlignment="1">
      <alignment horizontal="right" vertical="center"/>
    </xf>
    <xf numFmtId="165" fontId="7" fillId="7" borderId="59" xfId="2" applyNumberFormat="1" applyFont="1" applyFill="1" applyBorder="1" applyAlignment="1">
      <alignment horizontal="right" vertical="center"/>
    </xf>
    <xf numFmtId="3" fontId="7" fillId="7" borderId="59" xfId="2" applyNumberFormat="1" applyFont="1" applyFill="1" applyBorder="1" applyAlignment="1">
      <alignment horizontal="right" vertical="center"/>
    </xf>
    <xf numFmtId="0" fontId="5" fillId="4" borderId="65" xfId="2" applyFont="1" applyFill="1" applyBorder="1" applyAlignment="1">
      <alignment horizontal="left" vertical="center"/>
    </xf>
    <xf numFmtId="0" fontId="6" fillId="0" borderId="65" xfId="2" applyFont="1" applyFill="1" applyBorder="1" applyAlignment="1">
      <alignment vertical="top"/>
    </xf>
    <xf numFmtId="43" fontId="22" fillId="2" borderId="64" xfId="1" applyFont="1" applyFill="1" applyBorder="1" applyAlignment="1"/>
    <xf numFmtId="0" fontId="7" fillId="0" borderId="65" xfId="2" applyFont="1" applyFill="1" applyBorder="1" applyAlignment="1">
      <alignment vertical="top"/>
    </xf>
    <xf numFmtId="0" fontId="16" fillId="0" borderId="62" xfId="0" applyFont="1" applyBorder="1"/>
    <xf numFmtId="0" fontId="16" fillId="0" borderId="63" xfId="0" applyFont="1" applyBorder="1"/>
    <xf numFmtId="43" fontId="16" fillId="0" borderId="64" xfId="1" applyFont="1" applyBorder="1"/>
    <xf numFmtId="0" fontId="16" fillId="0" borderId="64" xfId="0" applyFont="1" applyBorder="1"/>
    <xf numFmtId="0" fontId="7" fillId="0" borderId="65" xfId="2" applyFont="1" applyFill="1" applyBorder="1" applyAlignment="1">
      <alignment vertical="center" wrapText="1"/>
    </xf>
    <xf numFmtId="3" fontId="7" fillId="0" borderId="62" xfId="2" applyNumberFormat="1" applyFont="1" applyFill="1" applyBorder="1" applyAlignment="1">
      <alignment horizontal="right" vertical="center"/>
    </xf>
    <xf numFmtId="3" fontId="25" fillId="0" borderId="63" xfId="2" applyNumberFormat="1" applyFont="1" applyFill="1" applyBorder="1" applyAlignment="1">
      <alignment vertical="center"/>
    </xf>
    <xf numFmtId="43" fontId="7" fillId="0" borderId="64" xfId="1" applyFont="1" applyFill="1" applyBorder="1" applyAlignment="1">
      <alignment horizontal="right" vertical="center"/>
    </xf>
    <xf numFmtId="0" fontId="22" fillId="0" borderId="65" xfId="2" applyFont="1" applyFill="1" applyBorder="1" applyAlignment="1">
      <alignment vertical="top" wrapText="1"/>
    </xf>
    <xf numFmtId="3" fontId="22" fillId="0" borderId="62" xfId="2" applyNumberFormat="1" applyFont="1" applyFill="1" applyBorder="1" applyAlignment="1">
      <alignment horizontal="right" vertical="center"/>
    </xf>
    <xf numFmtId="0" fontId="7" fillId="0" borderId="65" xfId="2" applyFont="1" applyFill="1" applyBorder="1" applyAlignment="1">
      <alignment vertical="center"/>
    </xf>
    <xf numFmtId="0" fontId="7" fillId="0" borderId="71" xfId="2" applyFont="1" applyFill="1" applyBorder="1" applyAlignment="1">
      <alignment vertical="center" wrapText="1"/>
    </xf>
    <xf numFmtId="3" fontId="25" fillId="0" borderId="69" xfId="2" applyNumberFormat="1" applyFont="1" applyFill="1" applyBorder="1" applyAlignment="1">
      <alignment vertical="center"/>
    </xf>
    <xf numFmtId="0" fontId="5" fillId="7" borderId="59" xfId="2" applyFont="1" applyFill="1" applyBorder="1" applyAlignment="1">
      <alignment horizontal="left" vertical="center" wrapText="1"/>
    </xf>
    <xf numFmtId="3" fontId="25" fillId="7" borderId="124" xfId="2" applyNumberFormat="1" applyFont="1" applyFill="1" applyBorder="1" applyAlignment="1">
      <alignment horizontal="right" vertical="center"/>
    </xf>
    <xf numFmtId="165" fontId="5" fillId="4" borderId="65" xfId="2" applyNumberFormat="1" applyFont="1" applyFill="1" applyBorder="1" applyAlignment="1"/>
    <xf numFmtId="43" fontId="22" fillId="2" borderId="65" xfId="1" applyFont="1" applyFill="1" applyBorder="1" applyAlignment="1"/>
    <xf numFmtId="165" fontId="22" fillId="0" borderId="65" xfId="2" applyNumberFormat="1" applyFont="1" applyFill="1" applyBorder="1" applyAlignment="1">
      <alignment horizontal="right" vertical="center"/>
    </xf>
    <xf numFmtId="0" fontId="16" fillId="0" borderId="102" xfId="0" applyFont="1" applyBorder="1"/>
    <xf numFmtId="3" fontId="25" fillId="0" borderId="63" xfId="2" applyNumberFormat="1" applyFont="1" applyFill="1" applyBorder="1" applyAlignment="1">
      <alignment vertical="top"/>
    </xf>
    <xf numFmtId="43" fontId="16" fillId="0" borderId="102" xfId="1" applyFont="1" applyBorder="1"/>
    <xf numFmtId="3" fontId="25" fillId="0" borderId="62" xfId="2" applyNumberFormat="1" applyFont="1" applyFill="1" applyBorder="1" applyAlignment="1">
      <alignment vertical="top"/>
    </xf>
    <xf numFmtId="165" fontId="25" fillId="0" borderId="63" xfId="2" applyNumberFormat="1" applyFont="1" applyFill="1" applyBorder="1" applyAlignment="1">
      <alignment vertical="top"/>
    </xf>
    <xf numFmtId="165" fontId="25" fillId="0" borderId="65" xfId="2" applyNumberFormat="1" applyFont="1" applyFill="1" applyBorder="1" applyAlignment="1">
      <alignment vertical="top"/>
    </xf>
    <xf numFmtId="165" fontId="7" fillId="0" borderId="65" xfId="2" applyNumberFormat="1" applyFont="1" applyFill="1" applyBorder="1" applyAlignment="1">
      <alignment horizontal="right" vertical="center"/>
    </xf>
    <xf numFmtId="3" fontId="6" fillId="2" borderId="62" xfId="2" applyNumberFormat="1" applyFont="1" applyFill="1" applyBorder="1" applyAlignment="1"/>
    <xf numFmtId="165" fontId="6" fillId="0" borderId="63" xfId="2" applyNumberFormat="1" applyFont="1" applyFill="1" applyBorder="1" applyAlignment="1">
      <alignment horizontal="right" vertical="center"/>
    </xf>
    <xf numFmtId="43" fontId="6" fillId="2" borderId="63" xfId="1" applyFont="1" applyFill="1" applyBorder="1" applyAlignment="1"/>
    <xf numFmtId="3" fontId="7" fillId="0" borderId="62" xfId="2" applyNumberFormat="1" applyFont="1" applyFill="1" applyBorder="1" applyAlignment="1">
      <alignment vertical="top"/>
    </xf>
    <xf numFmtId="165" fontId="7" fillId="0" borderId="63" xfId="2" applyNumberFormat="1" applyFont="1" applyFill="1" applyBorder="1" applyAlignment="1">
      <alignment vertical="top"/>
    </xf>
    <xf numFmtId="43" fontId="7" fillId="0" borderId="63" xfId="1" applyFont="1" applyFill="1" applyBorder="1" applyAlignment="1">
      <alignment vertical="top"/>
    </xf>
    <xf numFmtId="3" fontId="7" fillId="14" borderId="58" xfId="2" applyNumberFormat="1" applyFont="1" applyFill="1" applyBorder="1" applyAlignment="1">
      <alignment horizontal="right" vertical="center"/>
    </xf>
    <xf numFmtId="3" fontId="7" fillId="14" borderId="59" xfId="2" applyNumberFormat="1" applyFont="1" applyFill="1" applyBorder="1" applyAlignment="1">
      <alignment horizontal="right" vertical="center"/>
    </xf>
    <xf numFmtId="43" fontId="7" fillId="14" borderId="60" xfId="1" applyFont="1" applyFill="1" applyBorder="1" applyAlignment="1">
      <alignment horizontal="right" vertical="center"/>
    </xf>
    <xf numFmtId="165" fontId="7" fillId="14" borderId="59" xfId="2" applyNumberFormat="1" applyFont="1" applyFill="1" applyBorder="1" applyAlignment="1">
      <alignment horizontal="right" vertical="center"/>
    </xf>
    <xf numFmtId="3" fontId="7" fillId="14" borderId="60" xfId="2" applyNumberFormat="1" applyFont="1" applyFill="1" applyBorder="1" applyAlignment="1">
      <alignment horizontal="right" vertical="center"/>
    </xf>
    <xf numFmtId="3" fontId="33" fillId="4" borderId="65" xfId="2" applyNumberFormat="1" applyFont="1" applyFill="1" applyBorder="1" applyAlignment="1">
      <alignment vertical="center"/>
    </xf>
    <xf numFmtId="3" fontId="6" fillId="2" borderId="64" xfId="2" applyNumberFormat="1" applyFont="1" applyFill="1" applyBorder="1" applyAlignment="1"/>
    <xf numFmtId="3" fontId="7" fillId="0" borderId="63" xfId="2" applyNumberFormat="1" applyFont="1" applyFill="1" applyBorder="1" applyAlignment="1">
      <alignment vertical="top"/>
    </xf>
    <xf numFmtId="165" fontId="7" fillId="7" borderId="61" xfId="2" applyNumberFormat="1" applyFont="1" applyFill="1" applyBorder="1" applyAlignment="1">
      <alignment horizontal="right" vertical="center"/>
    </xf>
    <xf numFmtId="3" fontId="6" fillId="2" borderId="65" xfId="2" applyNumberFormat="1" applyFont="1" applyFill="1" applyBorder="1" applyAlignment="1"/>
    <xf numFmtId="165" fontId="6" fillId="0" borderId="65" xfId="2" applyNumberFormat="1" applyFont="1" applyFill="1" applyBorder="1" applyAlignment="1">
      <alignment horizontal="right" vertical="center"/>
    </xf>
    <xf numFmtId="3" fontId="7" fillId="0" borderId="65" xfId="2" applyNumberFormat="1" applyFont="1" applyFill="1" applyBorder="1" applyAlignment="1">
      <alignment horizontal="right" vertical="center"/>
    </xf>
    <xf numFmtId="43" fontId="6" fillId="2" borderId="64" xfId="1" applyFont="1" applyFill="1" applyBorder="1" applyAlignment="1"/>
    <xf numFmtId="43" fontId="7" fillId="0" borderId="69" xfId="1" applyFont="1" applyFill="1" applyBorder="1" applyAlignment="1">
      <alignment vertical="top"/>
    </xf>
    <xf numFmtId="3" fontId="7" fillId="0" borderId="71" xfId="2" applyNumberFormat="1" applyFont="1" applyFill="1" applyBorder="1" applyAlignment="1">
      <alignment horizontal="right" vertical="center"/>
    </xf>
    <xf numFmtId="3" fontId="7" fillId="0" borderId="69" xfId="2" applyNumberFormat="1" applyFont="1" applyFill="1" applyBorder="1" applyAlignment="1">
      <alignment vertical="top"/>
    </xf>
    <xf numFmtId="0" fontId="5" fillId="7" borderId="77" xfId="2" applyFont="1" applyFill="1" applyBorder="1" applyAlignment="1">
      <alignment horizontal="left" vertical="center" wrapText="1"/>
    </xf>
    <xf numFmtId="0" fontId="33" fillId="7" borderId="78" xfId="2" applyFont="1" applyFill="1" applyBorder="1" applyAlignment="1">
      <alignment horizontal="center" vertical="center" wrapText="1"/>
    </xf>
    <xf numFmtId="3" fontId="25" fillId="7" borderId="79" xfId="2" applyNumberFormat="1" applyFont="1" applyFill="1" applyBorder="1" applyAlignment="1">
      <alignment horizontal="right" vertical="center"/>
    </xf>
    <xf numFmtId="3" fontId="25" fillId="7" borderId="77" xfId="2" applyNumberFormat="1" applyFont="1" applyFill="1" applyBorder="1" applyAlignment="1">
      <alignment horizontal="right" vertical="center"/>
    </xf>
    <xf numFmtId="3" fontId="25" fillId="7" borderId="80" xfId="2" applyNumberFormat="1" applyFont="1" applyFill="1" applyBorder="1" applyAlignment="1">
      <alignment horizontal="right" vertical="center"/>
    </xf>
    <xf numFmtId="3" fontId="7" fillId="7" borderId="79" xfId="2" applyNumberFormat="1" applyFont="1" applyFill="1" applyBorder="1" applyAlignment="1">
      <alignment horizontal="right" vertical="center"/>
    </xf>
    <xf numFmtId="165" fontId="7" fillId="7" borderId="77" xfId="2" applyNumberFormat="1" applyFont="1" applyFill="1" applyBorder="1" applyAlignment="1">
      <alignment horizontal="right" vertical="center"/>
    </xf>
    <xf numFmtId="3" fontId="7" fillId="7" borderId="77" xfId="2" applyNumberFormat="1" applyFont="1" applyFill="1" applyBorder="1" applyAlignment="1">
      <alignment horizontal="right" vertical="center"/>
    </xf>
    <xf numFmtId="165" fontId="7" fillId="7" borderId="80" xfId="2" applyNumberFormat="1" applyFont="1" applyFill="1" applyBorder="1" applyAlignment="1">
      <alignment horizontal="right" vertical="center"/>
    </xf>
    <xf numFmtId="3" fontId="25" fillId="7" borderId="78" xfId="2" applyNumberFormat="1" applyFont="1" applyFill="1" applyBorder="1" applyAlignment="1">
      <alignment horizontal="right" vertical="center"/>
    </xf>
    <xf numFmtId="3" fontId="22" fillId="2" borderId="65" xfId="2" applyNumberFormat="1" applyFont="1" applyFill="1" applyBorder="1" applyAlignment="1"/>
    <xf numFmtId="0" fontId="7" fillId="0" borderId="63" xfId="2" applyFont="1" applyFill="1" applyBorder="1" applyAlignment="1">
      <alignment vertical="center"/>
    </xf>
    <xf numFmtId="0" fontId="5" fillId="7" borderId="59" xfId="2" applyFont="1" applyFill="1" applyBorder="1" applyAlignment="1">
      <alignment horizontal="left" vertical="top" wrapText="1"/>
    </xf>
    <xf numFmtId="3" fontId="7" fillId="0" borderId="93" xfId="2" applyNumberFormat="1" applyFont="1" applyFill="1" applyBorder="1" applyAlignment="1">
      <alignment horizontal="right" vertical="center"/>
    </xf>
    <xf numFmtId="3" fontId="7" fillId="0" borderId="94" xfId="2" applyNumberFormat="1" applyFont="1" applyFill="1" applyBorder="1" applyAlignment="1">
      <alignment horizontal="right" vertical="center"/>
    </xf>
    <xf numFmtId="3" fontId="7" fillId="0" borderId="94" xfId="2" applyNumberFormat="1" applyFont="1" applyFill="1" applyBorder="1" applyAlignment="1">
      <alignment vertical="top"/>
    </xf>
    <xf numFmtId="3" fontId="7" fillId="0" borderId="91" xfId="2" applyNumberFormat="1" applyFont="1" applyFill="1" applyBorder="1" applyAlignment="1">
      <alignment horizontal="right" vertical="center"/>
    </xf>
    <xf numFmtId="165" fontId="7" fillId="0" borderId="94" xfId="2" applyNumberFormat="1" applyFont="1" applyFill="1" applyBorder="1" applyAlignment="1">
      <alignment horizontal="right" vertical="center"/>
    </xf>
    <xf numFmtId="43" fontId="7" fillId="0" borderId="91" xfId="1" applyFont="1" applyFill="1" applyBorder="1" applyAlignment="1">
      <alignment horizontal="right" vertical="center"/>
    </xf>
    <xf numFmtId="3" fontId="7" fillId="0" borderId="95" xfId="2" applyNumberFormat="1" applyFont="1" applyFill="1" applyBorder="1" applyAlignment="1">
      <alignment horizontal="right" vertical="center"/>
    </xf>
    <xf numFmtId="3" fontId="25" fillId="0" borderId="65" xfId="2" applyNumberFormat="1" applyFont="1" applyFill="1" applyBorder="1" applyAlignment="1">
      <alignment vertical="top"/>
    </xf>
    <xf numFmtId="0" fontId="16" fillId="0" borderId="138" xfId="0" applyFont="1" applyBorder="1"/>
    <xf numFmtId="3" fontId="25" fillId="0" borderId="94" xfId="2" applyNumberFormat="1" applyFont="1" applyFill="1" applyBorder="1" applyAlignment="1">
      <alignment vertical="top"/>
    </xf>
    <xf numFmtId="3" fontId="25" fillId="0" borderId="91" xfId="2" applyNumberFormat="1" applyFont="1" applyFill="1" applyBorder="1" applyAlignment="1">
      <alignment vertical="top"/>
    </xf>
    <xf numFmtId="3" fontId="25" fillId="0" borderId="93" xfId="2" applyNumberFormat="1" applyFont="1" applyFill="1" applyBorder="1" applyAlignment="1">
      <alignment vertical="top"/>
    </xf>
    <xf numFmtId="3" fontId="25" fillId="0" borderId="95" xfId="2" applyNumberFormat="1" applyFont="1" applyFill="1" applyBorder="1" applyAlignment="1">
      <alignment vertical="top"/>
    </xf>
    <xf numFmtId="0" fontId="33" fillId="7" borderId="59" xfId="2" applyFont="1" applyFill="1" applyBorder="1" applyAlignment="1">
      <alignment horizontal="center" vertical="center" wrapText="1"/>
    </xf>
    <xf numFmtId="0" fontId="6" fillId="0" borderId="65" xfId="2" applyFont="1" applyFill="1" applyBorder="1" applyAlignment="1">
      <alignment horizontal="left" vertical="center"/>
    </xf>
    <xf numFmtId="0" fontId="7" fillId="0" borderId="71" xfId="2" applyFont="1" applyFill="1" applyBorder="1" applyAlignment="1">
      <alignment vertical="top" wrapText="1"/>
    </xf>
    <xf numFmtId="0" fontId="33" fillId="7" borderId="77" xfId="2" applyFont="1" applyFill="1" applyBorder="1" applyAlignment="1">
      <alignment horizontal="center" vertical="center" wrapText="1"/>
    </xf>
    <xf numFmtId="3" fontId="25" fillId="7" borderId="84" xfId="2" applyNumberFormat="1" applyFont="1" applyFill="1" applyBorder="1" applyAlignment="1">
      <alignment horizontal="right" vertical="center"/>
    </xf>
    <xf numFmtId="3" fontId="33" fillId="4" borderId="63" xfId="2" applyNumberFormat="1" applyFont="1" applyFill="1" applyBorder="1" applyAlignment="1"/>
    <xf numFmtId="43" fontId="5" fillId="4" borderId="66" xfId="1" applyFont="1" applyFill="1" applyBorder="1" applyAlignment="1"/>
    <xf numFmtId="43" fontId="6" fillId="2" borderId="66" xfId="1" applyFont="1" applyFill="1" applyBorder="1" applyAlignment="1"/>
    <xf numFmtId="43" fontId="7" fillId="0" borderId="66" xfId="1" applyFont="1" applyFill="1" applyBorder="1" applyAlignment="1">
      <alignment horizontal="right" vertical="center"/>
    </xf>
    <xf numFmtId="0" fontId="7" fillId="0" borderId="91" xfId="2" applyFont="1" applyFill="1" applyBorder="1" applyAlignment="1">
      <alignment vertical="top"/>
    </xf>
    <xf numFmtId="43" fontId="7" fillId="0" borderId="94" xfId="1" applyFont="1" applyFill="1" applyBorder="1" applyAlignment="1">
      <alignment horizontal="right" vertical="center"/>
    </xf>
    <xf numFmtId="43" fontId="7" fillId="0" borderId="100" xfId="1" applyFont="1" applyFill="1" applyBorder="1" applyAlignment="1">
      <alignment horizontal="right" vertical="center"/>
    </xf>
    <xf numFmtId="43" fontId="7" fillId="0" borderId="95" xfId="1" applyFont="1" applyFill="1" applyBorder="1" applyAlignment="1">
      <alignment horizontal="right" vertical="center"/>
    </xf>
    <xf numFmtId="165" fontId="22" fillId="2" borderId="63" xfId="2" applyNumberFormat="1" applyFont="1" applyFill="1" applyBorder="1" applyAlignment="1"/>
    <xf numFmtId="0" fontId="7" fillId="0" borderId="71" xfId="2" applyFont="1" applyFill="1" applyBorder="1" applyAlignment="1">
      <alignment vertical="top"/>
    </xf>
    <xf numFmtId="43" fontId="7" fillId="0" borderId="85" xfId="1" applyFont="1" applyFill="1" applyBorder="1" applyAlignment="1">
      <alignment horizontal="right" vertical="center"/>
    </xf>
    <xf numFmtId="3" fontId="22" fillId="2" borderId="67" xfId="2" applyNumberFormat="1" applyFont="1" applyFill="1" applyBorder="1" applyAlignment="1"/>
    <xf numFmtId="3" fontId="7" fillId="0" borderId="67" xfId="0" applyNumberFormat="1" applyFont="1" applyFill="1" applyBorder="1" applyAlignment="1">
      <alignment vertical="top"/>
    </xf>
    <xf numFmtId="3" fontId="7" fillId="2" borderId="69" xfId="2" applyNumberFormat="1" applyFont="1" applyFill="1" applyBorder="1" applyAlignment="1">
      <alignment horizontal="right" vertical="center"/>
    </xf>
    <xf numFmtId="3" fontId="7" fillId="0" borderId="96" xfId="0" applyNumberFormat="1" applyFont="1" applyFill="1" applyBorder="1" applyAlignment="1">
      <alignment vertical="top"/>
    </xf>
    <xf numFmtId="3" fontId="22" fillId="0" borderId="65" xfId="2" applyNumberFormat="1" applyFont="1" applyFill="1" applyBorder="1" applyAlignment="1">
      <alignment horizontal="right" vertical="center"/>
    </xf>
    <xf numFmtId="3" fontId="42" fillId="0" borderId="65" xfId="3" applyNumberFormat="1" applyFont="1" applyFill="1" applyBorder="1" applyAlignment="1">
      <alignment vertical="center"/>
    </xf>
    <xf numFmtId="3" fontId="16" fillId="0" borderId="93" xfId="3" applyNumberFormat="1" applyFont="1" applyFill="1" applyBorder="1" applyAlignment="1">
      <alignment vertical="center"/>
    </xf>
    <xf numFmtId="3" fontId="7" fillId="0" borderId="117" xfId="0" applyNumberFormat="1" applyFont="1" applyFill="1" applyBorder="1" applyAlignment="1">
      <alignment vertical="top"/>
    </xf>
    <xf numFmtId="3" fontId="7" fillId="2" borderId="94" xfId="2" applyNumberFormat="1" applyFont="1" applyFill="1" applyBorder="1" applyAlignment="1">
      <alignment horizontal="right" vertical="center"/>
    </xf>
    <xf numFmtId="3" fontId="25" fillId="0" borderId="62" xfId="0" applyNumberFormat="1" applyFont="1" applyFill="1" applyBorder="1" applyAlignment="1">
      <alignment vertical="top"/>
    </xf>
    <xf numFmtId="3" fontId="7" fillId="0" borderId="63" xfId="0" applyNumberFormat="1" applyFont="1" applyFill="1" applyBorder="1" applyAlignment="1">
      <alignment vertical="top"/>
    </xf>
    <xf numFmtId="0" fontId="20" fillId="0" borderId="69" xfId="2" applyFont="1" applyFill="1" applyBorder="1" applyAlignment="1">
      <alignment vertical="center" wrapText="1"/>
    </xf>
    <xf numFmtId="3" fontId="5" fillId="4" borderId="66" xfId="0" applyNumberFormat="1" applyFont="1" applyFill="1" applyBorder="1" applyAlignment="1">
      <alignment vertical="top"/>
    </xf>
    <xf numFmtId="3" fontId="5" fillId="0" borderId="66" xfId="0" applyNumberFormat="1" applyFont="1" applyFill="1" applyBorder="1" applyAlignment="1">
      <alignment vertical="top"/>
    </xf>
    <xf numFmtId="3" fontId="42" fillId="0" borderId="72" xfId="3" applyNumberFormat="1" applyFont="1" applyFill="1" applyBorder="1" applyAlignment="1">
      <alignment vertical="center"/>
    </xf>
    <xf numFmtId="43" fontId="33" fillId="4" borderId="63" xfId="1" applyFont="1" applyFill="1" applyBorder="1" applyAlignment="1"/>
    <xf numFmtId="3" fontId="33" fillId="4" borderId="66" xfId="2" applyNumberFormat="1" applyFont="1" applyFill="1" applyBorder="1" applyAlignment="1"/>
    <xf numFmtId="3" fontId="53" fillId="0" borderId="63" xfId="3" applyNumberFormat="1" applyFont="1" applyFill="1" applyBorder="1" applyAlignment="1">
      <alignment vertical="center"/>
    </xf>
    <xf numFmtId="3" fontId="53" fillId="0" borderId="66" xfId="3" applyNumberFormat="1" applyFont="1" applyFill="1" applyBorder="1" applyAlignment="1">
      <alignment vertical="center"/>
    </xf>
    <xf numFmtId="3" fontId="7" fillId="0" borderId="69" xfId="0" applyNumberFormat="1" applyFont="1" applyFill="1" applyBorder="1" applyAlignment="1">
      <alignment vertical="top"/>
    </xf>
    <xf numFmtId="3" fontId="32" fillId="0" borderId="85" xfId="2" applyNumberFormat="1" applyFont="1" applyFill="1" applyBorder="1" applyAlignment="1">
      <alignment horizontal="right" vertical="center"/>
    </xf>
    <xf numFmtId="0" fontId="10" fillId="0" borderId="113" xfId="0" quotePrefix="1" applyFont="1" applyBorder="1" applyAlignment="1">
      <alignment horizontal="center" vertical="center"/>
    </xf>
    <xf numFmtId="43" fontId="22" fillId="2" borderId="120" xfId="1" quotePrefix="1" applyFont="1" applyFill="1" applyBorder="1" applyAlignment="1">
      <alignment vertical="top"/>
    </xf>
    <xf numFmtId="0" fontId="29" fillId="0" borderId="15" xfId="0" quotePrefix="1" applyFont="1" applyBorder="1" applyAlignment="1">
      <alignment horizontal="center" vertical="top"/>
    </xf>
    <xf numFmtId="0" fontId="20" fillId="4" borderId="61" xfId="2" applyFont="1" applyFill="1" applyBorder="1" applyAlignment="1">
      <alignment horizontal="left" vertical="center"/>
    </xf>
    <xf numFmtId="3" fontId="15" fillId="4" borderId="98" xfId="0" applyNumberFormat="1" applyFont="1" applyFill="1" applyBorder="1" applyAlignment="1">
      <alignment vertical="top"/>
    </xf>
    <xf numFmtId="3" fontId="15" fillId="4" borderId="60" xfId="0" applyNumberFormat="1" applyFont="1" applyFill="1" applyBorder="1" applyAlignment="1">
      <alignment vertical="top"/>
    </xf>
    <xf numFmtId="3" fontId="15" fillId="4" borderId="101" xfId="0" applyNumberFormat="1" applyFont="1" applyFill="1" applyBorder="1" applyAlignment="1">
      <alignment vertical="top"/>
    </xf>
    <xf numFmtId="3" fontId="15" fillId="4" borderId="124" xfId="0" applyNumberFormat="1" applyFont="1" applyFill="1" applyBorder="1" applyAlignment="1">
      <alignment vertical="top"/>
    </xf>
    <xf numFmtId="3" fontId="22" fillId="5" borderId="62" xfId="0" applyNumberFormat="1" applyFont="1" applyFill="1" applyBorder="1" applyAlignment="1">
      <alignment vertical="top"/>
    </xf>
    <xf numFmtId="3" fontId="22" fillId="5" borderId="67" xfId="0" applyNumberFormat="1" applyFont="1" applyFill="1" applyBorder="1" applyAlignment="1">
      <alignment vertical="top"/>
    </xf>
    <xf numFmtId="3" fontId="22" fillId="5" borderId="64" xfId="0" applyNumberFormat="1" applyFont="1" applyFill="1" applyBorder="1" applyAlignment="1">
      <alignment vertical="top"/>
    </xf>
    <xf numFmtId="3" fontId="22" fillId="5" borderId="72" xfId="0" applyNumberFormat="1" applyFont="1" applyFill="1" applyBorder="1" applyAlignment="1">
      <alignment vertical="top"/>
    </xf>
    <xf numFmtId="164" fontId="22" fillId="5" borderId="63" xfId="0" applyNumberFormat="1" applyFont="1" applyFill="1" applyBorder="1" applyAlignment="1">
      <alignment vertical="top"/>
    </xf>
    <xf numFmtId="3" fontId="22" fillId="5" borderId="63" xfId="0" applyNumberFormat="1" applyFont="1" applyFill="1" applyBorder="1" applyAlignment="1">
      <alignment vertical="top"/>
    </xf>
    <xf numFmtId="3" fontId="22" fillId="5" borderId="66" xfId="0" applyNumberFormat="1" applyFont="1" applyFill="1" applyBorder="1" applyAlignment="1">
      <alignment vertical="top"/>
    </xf>
    <xf numFmtId="3" fontId="25" fillId="5" borderId="67" xfId="0" applyNumberFormat="1" applyFont="1" applyFill="1" applyBorder="1" applyAlignment="1">
      <alignment vertical="top"/>
    </xf>
    <xf numFmtId="3" fontId="25" fillId="5" borderId="72" xfId="0" applyNumberFormat="1" applyFont="1" applyFill="1" applyBorder="1" applyAlignment="1">
      <alignment vertical="top"/>
    </xf>
    <xf numFmtId="43" fontId="22" fillId="5" borderId="63" xfId="1" applyFont="1" applyFill="1" applyBorder="1" applyAlignment="1">
      <alignment vertical="top"/>
    </xf>
    <xf numFmtId="3" fontId="25" fillId="5" borderId="66" xfId="0" applyNumberFormat="1" applyFont="1" applyFill="1" applyBorder="1" applyAlignment="1">
      <alignment vertical="top"/>
    </xf>
    <xf numFmtId="3" fontId="25" fillId="5" borderId="64" xfId="0" applyNumberFormat="1" applyFont="1" applyFill="1" applyBorder="1" applyAlignment="1">
      <alignment vertical="top"/>
    </xf>
    <xf numFmtId="164" fontId="25" fillId="5" borderId="63" xfId="0" applyNumberFormat="1" applyFont="1" applyFill="1" applyBorder="1" applyAlignment="1">
      <alignment vertical="top"/>
    </xf>
    <xf numFmtId="0" fontId="25" fillId="5" borderId="69" xfId="2" applyFont="1" applyFill="1" applyBorder="1" applyAlignment="1">
      <alignment vertical="center"/>
    </xf>
    <xf numFmtId="3" fontId="25" fillId="5" borderId="68" xfId="0" applyNumberFormat="1" applyFont="1" applyFill="1" applyBorder="1" applyAlignment="1">
      <alignment vertical="top"/>
    </xf>
    <xf numFmtId="3" fontId="25" fillId="5" borderId="96" xfId="0" applyNumberFormat="1" applyFont="1" applyFill="1" applyBorder="1" applyAlignment="1">
      <alignment vertical="top"/>
    </xf>
    <xf numFmtId="3" fontId="25" fillId="5" borderId="70" xfId="0" applyNumberFormat="1" applyFont="1" applyFill="1" applyBorder="1" applyAlignment="1">
      <alignment vertical="top"/>
    </xf>
    <xf numFmtId="3" fontId="25" fillId="5" borderId="73" xfId="0" applyNumberFormat="1" applyFont="1" applyFill="1" applyBorder="1" applyAlignment="1">
      <alignment vertical="top"/>
    </xf>
    <xf numFmtId="164" fontId="25" fillId="5" borderId="69" xfId="0" applyNumberFormat="1" applyFont="1" applyFill="1" applyBorder="1" applyAlignment="1">
      <alignment vertical="top"/>
    </xf>
    <xf numFmtId="3" fontId="25" fillId="5" borderId="69" xfId="0" applyNumberFormat="1" applyFont="1" applyFill="1" applyBorder="1" applyAlignment="1">
      <alignment vertical="top"/>
    </xf>
    <xf numFmtId="3" fontId="25" fillId="5" borderId="85" xfId="0" applyNumberFormat="1" applyFont="1" applyFill="1" applyBorder="1" applyAlignment="1">
      <alignment vertical="top"/>
    </xf>
    <xf numFmtId="0" fontId="15" fillId="14" borderId="59" xfId="0" applyFont="1" applyFill="1" applyBorder="1" applyAlignment="1">
      <alignment horizontal="left" vertical="center" wrapText="1"/>
    </xf>
    <xf numFmtId="0" fontId="20" fillId="14" borderId="61" xfId="0" applyFont="1" applyFill="1" applyBorder="1" applyAlignment="1">
      <alignment horizontal="center" vertical="center" wrapText="1"/>
    </xf>
    <xf numFmtId="3" fontId="25" fillId="14" borderId="98" xfId="0" applyNumberFormat="1" applyFont="1" applyFill="1" applyBorder="1" applyAlignment="1">
      <alignment vertical="top"/>
    </xf>
    <xf numFmtId="3" fontId="25" fillId="14" borderId="124" xfId="0" applyNumberFormat="1" applyFont="1" applyFill="1" applyBorder="1" applyAlignment="1">
      <alignment vertical="top"/>
    </xf>
    <xf numFmtId="164" fontId="25" fillId="14" borderId="59" xfId="0" applyNumberFormat="1" applyFont="1" applyFill="1" applyBorder="1" applyAlignment="1">
      <alignment vertical="top"/>
    </xf>
    <xf numFmtId="43" fontId="15" fillId="4" borderId="63" xfId="1" applyFont="1" applyFill="1" applyBorder="1" applyAlignment="1">
      <alignment vertical="top"/>
    </xf>
    <xf numFmtId="43" fontId="15" fillId="4" borderId="66" xfId="1" applyFont="1" applyFill="1" applyBorder="1" applyAlignment="1">
      <alignment vertical="top"/>
    </xf>
    <xf numFmtId="3" fontId="22" fillId="0" borderId="62" xfId="0" applyNumberFormat="1" applyFont="1" applyFill="1" applyBorder="1" applyAlignment="1">
      <alignment vertical="top"/>
    </xf>
    <xf numFmtId="3" fontId="22" fillId="0" borderId="63" xfId="0" applyNumberFormat="1" applyFont="1" applyFill="1" applyBorder="1" applyAlignment="1">
      <alignment vertical="top"/>
    </xf>
    <xf numFmtId="43" fontId="22" fillId="0" borderId="63" xfId="1" applyFont="1" applyFill="1" applyBorder="1" applyAlignment="1">
      <alignment vertical="top"/>
    </xf>
    <xf numFmtId="43" fontId="22" fillId="0" borderId="66" xfId="1" applyFont="1" applyFill="1" applyBorder="1" applyAlignment="1">
      <alignment vertical="top"/>
    </xf>
    <xf numFmtId="164" fontId="22" fillId="0" borderId="63" xfId="0" applyNumberFormat="1" applyFont="1" applyFill="1" applyBorder="1" applyAlignment="1">
      <alignment vertical="top"/>
    </xf>
    <xf numFmtId="3" fontId="22" fillId="0" borderId="64" xfId="0" applyNumberFormat="1" applyFont="1" applyFill="1" applyBorder="1" applyAlignment="1">
      <alignment vertical="top"/>
    </xf>
    <xf numFmtId="3" fontId="25" fillId="0" borderId="69" xfId="0" applyNumberFormat="1" applyFont="1" applyFill="1" applyBorder="1" applyAlignment="1">
      <alignment vertical="top"/>
    </xf>
    <xf numFmtId="43" fontId="25" fillId="0" borderId="85" xfId="1" applyFont="1" applyFill="1" applyBorder="1" applyAlignment="1">
      <alignment vertical="top"/>
    </xf>
    <xf numFmtId="164" fontId="25" fillId="0" borderId="63" xfId="0" applyNumberFormat="1" applyFont="1" applyFill="1" applyBorder="1" applyAlignment="1">
      <alignment vertical="top"/>
    </xf>
    <xf numFmtId="3" fontId="25" fillId="2" borderId="63" xfId="0" applyNumberFormat="1" applyFont="1" applyFill="1" applyBorder="1" applyAlignment="1">
      <alignment vertical="top"/>
    </xf>
    <xf numFmtId="3" fontId="25" fillId="0" borderId="64" xfId="0" applyNumberFormat="1" applyFont="1" applyFill="1" applyBorder="1" applyAlignment="1">
      <alignment vertical="top"/>
    </xf>
    <xf numFmtId="43" fontId="22" fillId="0" borderId="62" xfId="1" applyFont="1" applyFill="1" applyBorder="1" applyAlignment="1">
      <alignment vertical="top"/>
    </xf>
    <xf numFmtId="43" fontId="22" fillId="0" borderId="64" xfId="1" applyFont="1" applyFill="1" applyBorder="1" applyAlignment="1">
      <alignment vertical="top"/>
    </xf>
    <xf numFmtId="43" fontId="15" fillId="4" borderId="26" xfId="1" applyFont="1" applyFill="1" applyBorder="1" applyAlignment="1">
      <alignment vertical="top"/>
    </xf>
    <xf numFmtId="43" fontId="15" fillId="4" borderId="57" xfId="1" applyFont="1" applyFill="1" applyBorder="1" applyAlignment="1">
      <alignment vertical="top"/>
    </xf>
    <xf numFmtId="43" fontId="22" fillId="0" borderId="21" xfId="1" applyFont="1" applyFill="1" applyBorder="1" applyAlignment="1">
      <alignment vertical="top"/>
    </xf>
    <xf numFmtId="43" fontId="22" fillId="0" borderId="56" xfId="1" applyFont="1" applyFill="1" applyBorder="1" applyAlignment="1">
      <alignment vertical="top"/>
    </xf>
    <xf numFmtId="43" fontId="25" fillId="0" borderId="32" xfId="1" applyFont="1" applyFill="1" applyBorder="1" applyAlignment="1">
      <alignment vertical="top"/>
    </xf>
    <xf numFmtId="43" fontId="25" fillId="0" borderId="105" xfId="1" applyFont="1" applyFill="1" applyBorder="1" applyAlignment="1">
      <alignment vertical="top"/>
    </xf>
    <xf numFmtId="0" fontId="20" fillId="14" borderId="104" xfId="0" applyFont="1" applyFill="1" applyBorder="1" applyAlignment="1">
      <alignment horizontal="center" vertical="center" wrapText="1"/>
    </xf>
    <xf numFmtId="3" fontId="7" fillId="14" borderId="60" xfId="0" applyNumberFormat="1" applyFont="1" applyFill="1" applyBorder="1" applyAlignment="1">
      <alignment vertical="top"/>
    </xf>
    <xf numFmtId="0" fontId="28" fillId="4" borderId="102" xfId="0" applyFont="1" applyFill="1" applyBorder="1" applyAlignment="1">
      <alignment vertical="top"/>
    </xf>
    <xf numFmtId="164" fontId="5" fillId="4" borderId="63" xfId="0" applyNumberFormat="1" applyFont="1" applyFill="1" applyBorder="1" applyAlignment="1">
      <alignment vertical="top"/>
    </xf>
    <xf numFmtId="164" fontId="6" fillId="0" borderId="63" xfId="0" applyNumberFormat="1" applyFont="1" applyFill="1" applyBorder="1" applyAlignment="1">
      <alignment vertical="top"/>
    </xf>
    <xf numFmtId="3" fontId="6" fillId="0" borderId="63" xfId="0" applyNumberFormat="1" applyFont="1" applyFill="1" applyBorder="1" applyAlignment="1">
      <alignment vertical="top"/>
    </xf>
    <xf numFmtId="3" fontId="6" fillId="0" borderId="64" xfId="0" applyNumberFormat="1" applyFont="1" applyFill="1" applyBorder="1" applyAlignment="1">
      <alignment vertical="top"/>
    </xf>
    <xf numFmtId="0" fontId="25" fillId="0" borderId="63" xfId="0" applyFont="1" applyFill="1" applyBorder="1" applyAlignment="1">
      <alignment vertical="top" wrapText="1"/>
    </xf>
    <xf numFmtId="3" fontId="25" fillId="0" borderId="63" xfId="0" applyNumberFormat="1" applyFont="1" applyFill="1" applyBorder="1" applyAlignment="1">
      <alignment vertical="top"/>
    </xf>
    <xf numFmtId="3" fontId="25" fillId="2" borderId="62" xfId="0" applyNumberFormat="1" applyFont="1" applyFill="1" applyBorder="1" applyAlignment="1">
      <alignment vertical="top"/>
    </xf>
    <xf numFmtId="164" fontId="7" fillId="2" borderId="63" xfId="0" applyNumberFormat="1" applyFont="1" applyFill="1" applyBorder="1" applyAlignment="1">
      <alignment vertical="top"/>
    </xf>
    <xf numFmtId="43" fontId="7" fillId="2" borderId="63" xfId="1" applyFont="1" applyFill="1" applyBorder="1" applyAlignment="1">
      <alignment vertical="top"/>
    </xf>
    <xf numFmtId="164" fontId="7" fillId="0" borderId="63" xfId="0" applyNumberFormat="1" applyFont="1" applyFill="1" applyBorder="1" applyAlignment="1">
      <alignment vertical="top"/>
    </xf>
    <xf numFmtId="0" fontId="25" fillId="0" borderId="63" xfId="2" applyFont="1" applyFill="1" applyBorder="1" applyAlignment="1">
      <alignment vertical="center"/>
    </xf>
    <xf numFmtId="0" fontId="35" fillId="4" borderId="102" xfId="0" applyFont="1" applyFill="1" applyBorder="1" applyAlignment="1">
      <alignment horizontal="center" vertical="center"/>
    </xf>
    <xf numFmtId="0" fontId="35" fillId="2" borderId="102" xfId="0" applyFont="1" applyFill="1" applyBorder="1" applyAlignment="1">
      <alignment horizontal="center" vertical="center"/>
    </xf>
    <xf numFmtId="3" fontId="15" fillId="2" borderId="62" xfId="0" applyNumberFormat="1" applyFont="1" applyFill="1" applyBorder="1" applyAlignment="1">
      <alignment vertical="top"/>
    </xf>
    <xf numFmtId="3" fontId="15" fillId="2" borderId="63" xfId="0" applyNumberFormat="1" applyFont="1" applyFill="1" applyBorder="1" applyAlignment="1">
      <alignment vertical="top"/>
    </xf>
    <xf numFmtId="3" fontId="15" fillId="2" borderId="64" xfId="0" applyNumberFormat="1" applyFont="1" applyFill="1" applyBorder="1" applyAlignment="1">
      <alignment vertical="top"/>
    </xf>
    <xf numFmtId="164" fontId="5" fillId="2" borderId="63" xfId="0" applyNumberFormat="1" applyFont="1" applyFill="1" applyBorder="1" applyAlignment="1">
      <alignment vertical="top"/>
    </xf>
    <xf numFmtId="3" fontId="5" fillId="2" borderId="63" xfId="0" applyNumberFormat="1" applyFont="1" applyFill="1" applyBorder="1" applyAlignment="1">
      <alignment vertical="top"/>
    </xf>
    <xf numFmtId="3" fontId="5" fillId="2" borderId="64" xfId="0" applyNumberFormat="1" applyFont="1" applyFill="1" applyBorder="1" applyAlignment="1">
      <alignment vertical="top"/>
    </xf>
    <xf numFmtId="3" fontId="25" fillId="2" borderId="64" xfId="0" applyNumberFormat="1" applyFont="1" applyFill="1" applyBorder="1" applyAlignment="1">
      <alignment vertical="top"/>
    </xf>
    <xf numFmtId="3" fontId="7" fillId="2" borderId="63" xfId="0" applyNumberFormat="1" applyFont="1" applyFill="1" applyBorder="1" applyAlignment="1">
      <alignment vertical="top"/>
    </xf>
    <xf numFmtId="3" fontId="7" fillId="2" borderId="64" xfId="0" applyNumberFormat="1" applyFont="1" applyFill="1" applyBorder="1" applyAlignment="1">
      <alignment vertical="top"/>
    </xf>
    <xf numFmtId="0" fontId="22" fillId="0" borderId="63" xfId="2" applyFont="1" applyFill="1" applyBorder="1" applyAlignment="1">
      <alignment vertical="center"/>
    </xf>
    <xf numFmtId="3" fontId="25" fillId="0" borderId="70" xfId="0" applyNumberFormat="1" applyFont="1" applyFill="1" applyBorder="1" applyAlignment="1">
      <alignment vertical="top"/>
    </xf>
    <xf numFmtId="164" fontId="7" fillId="0" borderId="69" xfId="0" applyNumberFormat="1" applyFont="1" applyFill="1" applyBorder="1" applyAlignment="1">
      <alignment vertical="top"/>
    </xf>
    <xf numFmtId="3" fontId="7" fillId="0" borderId="70" xfId="0" applyNumberFormat="1" applyFont="1" applyFill="1" applyBorder="1" applyAlignment="1">
      <alignment vertical="top"/>
    </xf>
    <xf numFmtId="0" fontId="15" fillId="14" borderId="98" xfId="0" applyFont="1" applyFill="1" applyBorder="1" applyAlignment="1">
      <alignment vertical="center" wrapText="1"/>
    </xf>
    <xf numFmtId="0" fontId="28" fillId="4" borderId="65" xfId="0" applyFont="1" applyFill="1" applyBorder="1" applyAlignment="1">
      <alignment vertical="top"/>
    </xf>
    <xf numFmtId="0" fontId="25" fillId="0" borderId="67" xfId="0" applyFont="1" applyFill="1" applyBorder="1" applyAlignment="1">
      <alignment vertical="top" wrapText="1"/>
    </xf>
    <xf numFmtId="3" fontId="22" fillId="0" borderId="62" xfId="0" quotePrefix="1" applyNumberFormat="1" applyFont="1" applyFill="1" applyBorder="1" applyAlignment="1">
      <alignment horizontal="right" vertical="top"/>
    </xf>
    <xf numFmtId="3" fontId="22" fillId="0" borderId="63" xfId="0" quotePrefix="1" applyNumberFormat="1" applyFont="1" applyFill="1" applyBorder="1" applyAlignment="1">
      <alignment horizontal="right" vertical="top"/>
    </xf>
    <xf numFmtId="0" fontId="25" fillId="0" borderId="67" xfId="2" applyFont="1" applyFill="1" applyBorder="1" applyAlignment="1">
      <alignment vertical="center"/>
    </xf>
    <xf numFmtId="3" fontId="25" fillId="0" borderId="62" xfId="0" quotePrefix="1" applyNumberFormat="1" applyFont="1" applyFill="1" applyBorder="1" applyAlignment="1">
      <alignment horizontal="right" vertical="top"/>
    </xf>
    <xf numFmtId="3" fontId="25" fillId="0" borderId="63" xfId="0" quotePrefix="1" applyNumberFormat="1" applyFont="1" applyFill="1" applyBorder="1" applyAlignment="1">
      <alignment horizontal="right" vertical="top"/>
    </xf>
    <xf numFmtId="3" fontId="15" fillId="4" borderId="62" xfId="0" quotePrefix="1" applyNumberFormat="1" applyFont="1" applyFill="1" applyBorder="1" applyAlignment="1">
      <alignment horizontal="right" vertical="top"/>
    </xf>
    <xf numFmtId="0" fontId="35" fillId="2" borderId="65" xfId="0" applyFont="1" applyFill="1" applyBorder="1" applyAlignment="1">
      <alignment horizontal="center" vertical="center"/>
    </xf>
    <xf numFmtId="3" fontId="15" fillId="2" borderId="62" xfId="0" quotePrefix="1" applyNumberFormat="1" applyFont="1" applyFill="1" applyBorder="1" applyAlignment="1">
      <alignment horizontal="right" vertical="top"/>
    </xf>
    <xf numFmtId="0" fontId="22" fillId="0" borderId="67" xfId="2" applyFont="1" applyFill="1" applyBorder="1" applyAlignment="1">
      <alignment vertical="center"/>
    </xf>
    <xf numFmtId="0" fontId="25" fillId="0" borderId="96" xfId="2" applyFont="1" applyFill="1" applyBorder="1" applyAlignment="1">
      <alignment vertical="center"/>
    </xf>
    <xf numFmtId="3" fontId="25" fillId="0" borderId="68" xfId="0" quotePrefix="1" applyNumberFormat="1" applyFont="1" applyFill="1" applyBorder="1" applyAlignment="1">
      <alignment horizontal="right" vertical="top"/>
    </xf>
    <xf numFmtId="164" fontId="25" fillId="0" borderId="69" xfId="0" applyNumberFormat="1" applyFont="1" applyFill="1" applyBorder="1" applyAlignment="1">
      <alignment vertical="top"/>
    </xf>
    <xf numFmtId="3" fontId="25" fillId="0" borderId="69" xfId="0" quotePrefix="1" applyNumberFormat="1" applyFont="1" applyFill="1" applyBorder="1" applyAlignment="1">
      <alignment horizontal="right" vertical="top"/>
    </xf>
    <xf numFmtId="164" fontId="25" fillId="14" borderId="61" xfId="0" applyNumberFormat="1" applyFont="1" applyFill="1" applyBorder="1" applyAlignment="1">
      <alignment vertical="top"/>
    </xf>
    <xf numFmtId="164" fontId="22" fillId="0" borderId="65" xfId="0" applyNumberFormat="1" applyFont="1" applyFill="1" applyBorder="1" applyAlignment="1">
      <alignment vertical="top"/>
    </xf>
    <xf numFmtId="3" fontId="25" fillId="0" borderId="66" xfId="0" applyNumberFormat="1" applyFont="1" applyFill="1" applyBorder="1" applyAlignment="1">
      <alignment vertical="top"/>
    </xf>
    <xf numFmtId="164" fontId="25" fillId="0" borderId="65" xfId="0" applyNumberFormat="1" applyFont="1" applyFill="1" applyBorder="1" applyAlignment="1">
      <alignment vertical="top"/>
    </xf>
    <xf numFmtId="43" fontId="15" fillId="2" borderId="63" xfId="1" applyFont="1" applyFill="1" applyBorder="1" applyAlignment="1">
      <alignment vertical="top"/>
    </xf>
    <xf numFmtId="43" fontId="15" fillId="2" borderId="65" xfId="1" applyFont="1" applyFill="1" applyBorder="1" applyAlignment="1">
      <alignment vertical="top"/>
    </xf>
    <xf numFmtId="3" fontId="25" fillId="2" borderId="68" xfId="0" applyNumberFormat="1" applyFont="1" applyFill="1" applyBorder="1" applyAlignment="1">
      <alignment vertical="top"/>
    </xf>
    <xf numFmtId="3" fontId="25" fillId="2" borderId="69" xfId="0" applyNumberFormat="1" applyFont="1" applyFill="1" applyBorder="1" applyAlignment="1">
      <alignment vertical="top"/>
    </xf>
    <xf numFmtId="3" fontId="25" fillId="2" borderId="70" xfId="0" applyNumberFormat="1" applyFont="1" applyFill="1" applyBorder="1" applyAlignment="1">
      <alignment vertical="top"/>
    </xf>
    <xf numFmtId="3" fontId="15" fillId="2" borderId="68" xfId="0" applyNumberFormat="1" applyFont="1" applyFill="1" applyBorder="1" applyAlignment="1">
      <alignment vertical="top"/>
    </xf>
    <xf numFmtId="43" fontId="15" fillId="2" borderId="69" xfId="1" applyFont="1" applyFill="1" applyBorder="1" applyAlignment="1">
      <alignment vertical="top"/>
    </xf>
    <xf numFmtId="0" fontId="20" fillId="14" borderId="80" xfId="0" applyFont="1" applyFill="1" applyBorder="1" applyAlignment="1">
      <alignment horizontal="center" vertical="center" wrapText="1"/>
    </xf>
    <xf numFmtId="3" fontId="25" fillId="14" borderId="79" xfId="0" applyNumberFormat="1" applyFont="1" applyFill="1" applyBorder="1" applyAlignment="1">
      <alignment vertical="top"/>
    </xf>
    <xf numFmtId="164" fontId="25" fillId="14" borderId="77" xfId="0" applyNumberFormat="1" applyFont="1" applyFill="1" applyBorder="1" applyAlignment="1">
      <alignment vertical="top"/>
    </xf>
    <xf numFmtId="3" fontId="25" fillId="14" borderId="78" xfId="0" applyNumberFormat="1" applyFont="1" applyFill="1" applyBorder="1" applyAlignment="1">
      <alignment vertical="top"/>
    </xf>
    <xf numFmtId="167" fontId="15" fillId="4" borderId="64" xfId="1" applyNumberFormat="1" applyFont="1" applyFill="1" applyBorder="1" applyAlignment="1">
      <alignment vertical="top"/>
    </xf>
    <xf numFmtId="43" fontId="22" fillId="0" borderId="65" xfId="1" applyFont="1" applyFill="1" applyBorder="1" applyAlignment="1">
      <alignment vertical="top"/>
    </xf>
    <xf numFmtId="167" fontId="22" fillId="0" borderId="64" xfId="1" applyNumberFormat="1" applyFont="1" applyFill="1" applyBorder="1" applyAlignment="1">
      <alignment vertical="top"/>
    </xf>
    <xf numFmtId="3" fontId="25" fillId="0" borderId="67" xfId="0" applyNumberFormat="1" applyFont="1" applyFill="1" applyBorder="1" applyAlignment="1">
      <alignment vertical="top"/>
    </xf>
    <xf numFmtId="167" fontId="25" fillId="0" borderId="64" xfId="1" applyNumberFormat="1" applyFont="1" applyFill="1" applyBorder="1" applyAlignment="1">
      <alignment vertical="top"/>
    </xf>
    <xf numFmtId="3" fontId="15" fillId="4" borderId="67" xfId="0" applyNumberFormat="1" applyFont="1" applyFill="1" applyBorder="1" applyAlignment="1">
      <alignment vertical="top"/>
    </xf>
    <xf numFmtId="43" fontId="15" fillId="2" borderId="62" xfId="1" applyFont="1" applyFill="1" applyBorder="1" applyAlignment="1">
      <alignment vertical="top"/>
    </xf>
    <xf numFmtId="43" fontId="15" fillId="2" borderId="64" xfId="1" applyFont="1" applyFill="1" applyBorder="1" applyAlignment="1">
      <alignment vertical="top"/>
    </xf>
    <xf numFmtId="43" fontId="15" fillId="2" borderId="67" xfId="1" applyFont="1" applyFill="1" applyBorder="1" applyAlignment="1">
      <alignment vertical="top"/>
    </xf>
    <xf numFmtId="167" fontId="15" fillId="2" borderId="64" xfId="1" applyNumberFormat="1" applyFont="1" applyFill="1" applyBorder="1" applyAlignment="1">
      <alignment vertical="top"/>
    </xf>
    <xf numFmtId="43" fontId="25" fillId="2" borderId="62" xfId="1" applyFont="1" applyFill="1" applyBorder="1" applyAlignment="1">
      <alignment vertical="top"/>
    </xf>
    <xf numFmtId="43" fontId="25" fillId="2" borderId="63" xfId="1" applyFont="1" applyFill="1" applyBorder="1" applyAlignment="1">
      <alignment vertical="top"/>
    </xf>
    <xf numFmtId="43" fontId="25" fillId="2" borderId="64" xfId="1" applyFont="1" applyFill="1" applyBorder="1" applyAlignment="1">
      <alignment vertical="top"/>
    </xf>
    <xf numFmtId="167" fontId="25" fillId="2" borderId="64" xfId="1" applyNumberFormat="1" applyFont="1" applyFill="1" applyBorder="1" applyAlignment="1">
      <alignment vertical="top"/>
    </xf>
    <xf numFmtId="3" fontId="22" fillId="0" borderId="66" xfId="0" applyNumberFormat="1" applyFont="1" applyFill="1" applyBorder="1" applyAlignment="1">
      <alignment vertical="top"/>
    </xf>
    <xf numFmtId="0" fontId="25" fillId="2" borderId="65" xfId="2" applyFont="1" applyFill="1" applyBorder="1" applyAlignment="1">
      <alignment vertical="center"/>
    </xf>
    <xf numFmtId="164" fontId="25" fillId="2" borderId="63" xfId="0" applyNumberFormat="1" applyFont="1" applyFill="1" applyBorder="1" applyAlignment="1">
      <alignment vertical="top"/>
    </xf>
    <xf numFmtId="164" fontId="25" fillId="2" borderId="65" xfId="0" applyNumberFormat="1" applyFont="1" applyFill="1" applyBorder="1" applyAlignment="1">
      <alignment vertical="top"/>
    </xf>
    <xf numFmtId="0" fontId="15" fillId="14" borderId="61" xfId="0" applyFont="1" applyFill="1" applyBorder="1" applyAlignment="1">
      <alignment vertical="top" wrapText="1"/>
    </xf>
    <xf numFmtId="0" fontId="15" fillId="4" borderId="65" xfId="2" applyFont="1" applyFill="1" applyBorder="1" applyAlignment="1">
      <alignment horizontal="left" vertical="center"/>
    </xf>
    <xf numFmtId="3" fontId="22" fillId="2" borderId="65" xfId="2" applyNumberFormat="1" applyFont="1" applyFill="1" applyBorder="1" applyAlignment="1">
      <alignment vertical="top" wrapText="1"/>
    </xf>
    <xf numFmtId="3" fontId="22" fillId="2" borderId="62" xfId="0" applyNumberFormat="1" applyFont="1" applyFill="1" applyBorder="1" applyAlignment="1">
      <alignment vertical="top"/>
    </xf>
    <xf numFmtId="3" fontId="22" fillId="2" borderId="63" xfId="0" applyNumberFormat="1" applyFont="1" applyFill="1" applyBorder="1" applyAlignment="1">
      <alignment vertical="top"/>
    </xf>
    <xf numFmtId="3" fontId="22" fillId="2" borderId="64" xfId="0" applyNumberFormat="1" applyFont="1" applyFill="1" applyBorder="1" applyAlignment="1">
      <alignment vertical="top"/>
    </xf>
    <xf numFmtId="164" fontId="22" fillId="2" borderId="63" xfId="0" applyNumberFormat="1" applyFont="1" applyFill="1" applyBorder="1" applyAlignment="1">
      <alignment vertical="top"/>
    </xf>
    <xf numFmtId="164" fontId="22" fillId="2" borderId="65" xfId="0" applyNumberFormat="1" applyFont="1" applyFill="1" applyBorder="1" applyAlignment="1">
      <alignment vertical="top"/>
    </xf>
    <xf numFmtId="0" fontId="25" fillId="2" borderId="65" xfId="0" applyFont="1" applyFill="1" applyBorder="1" applyAlignment="1">
      <alignment vertical="top" wrapText="1"/>
    </xf>
    <xf numFmtId="43" fontId="22" fillId="2" borderId="63" xfId="1" applyFont="1" applyFill="1" applyBorder="1" applyAlignment="1">
      <alignment vertical="top"/>
    </xf>
    <xf numFmtId="43" fontId="22" fillId="2" borderId="65" xfId="1" applyFont="1" applyFill="1" applyBorder="1" applyAlignment="1">
      <alignment vertical="top"/>
    </xf>
    <xf numFmtId="164" fontId="15" fillId="2" borderId="63" xfId="0" applyNumberFormat="1" applyFont="1" applyFill="1" applyBorder="1" applyAlignment="1">
      <alignment vertical="top"/>
    </xf>
    <xf numFmtId="164" fontId="15" fillId="2" borderId="65" xfId="0" applyNumberFormat="1" applyFont="1" applyFill="1" applyBorder="1" applyAlignment="1">
      <alignment vertical="top"/>
    </xf>
    <xf numFmtId="0" fontId="22" fillId="2" borderId="65" xfId="2" applyFont="1" applyFill="1" applyBorder="1" applyAlignment="1">
      <alignment vertical="center"/>
    </xf>
    <xf numFmtId="0" fontId="25" fillId="2" borderId="71" xfId="2" applyFont="1" applyFill="1" applyBorder="1" applyAlignment="1">
      <alignment vertical="center"/>
    </xf>
    <xf numFmtId="164" fontId="25" fillId="2" borderId="69" xfId="0" applyNumberFormat="1" applyFont="1" applyFill="1" applyBorder="1" applyAlignment="1">
      <alignment vertical="top"/>
    </xf>
    <xf numFmtId="164" fontId="25" fillId="2" borderId="71" xfId="0" applyNumberFormat="1" applyFont="1" applyFill="1" applyBorder="1" applyAlignment="1">
      <alignment vertical="top"/>
    </xf>
    <xf numFmtId="0" fontId="5" fillId="14" borderId="59" xfId="0" applyFont="1" applyFill="1" applyBorder="1" applyAlignment="1">
      <alignment vertical="top" wrapText="1"/>
    </xf>
    <xf numFmtId="0" fontId="33" fillId="14" borderId="60" xfId="0" applyFont="1" applyFill="1" applyBorder="1" applyAlignment="1">
      <alignment vertical="center" wrapText="1"/>
    </xf>
    <xf numFmtId="3" fontId="28" fillId="14" borderId="60" xfId="0" applyNumberFormat="1" applyFont="1" applyFill="1" applyBorder="1" applyAlignment="1">
      <alignment vertical="top"/>
    </xf>
    <xf numFmtId="0" fontId="32" fillId="4" borderId="64" xfId="0" applyFont="1" applyFill="1" applyBorder="1" applyAlignment="1">
      <alignment vertical="top" wrapText="1"/>
    </xf>
    <xf numFmtId="3" fontId="15" fillId="4" borderId="62" xfId="0" applyNumberFormat="1" applyFont="1" applyFill="1" applyBorder="1" applyAlignment="1"/>
    <xf numFmtId="3" fontId="15" fillId="4" borderId="63" xfId="0" applyNumberFormat="1" applyFont="1" applyFill="1" applyBorder="1" applyAlignment="1"/>
    <xf numFmtId="43" fontId="15" fillId="4" borderId="64" xfId="1" applyFont="1" applyFill="1" applyBorder="1" applyAlignment="1"/>
    <xf numFmtId="164" fontId="15" fillId="4" borderId="63" xfId="0" applyNumberFormat="1" applyFont="1" applyFill="1" applyBorder="1" applyAlignment="1"/>
    <xf numFmtId="3" fontId="20" fillId="4" borderId="64" xfId="0" applyNumberFormat="1" applyFont="1" applyFill="1" applyBorder="1" applyAlignment="1"/>
    <xf numFmtId="3" fontId="6" fillId="2" borderId="63" xfId="2" applyNumberFormat="1" applyFont="1" applyFill="1" applyBorder="1" applyAlignment="1">
      <alignment vertical="top" wrapText="1"/>
    </xf>
    <xf numFmtId="3" fontId="22" fillId="2" borderId="62" xfId="0" applyNumberFormat="1" applyFont="1" applyFill="1" applyBorder="1" applyAlignment="1"/>
    <xf numFmtId="3" fontId="22" fillId="2" borderId="63" xfId="0" applyNumberFormat="1" applyFont="1" applyFill="1" applyBorder="1" applyAlignment="1"/>
    <xf numFmtId="164" fontId="22" fillId="2" borderId="63" xfId="0" applyNumberFormat="1" applyFont="1" applyFill="1" applyBorder="1" applyAlignment="1"/>
    <xf numFmtId="3" fontId="29" fillId="2" borderId="64" xfId="0" applyNumberFormat="1" applyFont="1" applyFill="1" applyBorder="1" applyAlignment="1"/>
    <xf numFmtId="0" fontId="7" fillId="0" borderId="63" xfId="0" applyFont="1" applyFill="1" applyBorder="1" applyAlignment="1">
      <alignment vertical="top"/>
    </xf>
    <xf numFmtId="3" fontId="25" fillId="0" borderId="65" xfId="0" applyNumberFormat="1" applyFont="1" applyFill="1" applyBorder="1" applyAlignment="1">
      <alignment vertical="top"/>
    </xf>
    <xf numFmtId="3" fontId="28" fillId="0" borderId="64" xfId="0" applyNumberFormat="1" applyFont="1" applyFill="1" applyBorder="1" applyAlignment="1">
      <alignment vertical="top"/>
    </xf>
    <xf numFmtId="0" fontId="7" fillId="0" borderId="63" xfId="0" applyFont="1" applyFill="1" applyBorder="1" applyAlignment="1">
      <alignment vertical="top" wrapText="1"/>
    </xf>
    <xf numFmtId="43" fontId="25" fillId="0" borderId="66" xfId="1" applyFont="1" applyFill="1" applyBorder="1" applyAlignment="1">
      <alignment vertical="top"/>
    </xf>
    <xf numFmtId="0" fontId="6" fillId="2" borderId="63" xfId="2" applyFont="1" applyFill="1" applyBorder="1" applyAlignment="1">
      <alignment vertical="top"/>
    </xf>
    <xf numFmtId="3" fontId="29" fillId="0" borderId="64" xfId="0" applyNumberFormat="1" applyFont="1" applyFill="1" applyBorder="1" applyAlignment="1">
      <alignment vertical="top"/>
    </xf>
    <xf numFmtId="0" fontId="5" fillId="4" borderId="77" xfId="2" applyFont="1" applyFill="1" applyBorder="1" applyAlignment="1">
      <alignment horizontal="left" vertical="center"/>
    </xf>
    <xf numFmtId="0" fontId="32" fillId="4" borderId="78" xfId="0" applyFont="1" applyFill="1" applyBorder="1" applyAlignment="1">
      <alignment vertical="top"/>
    </xf>
    <xf numFmtId="3" fontId="15" fillId="4" borderId="79" xfId="0" applyNumberFormat="1" applyFont="1" applyFill="1" applyBorder="1" applyAlignment="1"/>
    <xf numFmtId="3" fontId="15" fillId="4" borderId="77" xfId="0" applyNumberFormat="1" applyFont="1" applyFill="1" applyBorder="1" applyAlignment="1"/>
    <xf numFmtId="43" fontId="15" fillId="4" borderId="78" xfId="1" applyFont="1" applyFill="1" applyBorder="1" applyAlignment="1"/>
    <xf numFmtId="164" fontId="15" fillId="4" borderId="77" xfId="0" applyNumberFormat="1" applyFont="1" applyFill="1" applyBorder="1" applyAlignment="1"/>
    <xf numFmtId="3" fontId="20" fillId="4" borderId="78" xfId="0" applyNumberFormat="1" applyFont="1" applyFill="1" applyBorder="1" applyAlignment="1"/>
    <xf numFmtId="3" fontId="28" fillId="0" borderId="70" xfId="0" applyNumberFormat="1" applyFont="1" applyFill="1" applyBorder="1" applyAlignment="1">
      <alignment vertical="top"/>
    </xf>
    <xf numFmtId="0" fontId="5" fillId="14" borderId="59" xfId="0" applyFont="1" applyFill="1" applyBorder="1" applyAlignment="1">
      <alignment horizontal="left" vertical="top" wrapText="1"/>
    </xf>
    <xf numFmtId="0" fontId="33" fillId="14" borderId="61" xfId="0" applyFont="1" applyFill="1" applyBorder="1" applyAlignment="1">
      <alignment vertical="center" wrapText="1"/>
    </xf>
    <xf numFmtId="3" fontId="15" fillId="14" borderId="58" xfId="0" applyNumberFormat="1" applyFont="1" applyFill="1" applyBorder="1" applyAlignment="1">
      <alignment vertical="top"/>
    </xf>
    <xf numFmtId="3" fontId="15" fillId="14" borderId="59" xfId="0" applyNumberFormat="1" applyFont="1" applyFill="1" applyBorder="1" applyAlignment="1">
      <alignment vertical="top"/>
    </xf>
    <xf numFmtId="3" fontId="15" fillId="14" borderId="60" xfId="0" applyNumberFormat="1" applyFont="1" applyFill="1" applyBorder="1" applyAlignment="1">
      <alignment vertical="top"/>
    </xf>
    <xf numFmtId="3" fontId="5" fillId="14" borderId="58" xfId="0" applyNumberFormat="1" applyFont="1" applyFill="1" applyBorder="1" applyAlignment="1">
      <alignment vertical="top"/>
    </xf>
    <xf numFmtId="164" fontId="5" fillId="14" borderId="59" xfId="0" applyNumberFormat="1" applyFont="1" applyFill="1" applyBorder="1" applyAlignment="1">
      <alignment vertical="top"/>
    </xf>
    <xf numFmtId="3" fontId="5" fillId="14" borderId="59" xfId="0" applyNumberFormat="1" applyFont="1" applyFill="1" applyBorder="1" applyAlignment="1">
      <alignment vertical="top"/>
    </xf>
    <xf numFmtId="3" fontId="20" fillId="14" borderId="60" xfId="0" applyNumberFormat="1" applyFont="1" applyFill="1" applyBorder="1" applyAlignment="1">
      <alignment vertical="top"/>
    </xf>
    <xf numFmtId="0" fontId="32" fillId="4" borderId="65" xfId="0" applyFont="1" applyFill="1" applyBorder="1" applyAlignment="1">
      <alignment vertical="top"/>
    </xf>
    <xf numFmtId="3" fontId="5" fillId="4" borderId="62" xfId="0" applyNumberFormat="1" applyFont="1" applyFill="1" applyBorder="1" applyAlignment="1"/>
    <xf numFmtId="164" fontId="5" fillId="4" borderId="63" xfId="0" applyNumberFormat="1" applyFont="1" applyFill="1" applyBorder="1" applyAlignment="1"/>
    <xf numFmtId="3" fontId="5" fillId="4" borderId="63" xfId="0" applyNumberFormat="1" applyFont="1" applyFill="1" applyBorder="1" applyAlignment="1"/>
    <xf numFmtId="3" fontId="22" fillId="0" borderId="62" xfId="0" applyNumberFormat="1" applyFont="1" applyFill="1" applyBorder="1" applyAlignment="1"/>
    <xf numFmtId="3" fontId="22" fillId="0" borderId="63" xfId="0" applyNumberFormat="1" applyFont="1" applyFill="1" applyBorder="1" applyAlignment="1"/>
    <xf numFmtId="43" fontId="22" fillId="0" borderId="64" xfId="1" applyFont="1" applyFill="1" applyBorder="1" applyAlignment="1"/>
    <xf numFmtId="3" fontId="6" fillId="0" borderId="62" xfId="0" applyNumberFormat="1" applyFont="1" applyFill="1" applyBorder="1" applyAlignment="1"/>
    <xf numFmtId="164" fontId="6" fillId="0" borderId="63" xfId="0" applyNumberFormat="1" applyFont="1" applyFill="1" applyBorder="1" applyAlignment="1"/>
    <xf numFmtId="3" fontId="6" fillId="0" borderId="63" xfId="0" applyNumberFormat="1" applyFont="1" applyFill="1" applyBorder="1" applyAlignment="1"/>
    <xf numFmtId="3" fontId="29" fillId="0" borderId="64" xfId="0" applyNumberFormat="1" applyFont="1" applyFill="1" applyBorder="1" applyAlignment="1"/>
    <xf numFmtId="43" fontId="36" fillId="0" borderId="63" xfId="1" applyFont="1" applyFill="1" applyBorder="1" applyAlignment="1">
      <alignment vertical="top"/>
    </xf>
    <xf numFmtId="43" fontId="28" fillId="0" borderId="64" xfId="1" applyFont="1" applyFill="1" applyBorder="1" applyAlignment="1">
      <alignment vertical="top"/>
    </xf>
    <xf numFmtId="3" fontId="6" fillId="0" borderId="62" xfId="0" applyNumberFormat="1" applyFont="1" applyFill="1" applyBorder="1" applyAlignment="1">
      <alignment vertical="top"/>
    </xf>
    <xf numFmtId="43" fontId="6" fillId="0" borderId="63" xfId="1" applyFont="1" applyFill="1" applyBorder="1" applyAlignment="1">
      <alignment vertical="top"/>
    </xf>
    <xf numFmtId="43" fontId="29" fillId="0" borderId="64" xfId="1" applyFont="1" applyFill="1" applyBorder="1" applyAlignment="1">
      <alignment vertical="top"/>
    </xf>
    <xf numFmtId="43" fontId="15" fillId="4" borderId="63" xfId="1" applyFont="1" applyFill="1" applyBorder="1" applyAlignment="1"/>
    <xf numFmtId="43" fontId="20" fillId="4" borderId="64" xfId="1" applyFont="1" applyFill="1" applyBorder="1" applyAlignment="1"/>
    <xf numFmtId="43" fontId="28" fillId="0" borderId="70" xfId="1" applyFont="1" applyFill="1" applyBorder="1" applyAlignment="1">
      <alignment vertical="top"/>
    </xf>
    <xf numFmtId="3" fontId="5" fillId="14" borderId="98" xfId="0" applyNumberFormat="1" applyFont="1" applyFill="1" applyBorder="1" applyAlignment="1">
      <alignment vertical="top"/>
    </xf>
    <xf numFmtId="3" fontId="20" fillId="14" borderId="124" xfId="0" applyNumberFormat="1" applyFont="1" applyFill="1" applyBorder="1" applyAlignment="1">
      <alignment vertical="top"/>
    </xf>
    <xf numFmtId="3" fontId="15" fillId="4" borderId="64" xfId="0" applyNumberFormat="1" applyFont="1" applyFill="1" applyBorder="1" applyAlignment="1"/>
    <xf numFmtId="3" fontId="5" fillId="4" borderId="67" xfId="0" applyNumberFormat="1" applyFont="1" applyFill="1" applyBorder="1" applyAlignment="1"/>
    <xf numFmtId="3" fontId="33" fillId="4" borderId="64" xfId="0" applyNumberFormat="1" applyFont="1" applyFill="1" applyBorder="1" applyAlignment="1"/>
    <xf numFmtId="3" fontId="22" fillId="2" borderId="64" xfId="0" applyNumberFormat="1" applyFont="1" applyFill="1" applyBorder="1" applyAlignment="1"/>
    <xf numFmtId="3" fontId="6" fillId="2" borderId="67" xfId="0" applyNumberFormat="1" applyFont="1" applyFill="1" applyBorder="1" applyAlignment="1"/>
    <xf numFmtId="164" fontId="6" fillId="2" borderId="63" xfId="0" applyNumberFormat="1" applyFont="1" applyFill="1" applyBorder="1" applyAlignment="1"/>
    <xf numFmtId="3" fontId="6" fillId="2" borderId="63" xfId="0" applyNumberFormat="1" applyFont="1" applyFill="1" applyBorder="1" applyAlignment="1"/>
    <xf numFmtId="3" fontId="40" fillId="2" borderId="64" xfId="0" applyNumberFormat="1" applyFont="1" applyFill="1" applyBorder="1" applyAlignment="1"/>
    <xf numFmtId="0" fontId="7" fillId="2" borderId="63" xfId="0" applyFont="1" applyFill="1" applyBorder="1" applyAlignment="1">
      <alignment vertical="top"/>
    </xf>
    <xf numFmtId="3" fontId="32" fillId="2" borderId="63" xfId="0" applyNumberFormat="1" applyFont="1" applyFill="1" applyBorder="1" applyAlignment="1">
      <alignment vertical="top"/>
    </xf>
    <xf numFmtId="3" fontId="7" fillId="2" borderId="67" xfId="0" applyNumberFormat="1" applyFont="1" applyFill="1" applyBorder="1" applyAlignment="1">
      <alignment vertical="top"/>
    </xf>
    <xf numFmtId="3" fontId="32" fillId="2" borderId="64" xfId="0" applyNumberFormat="1" applyFont="1" applyFill="1" applyBorder="1" applyAlignment="1">
      <alignment vertical="top"/>
    </xf>
    <xf numFmtId="0" fontId="7" fillId="2" borderId="63" xfId="0" applyFont="1" applyFill="1" applyBorder="1" applyAlignment="1">
      <alignment vertical="top" wrapText="1"/>
    </xf>
    <xf numFmtId="3" fontId="7" fillId="0" borderId="63" xfId="0" applyNumberFormat="1" applyFont="1" applyFill="1" applyBorder="1" applyAlignment="1"/>
    <xf numFmtId="3" fontId="32" fillId="0" borderId="64" xfId="0" applyNumberFormat="1" applyFont="1" applyFill="1" applyBorder="1" applyAlignment="1">
      <alignment vertical="top"/>
    </xf>
    <xf numFmtId="3" fontId="25" fillId="0" borderId="62" xfId="0" applyNumberFormat="1" applyFont="1" applyFill="1" applyBorder="1" applyAlignment="1">
      <alignment vertical="center"/>
    </xf>
    <xf numFmtId="3" fontId="6" fillId="2" borderId="67" xfId="0" applyNumberFormat="1" applyFont="1" applyFill="1" applyBorder="1" applyAlignment="1">
      <alignment vertical="top"/>
    </xf>
    <xf numFmtId="164" fontId="6" fillId="2" borderId="63" xfId="0" applyNumberFormat="1" applyFont="1" applyFill="1" applyBorder="1" applyAlignment="1">
      <alignment vertical="top"/>
    </xf>
    <xf numFmtId="3" fontId="6" fillId="2" borderId="63" xfId="0" applyNumberFormat="1" applyFont="1" applyFill="1" applyBorder="1" applyAlignment="1">
      <alignment vertical="top"/>
    </xf>
    <xf numFmtId="3" fontId="29" fillId="2" borderId="64" xfId="0" applyNumberFormat="1" applyFont="1" applyFill="1" applyBorder="1" applyAlignment="1">
      <alignment vertical="top"/>
    </xf>
    <xf numFmtId="0" fontId="7" fillId="2" borderId="63" xfId="2" applyFont="1" applyFill="1" applyBorder="1" applyAlignment="1">
      <alignment vertical="center"/>
    </xf>
    <xf numFmtId="3" fontId="28" fillId="2" borderId="64" xfId="0" applyNumberFormat="1" applyFont="1" applyFill="1" applyBorder="1" applyAlignment="1">
      <alignment vertical="top"/>
    </xf>
    <xf numFmtId="3" fontId="5" fillId="0" borderId="67" xfId="0" applyNumberFormat="1" applyFont="1" applyFill="1" applyBorder="1" applyAlignment="1"/>
    <xf numFmtId="164" fontId="7" fillId="0" borderId="63" xfId="0" applyNumberFormat="1" applyFont="1" applyFill="1" applyBorder="1" applyAlignment="1"/>
    <xf numFmtId="3" fontId="7" fillId="0" borderId="67" xfId="0" applyNumberFormat="1" applyFont="1" applyFill="1" applyBorder="1" applyAlignment="1"/>
    <xf numFmtId="0" fontId="7" fillId="2" borderId="69" xfId="0" applyFont="1" applyFill="1" applyBorder="1" applyAlignment="1">
      <alignment vertical="top" wrapText="1"/>
    </xf>
    <xf numFmtId="3" fontId="7" fillId="0" borderId="96" xfId="0" applyNumberFormat="1" applyFont="1" applyFill="1" applyBorder="1" applyAlignment="1"/>
    <xf numFmtId="164" fontId="7" fillId="0" borderId="69" xfId="0" applyNumberFormat="1" applyFont="1" applyFill="1" applyBorder="1" applyAlignment="1"/>
    <xf numFmtId="3" fontId="7" fillId="0" borderId="69" xfId="0" applyNumberFormat="1" applyFont="1" applyFill="1" applyBorder="1" applyAlignment="1"/>
    <xf numFmtId="0" fontId="7" fillId="14" borderId="101" xfId="0" applyFont="1" applyFill="1" applyBorder="1" applyAlignment="1">
      <alignment vertical="top"/>
    </xf>
    <xf numFmtId="43" fontId="7" fillId="14" borderId="59" xfId="1" applyFont="1" applyFill="1" applyBorder="1" applyAlignment="1">
      <alignment vertical="top"/>
    </xf>
    <xf numFmtId="0" fontId="7" fillId="14" borderId="59" xfId="0" applyFont="1" applyFill="1" applyBorder="1" applyAlignment="1">
      <alignment vertical="top"/>
    </xf>
    <xf numFmtId="0" fontId="7" fillId="14" borderId="104" xfId="0" applyFont="1" applyFill="1" applyBorder="1" applyAlignment="1">
      <alignment vertical="top"/>
    </xf>
    <xf numFmtId="0" fontId="32" fillId="14" borderId="60" xfId="0" applyFont="1" applyFill="1" applyBorder="1" applyAlignment="1">
      <alignment vertical="top"/>
    </xf>
    <xf numFmtId="0" fontId="54" fillId="0" borderId="87" xfId="0" applyFont="1" applyBorder="1" applyAlignment="1">
      <alignment wrapText="1"/>
    </xf>
    <xf numFmtId="3" fontId="15" fillId="4" borderId="102" xfId="0" applyNumberFormat="1" applyFont="1" applyFill="1" applyBorder="1" applyAlignment="1">
      <alignment vertical="top"/>
    </xf>
    <xf numFmtId="1" fontId="15" fillId="4" borderId="62" xfId="0" applyNumberFormat="1" applyFont="1" applyFill="1" applyBorder="1" applyAlignment="1">
      <alignment vertical="top"/>
    </xf>
    <xf numFmtId="1" fontId="15" fillId="4" borderId="63" xfId="0" applyNumberFormat="1" applyFont="1" applyFill="1" applyBorder="1" applyAlignment="1">
      <alignment vertical="top"/>
    </xf>
    <xf numFmtId="1" fontId="20" fillId="4" borderId="64" xfId="0" applyNumberFormat="1" applyFont="1" applyFill="1" applyBorder="1" applyAlignment="1">
      <alignment vertical="top"/>
    </xf>
    <xf numFmtId="3" fontId="6" fillId="2" borderId="63" xfId="2" applyNumberFormat="1" applyFont="1" applyFill="1" applyBorder="1" applyAlignment="1">
      <alignment vertical="center" wrapText="1"/>
    </xf>
    <xf numFmtId="3" fontId="22" fillId="2" borderId="72" xfId="0" applyNumberFormat="1" applyFont="1" applyFill="1" applyBorder="1" applyAlignment="1">
      <alignment vertical="center"/>
    </xf>
    <xf numFmtId="3" fontId="22" fillId="2" borderId="63" xfId="0" applyNumberFormat="1" applyFont="1" applyFill="1" applyBorder="1" applyAlignment="1">
      <alignment vertical="center"/>
    </xf>
    <xf numFmtId="1" fontId="22" fillId="2" borderId="62" xfId="0" applyNumberFormat="1" applyFont="1" applyFill="1" applyBorder="1" applyAlignment="1">
      <alignment vertical="center"/>
    </xf>
    <xf numFmtId="1" fontId="22" fillId="2" borderId="63" xfId="0" applyNumberFormat="1" applyFont="1" applyFill="1" applyBorder="1" applyAlignment="1">
      <alignment vertical="center"/>
    </xf>
    <xf numFmtId="1" fontId="29" fillId="0" borderId="64" xfId="0" applyNumberFormat="1" applyFont="1" applyFill="1" applyBorder="1" applyAlignment="1">
      <alignment vertical="top"/>
    </xf>
    <xf numFmtId="1" fontId="25" fillId="2" borderId="62" xfId="0" applyNumberFormat="1" applyFont="1" applyFill="1" applyBorder="1" applyAlignment="1">
      <alignment vertical="center"/>
    </xf>
    <xf numFmtId="1" fontId="25" fillId="2" borderId="63" xfId="0" applyNumberFormat="1" applyFont="1" applyFill="1" applyBorder="1" applyAlignment="1">
      <alignment vertical="center"/>
    </xf>
    <xf numFmtId="1" fontId="28" fillId="0" borderId="64" xfId="0" applyNumberFormat="1" applyFont="1" applyFill="1" applyBorder="1" applyAlignment="1">
      <alignment vertical="top"/>
    </xf>
    <xf numFmtId="1" fontId="25" fillId="2" borderId="68" xfId="0" applyNumberFormat="1" applyFont="1" applyFill="1" applyBorder="1" applyAlignment="1">
      <alignment vertical="top"/>
    </xf>
    <xf numFmtId="1" fontId="25" fillId="2" borderId="69" xfId="0" applyNumberFormat="1" applyFont="1" applyFill="1" applyBorder="1" applyAlignment="1">
      <alignment vertical="top"/>
    </xf>
    <xf numFmtId="1" fontId="28" fillId="0" borderId="70" xfId="0" applyNumberFormat="1" applyFont="1" applyFill="1" applyBorder="1" applyAlignment="1">
      <alignment vertical="top"/>
    </xf>
    <xf numFmtId="3" fontId="15" fillId="4" borderId="77" xfId="0" applyNumberFormat="1" applyFont="1" applyFill="1" applyBorder="1" applyAlignment="1">
      <alignment vertical="top"/>
    </xf>
    <xf numFmtId="3" fontId="25" fillId="2" borderId="72" xfId="0" applyNumberFormat="1" applyFont="1" applyFill="1" applyBorder="1" applyAlignment="1">
      <alignment vertical="top"/>
    </xf>
    <xf numFmtId="3" fontId="25" fillId="2" borderId="102" xfId="0" applyNumberFormat="1" applyFont="1" applyFill="1" applyBorder="1" applyAlignment="1">
      <alignment vertical="top"/>
    </xf>
    <xf numFmtId="1" fontId="25" fillId="2" borderId="62" xfId="0" applyNumberFormat="1" applyFont="1" applyFill="1" applyBorder="1" applyAlignment="1">
      <alignment vertical="top"/>
    </xf>
    <xf numFmtId="1" fontId="25" fillId="2" borderId="63" xfId="0" applyNumberFormat="1" applyFont="1" applyFill="1" applyBorder="1" applyAlignment="1">
      <alignment vertical="top"/>
    </xf>
    <xf numFmtId="3" fontId="25" fillId="2" borderId="73" xfId="0" applyNumberFormat="1" applyFont="1" applyFill="1" applyBorder="1" applyAlignment="1">
      <alignment vertical="top"/>
    </xf>
    <xf numFmtId="3" fontId="25" fillId="2" borderId="103" xfId="0" applyNumberFormat="1" applyFont="1" applyFill="1" applyBorder="1" applyAlignment="1">
      <alignment vertical="top"/>
    </xf>
    <xf numFmtId="0" fontId="20" fillId="14" borderId="78" xfId="0" applyFont="1" applyFill="1" applyBorder="1" applyAlignment="1">
      <alignment horizontal="center" vertical="center" wrapText="1"/>
    </xf>
    <xf numFmtId="0" fontId="7" fillId="14" borderId="79" xfId="0" applyFont="1" applyFill="1" applyBorder="1" applyAlignment="1">
      <alignment vertical="top"/>
    </xf>
    <xf numFmtId="43" fontId="7" fillId="14" borderId="77" xfId="1" applyFont="1" applyFill="1" applyBorder="1" applyAlignment="1">
      <alignment vertical="top"/>
    </xf>
    <xf numFmtId="0" fontId="7" fillId="14" borderId="77" xfId="0" applyFont="1" applyFill="1" applyBorder="1" applyAlignment="1">
      <alignment vertical="top"/>
    </xf>
    <xf numFmtId="165" fontId="7" fillId="14" borderId="77" xfId="0" applyNumberFormat="1" applyFont="1" applyFill="1" applyBorder="1" applyAlignment="1">
      <alignment vertical="top"/>
    </xf>
    <xf numFmtId="165" fontId="7" fillId="14" borderId="80" xfId="0" applyNumberFormat="1" applyFont="1" applyFill="1" applyBorder="1" applyAlignment="1">
      <alignment vertical="top"/>
    </xf>
    <xf numFmtId="0" fontId="32" fillId="14" borderId="78" xfId="0" applyFont="1" applyFill="1" applyBorder="1" applyAlignment="1">
      <alignment vertical="top"/>
    </xf>
    <xf numFmtId="0" fontId="54" fillId="0" borderId="88" xfId="0" applyFont="1" applyBorder="1" applyAlignment="1">
      <alignment wrapText="1"/>
    </xf>
    <xf numFmtId="0" fontId="28" fillId="4" borderId="64" xfId="0" applyFont="1" applyFill="1" applyBorder="1" applyAlignment="1">
      <alignment vertical="top"/>
    </xf>
    <xf numFmtId="167" fontId="15" fillId="4" borderId="67" xfId="1" applyNumberFormat="1" applyFont="1" applyFill="1" applyBorder="1" applyAlignment="1">
      <alignment vertical="top"/>
    </xf>
    <xf numFmtId="1" fontId="15" fillId="4" borderId="67" xfId="1" applyNumberFormat="1" applyFont="1" applyFill="1" applyBorder="1" applyAlignment="1">
      <alignment horizontal="right" vertical="top"/>
    </xf>
    <xf numFmtId="3" fontId="22" fillId="2" borderId="102" xfId="0" applyNumberFormat="1" applyFont="1" applyFill="1" applyBorder="1" applyAlignment="1">
      <alignment vertical="center"/>
    </xf>
    <xf numFmtId="0" fontId="7" fillId="2" borderId="94" xfId="0" applyFont="1" applyFill="1" applyBorder="1" applyAlignment="1">
      <alignment vertical="top"/>
    </xf>
    <xf numFmtId="3" fontId="22" fillId="2" borderId="57" xfId="0" quotePrefix="1" applyNumberFormat="1" applyFont="1" applyFill="1" applyBorder="1" applyAlignment="1">
      <alignment vertical="top"/>
    </xf>
    <xf numFmtId="3" fontId="16" fillId="5" borderId="64" xfId="0" applyNumberFormat="1" applyFont="1" applyFill="1" applyBorder="1"/>
    <xf numFmtId="164" fontId="6" fillId="5" borderId="63" xfId="2" applyNumberFormat="1" applyFont="1" applyFill="1" applyBorder="1" applyAlignment="1">
      <alignment horizontal="right" vertical="center"/>
    </xf>
    <xf numFmtId="164" fontId="46" fillId="5" borderId="63" xfId="2" applyNumberFormat="1" applyFont="1" applyFill="1" applyBorder="1" applyAlignment="1">
      <alignment horizontal="right" vertical="center"/>
    </xf>
    <xf numFmtId="164" fontId="5" fillId="4" borderId="63" xfId="2" applyNumberFormat="1" applyFont="1" applyFill="1" applyBorder="1" applyAlignment="1">
      <alignment horizontal="right" vertical="center"/>
    </xf>
    <xf numFmtId="3" fontId="5" fillId="4" borderId="64" xfId="2" applyNumberFormat="1" applyFont="1" applyFill="1" applyBorder="1" applyAlignment="1">
      <alignment horizontal="right" vertical="center"/>
    </xf>
    <xf numFmtId="164" fontId="46" fillId="5" borderId="69" xfId="2" applyNumberFormat="1" applyFont="1" applyFill="1" applyBorder="1" applyAlignment="1">
      <alignment horizontal="right" vertical="center"/>
    </xf>
    <xf numFmtId="0" fontId="5" fillId="14" borderId="59" xfId="2" applyFont="1" applyFill="1" applyBorder="1" applyAlignment="1">
      <alignment vertical="center" wrapText="1"/>
    </xf>
    <xf numFmtId="0" fontId="33" fillId="14" borderId="60" xfId="2" applyFont="1" applyFill="1" applyBorder="1" applyAlignment="1">
      <alignment horizontal="center" vertical="center" wrapText="1"/>
    </xf>
    <xf numFmtId="3" fontId="5" fillId="14" borderId="104" xfId="2" applyNumberFormat="1" applyFont="1" applyFill="1" applyBorder="1" applyAlignment="1">
      <alignment horizontal="right" vertical="center"/>
    </xf>
    <xf numFmtId="3" fontId="5" fillId="4" borderId="102" xfId="2" applyNumberFormat="1" applyFont="1" applyFill="1" applyBorder="1" applyAlignment="1"/>
    <xf numFmtId="3" fontId="22" fillId="0" borderId="102" xfId="2" applyNumberFormat="1" applyFont="1" applyFill="1" applyBorder="1" applyAlignment="1">
      <alignment horizontal="right" vertical="center"/>
    </xf>
    <xf numFmtId="3" fontId="6" fillId="0" borderId="62" xfId="2" applyNumberFormat="1" applyFont="1" applyFill="1" applyBorder="1" applyAlignment="1">
      <alignment horizontal="right" vertical="center"/>
    </xf>
    <xf numFmtId="164" fontId="6" fillId="0" borderId="63" xfId="2" applyNumberFormat="1" applyFont="1" applyFill="1" applyBorder="1" applyAlignment="1">
      <alignment horizontal="right" vertical="center"/>
    </xf>
    <xf numFmtId="3" fontId="6" fillId="0" borderId="64" xfId="2" applyNumberFormat="1" applyFont="1" applyFill="1" applyBorder="1" applyAlignment="1">
      <alignment horizontal="right" vertical="center"/>
    </xf>
    <xf numFmtId="3" fontId="7" fillId="0" borderId="138" xfId="2" applyNumberFormat="1" applyFont="1" applyFill="1" applyBorder="1" applyAlignment="1">
      <alignment horizontal="right" vertical="center"/>
    </xf>
    <xf numFmtId="164" fontId="46" fillId="0" borderId="94" xfId="2" applyNumberFormat="1" applyFont="1" applyFill="1" applyBorder="1" applyAlignment="1">
      <alignment horizontal="right" vertical="center"/>
    </xf>
    <xf numFmtId="43" fontId="5" fillId="4" borderId="102" xfId="1" applyFont="1" applyFill="1" applyBorder="1" applyAlignment="1"/>
    <xf numFmtId="43" fontId="42" fillId="0" borderId="102" xfId="1" applyFont="1" applyFill="1" applyBorder="1" applyAlignment="1">
      <alignment vertical="center"/>
    </xf>
    <xf numFmtId="164" fontId="22" fillId="0" borderId="63" xfId="2" applyNumberFormat="1" applyFont="1" applyFill="1" applyBorder="1" applyAlignment="1">
      <alignment horizontal="right" vertical="center"/>
    </xf>
    <xf numFmtId="43" fontId="7" fillId="0" borderId="103" xfId="1" applyFont="1" applyFill="1" applyBorder="1" applyAlignment="1">
      <alignment horizontal="right" vertical="center"/>
    </xf>
    <xf numFmtId="164" fontId="36" fillId="0" borderId="69" xfId="2" applyNumberFormat="1" applyFont="1" applyFill="1" applyBorder="1" applyAlignment="1">
      <alignment horizontal="right" vertical="center"/>
    </xf>
    <xf numFmtId="0" fontId="5" fillId="14" borderId="98" xfId="2" applyFont="1" applyFill="1" applyBorder="1" applyAlignment="1">
      <alignment vertical="center" wrapText="1"/>
    </xf>
    <xf numFmtId="0" fontId="33" fillId="14" borderId="104" xfId="2" applyFont="1" applyFill="1" applyBorder="1" applyAlignment="1">
      <alignment horizontal="center" vertical="center" wrapText="1"/>
    </xf>
    <xf numFmtId="3" fontId="15" fillId="14" borderId="59" xfId="0" applyNumberFormat="1" applyFont="1" applyFill="1" applyBorder="1" applyAlignment="1">
      <alignment horizontal="center" vertical="center" wrapText="1"/>
    </xf>
    <xf numFmtId="3" fontId="15" fillId="14" borderId="60" xfId="0" applyNumberFormat="1" applyFont="1" applyFill="1" applyBorder="1" applyAlignment="1">
      <alignment horizontal="center" vertical="center" wrapText="1"/>
    </xf>
    <xf numFmtId="0" fontId="20" fillId="4" borderId="102" xfId="2" applyFont="1" applyFill="1" applyBorder="1" applyAlignment="1">
      <alignment horizontal="left" vertical="center"/>
    </xf>
    <xf numFmtId="3" fontId="15" fillId="4" borderId="62" xfId="2" applyNumberFormat="1" applyFont="1" applyFill="1" applyBorder="1" applyAlignment="1">
      <alignment horizontal="right" vertical="center"/>
    </xf>
    <xf numFmtId="3" fontId="15" fillId="4" borderId="63" xfId="2" applyNumberFormat="1" applyFont="1" applyFill="1" applyBorder="1" applyAlignment="1">
      <alignment horizontal="right" vertical="center"/>
    </xf>
    <xf numFmtId="3" fontId="16" fillId="0" borderId="63" xfId="3" applyNumberFormat="1" applyFont="1" applyFill="1" applyBorder="1" applyAlignment="1">
      <alignment vertical="center"/>
    </xf>
    <xf numFmtId="3" fontId="16" fillId="0" borderId="64" xfId="3" applyNumberFormat="1" applyFont="1" applyFill="1" applyBorder="1" applyAlignment="1">
      <alignment vertical="center"/>
    </xf>
    <xf numFmtId="164" fontId="36" fillId="0" borderId="63" xfId="2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165" fontId="25" fillId="0" borderId="69" xfId="2" applyNumberFormat="1" applyFont="1" applyFill="1" applyBorder="1" applyAlignment="1">
      <alignment horizontal="right" vertical="center"/>
    </xf>
    <xf numFmtId="0" fontId="5" fillId="14" borderId="77" xfId="2" applyFont="1" applyFill="1" applyBorder="1" applyAlignment="1">
      <alignment vertical="center" wrapText="1"/>
    </xf>
    <xf numFmtId="0" fontId="33" fillId="14" borderId="78" xfId="2" applyFont="1" applyFill="1" applyBorder="1" applyAlignment="1">
      <alignment horizontal="center" vertical="center" wrapText="1"/>
    </xf>
    <xf numFmtId="3" fontId="5" fillId="14" borderId="79" xfId="2" applyNumberFormat="1" applyFont="1" applyFill="1" applyBorder="1" applyAlignment="1">
      <alignment horizontal="right" vertical="center"/>
    </xf>
    <xf numFmtId="3" fontId="5" fillId="14" borderId="77" xfId="2" applyNumberFormat="1" applyFont="1" applyFill="1" applyBorder="1" applyAlignment="1">
      <alignment horizontal="right" vertical="center"/>
    </xf>
    <xf numFmtId="3" fontId="5" fillId="14" borderId="80" xfId="2" applyNumberFormat="1" applyFont="1" applyFill="1" applyBorder="1" applyAlignment="1">
      <alignment horizontal="right" vertical="center"/>
    </xf>
    <xf numFmtId="3" fontId="5" fillId="14" borderId="78" xfId="2" applyNumberFormat="1" applyFont="1" applyFill="1" applyBorder="1" applyAlignment="1">
      <alignment horizontal="right" vertical="center"/>
    </xf>
    <xf numFmtId="43" fontId="5" fillId="4" borderId="65" xfId="1" applyFont="1" applyFill="1" applyBorder="1" applyAlignment="1">
      <alignment horizontal="right" vertical="center"/>
    </xf>
    <xf numFmtId="43" fontId="15" fillId="4" borderId="64" xfId="1" applyFont="1" applyFill="1" applyBorder="1" applyAlignment="1">
      <alignment horizontal="right" vertical="center"/>
    </xf>
    <xf numFmtId="3" fontId="6" fillId="2" borderId="77" xfId="2" applyNumberFormat="1" applyFont="1" applyFill="1" applyBorder="1" applyAlignment="1">
      <alignment vertical="top" wrapText="1"/>
    </xf>
    <xf numFmtId="3" fontId="22" fillId="0" borderId="79" xfId="2" applyNumberFormat="1" applyFont="1" applyFill="1" applyBorder="1" applyAlignment="1">
      <alignment horizontal="right" vertical="center"/>
    </xf>
    <xf numFmtId="3" fontId="22" fillId="0" borderId="77" xfId="2" applyNumberFormat="1" applyFont="1" applyFill="1" applyBorder="1" applyAlignment="1">
      <alignment horizontal="right" vertical="center"/>
    </xf>
    <xf numFmtId="43" fontId="22" fillId="0" borderId="77" xfId="1" applyFont="1" applyFill="1" applyBorder="1" applyAlignment="1">
      <alignment horizontal="right" vertical="center"/>
    </xf>
    <xf numFmtId="43" fontId="22" fillId="0" borderId="80" xfId="1" applyFont="1" applyFill="1" applyBorder="1" applyAlignment="1">
      <alignment horizontal="right" vertical="center"/>
    </xf>
    <xf numFmtId="164" fontId="22" fillId="0" borderId="77" xfId="2" applyNumberFormat="1" applyFont="1" applyFill="1" applyBorder="1" applyAlignment="1">
      <alignment horizontal="right" vertical="center"/>
    </xf>
    <xf numFmtId="43" fontId="22" fillId="0" borderId="78" xfId="1" applyFont="1" applyFill="1" applyBorder="1" applyAlignment="1">
      <alignment horizontal="right" vertical="center"/>
    </xf>
    <xf numFmtId="43" fontId="36" fillId="0" borderId="65" xfId="1" applyFont="1" applyFill="1" applyBorder="1" applyAlignment="1">
      <alignment horizontal="right" vertical="center"/>
    </xf>
    <xf numFmtId="43" fontId="7" fillId="0" borderId="102" xfId="1" applyFont="1" applyFill="1" applyBorder="1" applyAlignment="1">
      <alignment horizontal="right" vertical="center"/>
    </xf>
    <xf numFmtId="43" fontId="16" fillId="0" borderId="102" xfId="1" applyFont="1" applyFill="1" applyBorder="1" applyAlignment="1">
      <alignment vertical="center"/>
    </xf>
    <xf numFmtId="3" fontId="25" fillId="0" borderId="69" xfId="2" applyNumberFormat="1" applyFont="1" applyFill="1" applyBorder="1" applyAlignment="1">
      <alignment horizontal="right" vertical="center"/>
    </xf>
    <xf numFmtId="3" fontId="15" fillId="4" borderId="65" xfId="2" applyNumberFormat="1" applyFont="1" applyFill="1" applyBorder="1" applyAlignment="1">
      <alignment horizontal="right" vertical="center"/>
    </xf>
    <xf numFmtId="164" fontId="5" fillId="4" borderId="65" xfId="2" applyNumberFormat="1" applyFont="1" applyFill="1" applyBorder="1" applyAlignment="1">
      <alignment horizontal="right" vertical="center"/>
    </xf>
    <xf numFmtId="3" fontId="15" fillId="4" borderId="64" xfId="2" applyNumberFormat="1" applyFont="1" applyFill="1" applyBorder="1" applyAlignment="1">
      <alignment horizontal="right" vertical="center"/>
    </xf>
    <xf numFmtId="3" fontId="6" fillId="2" borderId="65" xfId="2" applyNumberFormat="1" applyFont="1" applyFill="1" applyBorder="1" applyAlignment="1">
      <alignment vertical="top" wrapText="1"/>
    </xf>
    <xf numFmtId="164" fontId="22" fillId="0" borderId="65" xfId="2" applyNumberFormat="1" applyFont="1" applyFill="1" applyBorder="1" applyAlignment="1">
      <alignment horizontal="right" vertical="center"/>
    </xf>
    <xf numFmtId="164" fontId="36" fillId="0" borderId="65" xfId="2" applyNumberFormat="1" applyFont="1" applyFill="1" applyBorder="1" applyAlignment="1">
      <alignment horizontal="right" vertical="center"/>
    </xf>
    <xf numFmtId="3" fontId="25" fillId="0" borderId="65" xfId="2" applyNumberFormat="1" applyFont="1" applyFill="1" applyBorder="1" applyAlignment="1">
      <alignment horizontal="right" vertical="center"/>
    </xf>
    <xf numFmtId="3" fontId="25" fillId="0" borderId="64" xfId="2" applyNumberFormat="1" applyFont="1" applyFill="1" applyBorder="1" applyAlignment="1">
      <alignment horizontal="right" vertical="center"/>
    </xf>
    <xf numFmtId="0" fontId="6" fillId="2" borderId="65" xfId="2" applyFont="1" applyFill="1" applyBorder="1" applyAlignment="1">
      <alignment vertical="top"/>
    </xf>
    <xf numFmtId="3" fontId="42" fillId="0" borderId="79" xfId="3" applyNumberFormat="1" applyFont="1" applyFill="1" applyBorder="1" applyAlignment="1">
      <alignment vertical="center"/>
    </xf>
    <xf numFmtId="3" fontId="6" fillId="0" borderId="77" xfId="2" applyNumberFormat="1" applyFont="1" applyFill="1" applyBorder="1" applyAlignment="1">
      <alignment horizontal="right" vertical="center"/>
    </xf>
    <xf numFmtId="3" fontId="22" fillId="0" borderId="80" xfId="2" applyNumberFormat="1" applyFont="1" applyFill="1" applyBorder="1" applyAlignment="1">
      <alignment horizontal="right" vertical="center"/>
    </xf>
    <xf numFmtId="3" fontId="22" fillId="0" borderId="78" xfId="2" applyNumberFormat="1" applyFont="1" applyFill="1" applyBorder="1" applyAlignment="1">
      <alignment horizontal="right" vertical="center"/>
    </xf>
    <xf numFmtId="3" fontId="16" fillId="0" borderId="79" xfId="3" applyNumberFormat="1" applyFont="1" applyFill="1" applyBorder="1" applyAlignment="1">
      <alignment vertical="center"/>
    </xf>
    <xf numFmtId="3" fontId="7" fillId="0" borderId="77" xfId="2" applyNumberFormat="1" applyFont="1" applyFill="1" applyBorder="1" applyAlignment="1">
      <alignment horizontal="right" vertical="center"/>
    </xf>
    <xf numFmtId="3" fontId="25" fillId="0" borderId="77" xfId="2" applyNumberFormat="1" applyFont="1" applyFill="1" applyBorder="1" applyAlignment="1">
      <alignment horizontal="right" vertical="center"/>
    </xf>
    <xf numFmtId="3" fontId="25" fillId="0" borderId="80" xfId="2" applyNumberFormat="1" applyFont="1" applyFill="1" applyBorder="1" applyAlignment="1">
      <alignment horizontal="right" vertical="center"/>
    </xf>
    <xf numFmtId="3" fontId="25" fillId="0" borderId="78" xfId="2" applyNumberFormat="1" applyFont="1" applyFill="1" applyBorder="1" applyAlignment="1">
      <alignment horizontal="right" vertical="center"/>
    </xf>
    <xf numFmtId="3" fontId="15" fillId="4" borderId="63" xfId="2" applyNumberFormat="1" applyFont="1" applyFill="1" applyBorder="1" applyAlignment="1"/>
    <xf numFmtId="0" fontId="7" fillId="0" borderId="71" xfId="2" applyFont="1" applyFill="1" applyBorder="1" applyAlignment="1">
      <alignment vertical="center"/>
    </xf>
    <xf numFmtId="3" fontId="7" fillId="0" borderId="13" xfId="2" applyNumberFormat="1" applyFont="1" applyFill="1" applyBorder="1" applyAlignment="1">
      <alignment horizontal="right" vertical="center"/>
    </xf>
    <xf numFmtId="3" fontId="25" fillId="0" borderId="15" xfId="2" applyNumberFormat="1" applyFont="1" applyFill="1" applyBorder="1" applyAlignment="1">
      <alignment horizontal="right" vertical="center"/>
    </xf>
    <xf numFmtId="164" fontId="36" fillId="0" borderId="71" xfId="2" applyNumberFormat="1" applyFont="1" applyFill="1" applyBorder="1" applyAlignment="1">
      <alignment horizontal="right" vertical="center"/>
    </xf>
    <xf numFmtId="164" fontId="15" fillId="4" borderId="63" xfId="2" applyNumberFormat="1" applyFont="1" applyFill="1" applyBorder="1" applyAlignment="1">
      <alignment horizontal="right" vertical="center"/>
    </xf>
    <xf numFmtId="3" fontId="6" fillId="0" borderId="65" xfId="2" applyNumberFormat="1" applyFont="1" applyFill="1" applyBorder="1" applyAlignment="1">
      <alignment vertical="top" wrapText="1"/>
    </xf>
    <xf numFmtId="3" fontId="25" fillId="0" borderId="70" xfId="2" applyNumberFormat="1" applyFont="1" applyFill="1" applyBorder="1" applyAlignment="1">
      <alignment horizontal="right" vertical="center"/>
    </xf>
    <xf numFmtId="3" fontId="36" fillId="0" borderId="62" xfId="2" applyNumberFormat="1" applyFont="1" applyFill="1" applyBorder="1" applyAlignment="1">
      <alignment horizontal="right" vertical="center"/>
    </xf>
    <xf numFmtId="164" fontId="46" fillId="0" borderId="69" xfId="2" applyNumberFormat="1" applyFont="1" applyFill="1" applyBorder="1" applyAlignment="1">
      <alignment horizontal="right" vertical="center"/>
    </xf>
    <xf numFmtId="43" fontId="46" fillId="0" borderId="71" xfId="1" applyFont="1" applyFill="1" applyBorder="1" applyAlignment="1">
      <alignment horizontal="right" vertical="center"/>
    </xf>
    <xf numFmtId="164" fontId="6" fillId="0" borderId="65" xfId="2" applyNumberFormat="1" applyFont="1" applyFill="1" applyBorder="1" applyAlignment="1">
      <alignment horizontal="right" vertical="center"/>
    </xf>
    <xf numFmtId="164" fontId="46" fillId="0" borderId="65" xfId="2" applyNumberFormat="1" applyFont="1" applyFill="1" applyBorder="1" applyAlignment="1">
      <alignment horizontal="right" vertical="center"/>
    </xf>
    <xf numFmtId="164" fontId="46" fillId="0" borderId="63" xfId="2" applyNumberFormat="1" applyFont="1" applyFill="1" applyBorder="1" applyAlignment="1">
      <alignment horizontal="right" vertical="center"/>
    </xf>
    <xf numFmtId="3" fontId="15" fillId="4" borderId="66" xfId="2" applyNumberFormat="1" applyFont="1" applyFill="1" applyBorder="1" applyAlignment="1">
      <alignment horizontal="right" vertical="center"/>
    </xf>
    <xf numFmtId="3" fontId="22" fillId="0" borderId="66" xfId="2" applyNumberFormat="1" applyFont="1" applyFill="1" applyBorder="1" applyAlignment="1">
      <alignment horizontal="right" vertical="center"/>
    </xf>
    <xf numFmtId="3" fontId="25" fillId="0" borderId="102" xfId="2" applyNumberFormat="1" applyFont="1" applyFill="1" applyBorder="1" applyAlignment="1">
      <alignment horizontal="right" vertical="center"/>
    </xf>
    <xf numFmtId="3" fontId="7" fillId="0" borderId="66" xfId="2" applyNumberFormat="1" applyFont="1" applyFill="1" applyBorder="1" applyAlignment="1">
      <alignment horizontal="right" vertical="center"/>
    </xf>
    <xf numFmtId="3" fontId="16" fillId="0" borderId="65" xfId="3" applyNumberFormat="1" applyFont="1" applyFill="1" applyBorder="1" applyAlignment="1">
      <alignment vertical="center"/>
    </xf>
    <xf numFmtId="3" fontId="16" fillId="0" borderId="66" xfId="3" applyNumberFormat="1" applyFont="1" applyFill="1" applyBorder="1" applyAlignment="1">
      <alignment vertical="center"/>
    </xf>
    <xf numFmtId="3" fontId="15" fillId="4" borderId="67" xfId="2" applyNumberFormat="1" applyFont="1" applyFill="1" applyBorder="1" applyAlignment="1">
      <alignment horizontal="right" vertical="center"/>
    </xf>
    <xf numFmtId="3" fontId="22" fillId="0" borderId="67" xfId="2" applyNumberFormat="1" applyFont="1" applyFill="1" applyBorder="1" applyAlignment="1">
      <alignment horizontal="right" vertical="center"/>
    </xf>
    <xf numFmtId="3" fontId="25" fillId="0" borderId="67" xfId="2" applyNumberFormat="1" applyFont="1" applyFill="1" applyBorder="1" applyAlignment="1">
      <alignment horizontal="right" vertical="center"/>
    </xf>
    <xf numFmtId="43" fontId="46" fillId="0" borderId="63" xfId="1" applyFont="1" applyFill="1" applyBorder="1" applyAlignment="1">
      <alignment horizontal="right" vertical="center"/>
    </xf>
    <xf numFmtId="0" fontId="7" fillId="0" borderId="77" xfId="2" applyFont="1" applyFill="1" applyBorder="1" applyAlignment="1">
      <alignment vertical="top"/>
    </xf>
    <xf numFmtId="3" fontId="16" fillId="0" borderId="77" xfId="3" applyNumberFormat="1" applyFont="1" applyFill="1" applyBorder="1" applyAlignment="1">
      <alignment vertical="center"/>
    </xf>
    <xf numFmtId="43" fontId="16" fillId="0" borderId="77" xfId="1" applyFont="1" applyFill="1" applyBorder="1" applyAlignment="1">
      <alignment vertical="center"/>
    </xf>
    <xf numFmtId="43" fontId="16" fillId="0" borderId="80" xfId="1" applyFont="1" applyFill="1" applyBorder="1" applyAlignment="1">
      <alignment vertical="center"/>
    </xf>
    <xf numFmtId="164" fontId="46" fillId="0" borderId="77" xfId="2" applyNumberFormat="1" applyFont="1" applyFill="1" applyBorder="1" applyAlignment="1">
      <alignment horizontal="right" vertical="center"/>
    </xf>
    <xf numFmtId="43" fontId="46" fillId="0" borderId="77" xfId="1" applyFont="1" applyFill="1" applyBorder="1" applyAlignment="1">
      <alignment horizontal="right" vertical="center"/>
    </xf>
    <xf numFmtId="3" fontId="16" fillId="0" borderId="84" xfId="3" applyNumberFormat="1" applyFont="1" applyFill="1" applyBorder="1" applyAlignment="1">
      <alignment vertical="center"/>
    </xf>
    <xf numFmtId="43" fontId="25" fillId="4" borderId="65" xfId="1" applyFont="1" applyFill="1" applyBorder="1" applyAlignment="1">
      <alignment horizontal="right" vertical="center"/>
    </xf>
    <xf numFmtId="3" fontId="46" fillId="0" borderId="64" xfId="2" applyNumberFormat="1" applyFont="1" applyFill="1" applyBorder="1" applyAlignment="1">
      <alignment horizontal="right" vertical="center"/>
    </xf>
    <xf numFmtId="43" fontId="16" fillId="0" borderId="65" xfId="1" applyFont="1" applyFill="1" applyBorder="1" applyAlignment="1">
      <alignment vertical="center"/>
    </xf>
    <xf numFmtId="43" fontId="7" fillId="4" borderId="65" xfId="1" applyFont="1" applyFill="1" applyBorder="1" applyAlignment="1"/>
    <xf numFmtId="3" fontId="46" fillId="0" borderId="70" xfId="2" applyNumberFormat="1" applyFont="1" applyFill="1" applyBorder="1" applyAlignment="1">
      <alignment horizontal="right" vertical="center"/>
    </xf>
    <xf numFmtId="3" fontId="15" fillId="0" borderId="63" xfId="2" applyNumberFormat="1" applyFont="1" applyFill="1" applyBorder="1" applyAlignment="1">
      <alignment horizontal="right" vertical="center"/>
    </xf>
    <xf numFmtId="3" fontId="5" fillId="14" borderId="101" xfId="2" applyNumberFormat="1" applyFont="1" applyFill="1" applyBorder="1" applyAlignment="1">
      <alignment horizontal="right" vertical="center"/>
    </xf>
    <xf numFmtId="3" fontId="22" fillId="2" borderId="69" xfId="2" applyNumberFormat="1" applyFont="1" applyFill="1" applyBorder="1" applyAlignment="1">
      <alignment vertical="top" wrapText="1"/>
    </xf>
    <xf numFmtId="3" fontId="42" fillId="0" borderId="73" xfId="3" applyNumberFormat="1" applyFont="1" applyFill="1" applyBorder="1" applyAlignment="1">
      <alignment vertical="center"/>
    </xf>
    <xf numFmtId="3" fontId="42" fillId="0" borderId="69" xfId="3" applyNumberFormat="1" applyFont="1" applyFill="1" applyBorder="1" applyAlignment="1">
      <alignment vertical="center"/>
    </xf>
    <xf numFmtId="3" fontId="42" fillId="0" borderId="103" xfId="3" applyNumberFormat="1" applyFont="1" applyFill="1" applyBorder="1" applyAlignment="1">
      <alignment vertical="center"/>
    </xf>
    <xf numFmtId="3" fontId="42" fillId="0" borderId="68" xfId="3" applyNumberFormat="1" applyFont="1" applyFill="1" applyBorder="1" applyAlignment="1">
      <alignment vertical="center"/>
    </xf>
    <xf numFmtId="0" fontId="16" fillId="0" borderId="13" xfId="0" applyFont="1" applyBorder="1"/>
    <xf numFmtId="3" fontId="42" fillId="0" borderId="96" xfId="3" applyNumberFormat="1" applyFont="1" applyFill="1" applyBorder="1" applyAlignment="1">
      <alignment vertical="center"/>
    </xf>
    <xf numFmtId="0" fontId="16" fillId="0" borderId="15" xfId="0" applyFont="1" applyBorder="1"/>
    <xf numFmtId="3" fontId="42" fillId="0" borderId="70" xfId="3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top"/>
    </xf>
    <xf numFmtId="3" fontId="16" fillId="0" borderId="101" xfId="3" applyNumberFormat="1" applyFont="1" applyFill="1" applyBorder="1" applyAlignment="1">
      <alignment vertical="center"/>
    </xf>
    <xf numFmtId="3" fontId="16" fillId="0" borderId="59" xfId="3" applyNumberFormat="1" applyFont="1" applyFill="1" applyBorder="1" applyAlignment="1">
      <alignment vertical="center"/>
    </xf>
    <xf numFmtId="3" fontId="16" fillId="0" borderId="104" xfId="3" applyNumberFormat="1" applyFont="1" applyFill="1" applyBorder="1" applyAlignment="1">
      <alignment vertical="center"/>
    </xf>
    <xf numFmtId="3" fontId="16" fillId="0" borderId="58" xfId="3" applyNumberFormat="1" applyFont="1" applyFill="1" applyBorder="1" applyAlignment="1">
      <alignment vertical="center"/>
    </xf>
    <xf numFmtId="0" fontId="16" fillId="0" borderId="20" xfId="0" applyFont="1" applyBorder="1"/>
    <xf numFmtId="3" fontId="16" fillId="0" borderId="98" xfId="3" applyNumberFormat="1" applyFont="1" applyFill="1" applyBorder="1" applyAlignment="1">
      <alignment vertical="center"/>
    </xf>
    <xf numFmtId="0" fontId="16" fillId="0" borderId="34" xfId="0" applyFont="1" applyBorder="1"/>
    <xf numFmtId="3" fontId="16" fillId="0" borderId="60" xfId="3" applyNumberFormat="1" applyFont="1" applyFill="1" applyBorder="1" applyAlignment="1">
      <alignment vertical="center"/>
    </xf>
    <xf numFmtId="0" fontId="16" fillId="0" borderId="8" xfId="0" applyFont="1" applyBorder="1"/>
    <xf numFmtId="0" fontId="16" fillId="0" borderId="10" xfId="0" applyFont="1" applyBorder="1"/>
    <xf numFmtId="3" fontId="42" fillId="0" borderId="102" xfId="3" applyNumberFormat="1" applyFont="1" applyFill="1" applyBorder="1" applyAlignment="1">
      <alignment vertical="center"/>
    </xf>
    <xf numFmtId="3" fontId="16" fillId="0" borderId="72" xfId="3" applyNumberFormat="1" applyFont="1" applyFill="1" applyBorder="1" applyAlignment="1">
      <alignment vertical="center"/>
    </xf>
    <xf numFmtId="3" fontId="16" fillId="0" borderId="102" xfId="3" applyNumberFormat="1" applyFont="1" applyFill="1" applyBorder="1" applyAlignment="1">
      <alignment vertical="center"/>
    </xf>
    <xf numFmtId="3" fontId="16" fillId="0" borderId="67" xfId="3" applyNumberFormat="1" applyFont="1" applyFill="1" applyBorder="1" applyAlignment="1">
      <alignment vertical="center"/>
    </xf>
    <xf numFmtId="0" fontId="16" fillId="0" borderId="7" xfId="0" applyFont="1" applyBorder="1"/>
    <xf numFmtId="0" fontId="16" fillId="0" borderId="9" xfId="0" applyFont="1" applyBorder="1"/>
    <xf numFmtId="0" fontId="16" fillId="0" borderId="6" xfId="0" applyFont="1" applyBorder="1"/>
    <xf numFmtId="3" fontId="16" fillId="0" borderId="69" xfId="3" applyNumberFormat="1" applyFont="1" applyFill="1" applyBorder="1" applyAlignment="1">
      <alignment vertical="center"/>
    </xf>
    <xf numFmtId="3" fontId="16" fillId="0" borderId="103" xfId="3" applyNumberFormat="1" applyFont="1" applyFill="1" applyBorder="1" applyAlignment="1">
      <alignment vertical="center"/>
    </xf>
    <xf numFmtId="3" fontId="16" fillId="0" borderId="96" xfId="3" applyNumberFormat="1" applyFont="1" applyFill="1" applyBorder="1" applyAlignment="1">
      <alignment vertical="center"/>
    </xf>
    <xf numFmtId="3" fontId="16" fillId="0" borderId="70" xfId="3" applyNumberFormat="1" applyFont="1" applyFill="1" applyBorder="1" applyAlignment="1">
      <alignment vertical="center"/>
    </xf>
    <xf numFmtId="164" fontId="5" fillId="4" borderId="77" xfId="2" applyNumberFormat="1" applyFont="1" applyFill="1" applyBorder="1" applyAlignment="1">
      <alignment horizontal="right" vertical="center"/>
    </xf>
    <xf numFmtId="164" fontId="5" fillId="4" borderId="80" xfId="2" applyNumberFormat="1" applyFont="1" applyFill="1" applyBorder="1" applyAlignment="1">
      <alignment horizontal="right" vertical="center"/>
    </xf>
    <xf numFmtId="0" fontId="16" fillId="0" borderId="0" xfId="0" applyFont="1" applyBorder="1"/>
    <xf numFmtId="0" fontId="32" fillId="0" borderId="92" xfId="2" applyFont="1" applyFill="1" applyBorder="1" applyAlignment="1">
      <alignment horizontal="center" vertical="center" wrapText="1"/>
    </xf>
    <xf numFmtId="3" fontId="22" fillId="15" borderId="114" xfId="0" quotePrefix="1" applyNumberFormat="1" applyFont="1" applyFill="1" applyBorder="1" applyAlignment="1">
      <alignment vertical="center"/>
    </xf>
    <xf numFmtId="3" fontId="15" fillId="4" borderId="101" xfId="2" applyNumberFormat="1" applyFont="1" applyFill="1" applyBorder="1" applyAlignment="1">
      <alignment vertical="top"/>
    </xf>
    <xf numFmtId="3" fontId="15" fillId="4" borderId="61" xfId="2" applyNumberFormat="1" applyFont="1" applyFill="1" applyBorder="1" applyAlignment="1">
      <alignment vertical="top"/>
    </xf>
    <xf numFmtId="3" fontId="15" fillId="4" borderId="60" xfId="2" applyNumberFormat="1" applyFont="1" applyFill="1" applyBorder="1" applyAlignment="1">
      <alignment vertical="top"/>
    </xf>
    <xf numFmtId="165" fontId="5" fillId="4" borderId="61" xfId="2" applyNumberFormat="1" applyFont="1" applyFill="1" applyBorder="1" applyAlignment="1">
      <alignment vertical="top"/>
    </xf>
    <xf numFmtId="3" fontId="5" fillId="4" borderId="60" xfId="2" applyNumberFormat="1" applyFont="1" applyFill="1" applyBorder="1" applyAlignment="1">
      <alignment vertical="top"/>
    </xf>
    <xf numFmtId="3" fontId="22" fillId="5" borderId="72" xfId="2" applyNumberFormat="1" applyFont="1" applyFill="1" applyBorder="1" applyAlignment="1">
      <alignment vertical="top"/>
    </xf>
    <xf numFmtId="3" fontId="6" fillId="5" borderId="64" xfId="2" applyNumberFormat="1" applyFont="1" applyFill="1" applyBorder="1" applyAlignment="1">
      <alignment vertical="top"/>
    </xf>
    <xf numFmtId="3" fontId="7" fillId="5" borderId="64" xfId="2" applyNumberFormat="1" applyFont="1" applyFill="1" applyBorder="1" applyAlignment="1">
      <alignment vertical="top"/>
    </xf>
    <xf numFmtId="43" fontId="25" fillId="5" borderId="72" xfId="1" applyFont="1" applyFill="1" applyBorder="1" applyAlignment="1">
      <alignment vertical="top"/>
    </xf>
    <xf numFmtId="3" fontId="15" fillId="4" borderId="72" xfId="2" applyNumberFormat="1" applyFont="1" applyFill="1" applyBorder="1" applyAlignment="1">
      <alignment vertical="top"/>
    </xf>
    <xf numFmtId="3" fontId="15" fillId="4" borderId="65" xfId="2" applyNumberFormat="1" applyFont="1" applyFill="1" applyBorder="1" applyAlignment="1">
      <alignment vertical="top"/>
    </xf>
    <xf numFmtId="3" fontId="15" fillId="4" borderId="64" xfId="2" applyNumberFormat="1" applyFont="1" applyFill="1" applyBorder="1" applyAlignment="1">
      <alignment vertical="top"/>
    </xf>
    <xf numFmtId="165" fontId="15" fillId="4" borderId="63" xfId="2" applyNumberFormat="1" applyFont="1" applyFill="1" applyBorder="1" applyAlignment="1">
      <alignment vertical="top"/>
    </xf>
    <xf numFmtId="165" fontId="15" fillId="4" borderId="65" xfId="2" applyNumberFormat="1" applyFont="1" applyFill="1" applyBorder="1" applyAlignment="1">
      <alignment vertical="top"/>
    </xf>
    <xf numFmtId="3" fontId="22" fillId="5" borderId="86" xfId="2" applyNumberFormat="1" applyFont="1" applyFill="1" applyBorder="1" applyAlignment="1">
      <alignment vertical="top"/>
    </xf>
    <xf numFmtId="165" fontId="22" fillId="5" borderId="77" xfId="2" applyNumberFormat="1" applyFont="1" applyFill="1" applyBorder="1" applyAlignment="1">
      <alignment vertical="top"/>
    </xf>
    <xf numFmtId="165" fontId="22" fillId="5" borderId="80" xfId="2" applyNumberFormat="1" applyFont="1" applyFill="1" applyBorder="1" applyAlignment="1">
      <alignment vertical="top"/>
    </xf>
    <xf numFmtId="165" fontId="25" fillId="5" borderId="63" xfId="2" applyNumberFormat="1" applyFont="1" applyFill="1" applyBorder="1" applyAlignment="1">
      <alignment vertical="top"/>
    </xf>
    <xf numFmtId="165" fontId="22" fillId="5" borderId="65" xfId="2" applyNumberFormat="1" applyFont="1" applyFill="1" applyBorder="1" applyAlignment="1">
      <alignment vertical="top"/>
    </xf>
    <xf numFmtId="3" fontId="25" fillId="5" borderId="116" xfId="2" applyNumberFormat="1" applyFont="1" applyFill="1" applyBorder="1" applyAlignment="1">
      <alignment vertical="top"/>
    </xf>
    <xf numFmtId="3" fontId="25" fillId="5" borderId="91" xfId="2" applyNumberFormat="1" applyFont="1" applyFill="1" applyBorder="1" applyAlignment="1">
      <alignment vertical="top"/>
    </xf>
    <xf numFmtId="3" fontId="25" fillId="5" borderId="95" xfId="2" applyNumberFormat="1" applyFont="1" applyFill="1" applyBorder="1" applyAlignment="1">
      <alignment vertical="top"/>
    </xf>
    <xf numFmtId="165" fontId="7" fillId="5" borderId="91" xfId="2" applyNumberFormat="1" applyFont="1" applyFill="1" applyBorder="1" applyAlignment="1">
      <alignment vertical="top"/>
    </xf>
    <xf numFmtId="3" fontId="7" fillId="5" borderId="95" xfId="2" applyNumberFormat="1" applyFont="1" applyFill="1" applyBorder="1" applyAlignment="1">
      <alignment vertical="top"/>
    </xf>
    <xf numFmtId="3" fontId="7" fillId="17" borderId="60" xfId="2" applyNumberFormat="1" applyFont="1" applyFill="1" applyBorder="1" applyAlignment="1">
      <alignment horizontal="right" vertical="center"/>
    </xf>
    <xf numFmtId="165" fontId="7" fillId="17" borderId="59" xfId="2" applyNumberFormat="1" applyFont="1" applyFill="1" applyBorder="1" applyAlignment="1">
      <alignment horizontal="right" vertical="center"/>
    </xf>
    <xf numFmtId="3" fontId="5" fillId="19" borderId="64" xfId="2" applyNumberFormat="1" applyFont="1" applyFill="1" applyBorder="1" applyAlignment="1">
      <alignment horizontal="right" vertical="center"/>
    </xf>
    <xf numFmtId="165" fontId="5" fillId="19" borderId="67" xfId="2" applyNumberFormat="1" applyFont="1" applyFill="1" applyBorder="1" applyAlignment="1">
      <alignment horizontal="right" vertical="center"/>
    </xf>
    <xf numFmtId="3" fontId="5" fillId="19" borderId="66" xfId="2" applyNumberFormat="1" applyFont="1" applyFill="1" applyBorder="1" applyAlignment="1">
      <alignment horizontal="right" vertical="center"/>
    </xf>
    <xf numFmtId="3" fontId="6" fillId="17" borderId="64" xfId="2" applyNumberFormat="1" applyFont="1" applyFill="1" applyBorder="1" applyAlignment="1">
      <alignment horizontal="right" vertical="center"/>
    </xf>
    <xf numFmtId="165" fontId="6" fillId="17" borderId="65" xfId="2" applyNumberFormat="1" applyFont="1" applyFill="1" applyBorder="1" applyAlignment="1">
      <alignment horizontal="right" vertical="center"/>
    </xf>
    <xf numFmtId="165" fontId="6" fillId="17" borderId="67" xfId="2" applyNumberFormat="1" applyFont="1" applyFill="1" applyBorder="1" applyAlignment="1">
      <alignment horizontal="right" vertical="center"/>
    </xf>
    <xf numFmtId="3" fontId="6" fillId="17" borderId="66" xfId="2" applyNumberFormat="1" applyFont="1" applyFill="1" applyBorder="1" applyAlignment="1">
      <alignment horizontal="right" vertical="center"/>
    </xf>
    <xf numFmtId="3" fontId="7" fillId="17" borderId="64" xfId="2" applyNumberFormat="1" applyFont="1" applyFill="1" applyBorder="1" applyAlignment="1">
      <alignment horizontal="right" vertical="center"/>
    </xf>
    <xf numFmtId="165" fontId="7" fillId="17" borderId="65" xfId="2" applyNumberFormat="1" applyFont="1" applyFill="1" applyBorder="1" applyAlignment="1">
      <alignment horizontal="right" vertical="center"/>
    </xf>
    <xf numFmtId="165" fontId="7" fillId="17" borderId="67" xfId="2" applyNumberFormat="1" applyFont="1" applyFill="1" applyBorder="1" applyAlignment="1">
      <alignment horizontal="right" vertical="center"/>
    </xf>
    <xf numFmtId="3" fontId="7" fillId="17" borderId="66" xfId="2" applyNumberFormat="1" applyFont="1" applyFill="1" applyBorder="1" applyAlignment="1">
      <alignment horizontal="right" vertical="center"/>
    </xf>
    <xf numFmtId="43" fontId="7" fillId="17" borderId="67" xfId="1" applyFont="1" applyFill="1" applyBorder="1" applyAlignment="1">
      <alignment horizontal="right" vertical="center"/>
    </xf>
    <xf numFmtId="43" fontId="16" fillId="17" borderId="62" xfId="1" applyFont="1" applyFill="1" applyBorder="1" applyAlignment="1">
      <alignment vertical="center"/>
    </xf>
    <xf numFmtId="43" fontId="16" fillId="17" borderId="64" xfId="1" applyFont="1" applyFill="1" applyBorder="1" applyAlignment="1">
      <alignment vertical="center"/>
    </xf>
    <xf numFmtId="43" fontId="16" fillId="17" borderId="66" xfId="1" applyFont="1" applyFill="1" applyBorder="1" applyAlignment="1">
      <alignment vertical="center"/>
    </xf>
    <xf numFmtId="3" fontId="16" fillId="17" borderId="64" xfId="3" applyNumberFormat="1" applyFont="1" applyFill="1" applyBorder="1" applyAlignment="1">
      <alignment vertical="center"/>
    </xf>
    <xf numFmtId="165" fontId="16" fillId="17" borderId="102" xfId="3" applyNumberFormat="1" applyFont="1" applyFill="1" applyBorder="1" applyAlignment="1">
      <alignment vertical="center"/>
    </xf>
    <xf numFmtId="165" fontId="16" fillId="17" borderId="67" xfId="3" applyNumberFormat="1" applyFont="1" applyFill="1" applyBorder="1" applyAlignment="1">
      <alignment vertical="center"/>
    </xf>
    <xf numFmtId="3" fontId="16" fillId="17" borderId="66" xfId="3" applyNumberFormat="1" applyFont="1" applyFill="1" applyBorder="1" applyAlignment="1">
      <alignment vertical="center"/>
    </xf>
    <xf numFmtId="3" fontId="42" fillId="17" borderId="62" xfId="3" applyNumberFormat="1" applyFont="1" applyFill="1" applyBorder="1" applyAlignment="1">
      <alignment vertical="center"/>
    </xf>
    <xf numFmtId="3" fontId="42" fillId="17" borderId="64" xfId="3" applyNumberFormat="1" applyFont="1" applyFill="1" applyBorder="1" applyAlignment="1">
      <alignment vertical="center"/>
    </xf>
    <xf numFmtId="165" fontId="42" fillId="17" borderId="65" xfId="3" applyNumberFormat="1" applyFont="1" applyFill="1" applyBorder="1" applyAlignment="1">
      <alignment vertical="center"/>
    </xf>
    <xf numFmtId="3" fontId="42" fillId="17" borderId="66" xfId="3" applyNumberFormat="1" applyFont="1" applyFill="1" applyBorder="1" applyAlignment="1">
      <alignment vertical="center"/>
    </xf>
    <xf numFmtId="165" fontId="16" fillId="17" borderId="65" xfId="3" applyNumberFormat="1" applyFont="1" applyFill="1" applyBorder="1" applyAlignment="1">
      <alignment vertical="center"/>
    </xf>
    <xf numFmtId="165" fontId="6" fillId="17" borderId="63" xfId="2" applyNumberFormat="1" applyFont="1" applyFill="1" applyBorder="1" applyAlignment="1">
      <alignment horizontal="right" vertical="center"/>
    </xf>
    <xf numFmtId="3" fontId="16" fillId="17" borderId="68" xfId="3" applyNumberFormat="1" applyFont="1" applyFill="1" applyBorder="1" applyAlignment="1">
      <alignment vertical="center"/>
    </xf>
    <xf numFmtId="3" fontId="16" fillId="17" borderId="70" xfId="3" applyNumberFormat="1" applyFont="1" applyFill="1" applyBorder="1" applyAlignment="1">
      <alignment vertical="center"/>
    </xf>
    <xf numFmtId="165" fontId="16" fillId="17" borderId="71" xfId="3" applyNumberFormat="1" applyFont="1" applyFill="1" applyBorder="1" applyAlignment="1">
      <alignment vertical="center"/>
    </xf>
    <xf numFmtId="43" fontId="16" fillId="17" borderId="69" xfId="1" applyFont="1" applyFill="1" applyBorder="1" applyAlignment="1">
      <alignment vertical="center"/>
    </xf>
    <xf numFmtId="3" fontId="16" fillId="17" borderId="85" xfId="3" applyNumberFormat="1" applyFont="1" applyFill="1" applyBorder="1" applyAlignment="1">
      <alignment vertical="center"/>
    </xf>
    <xf numFmtId="0" fontId="5" fillId="14" borderId="59" xfId="2" applyFont="1" applyFill="1" applyBorder="1" applyAlignment="1">
      <alignment vertical="top" wrapText="1"/>
    </xf>
    <xf numFmtId="165" fontId="5" fillId="14" borderId="59" xfId="2" applyNumberFormat="1" applyFont="1" applyFill="1" applyBorder="1" applyAlignment="1">
      <alignment horizontal="right" vertical="center"/>
    </xf>
    <xf numFmtId="165" fontId="5" fillId="14" borderId="61" xfId="2" applyNumberFormat="1" applyFont="1" applyFill="1" applyBorder="1" applyAlignment="1">
      <alignment horizontal="right" vertical="center"/>
    </xf>
    <xf numFmtId="0" fontId="20" fillId="0" borderId="87" xfId="2" applyFont="1" applyFill="1" applyBorder="1" applyAlignment="1">
      <alignment horizontal="center" vertical="center" wrapText="1"/>
    </xf>
    <xf numFmtId="3" fontId="22" fillId="0" borderId="62" xfId="2" applyNumberFormat="1" applyFont="1" applyFill="1" applyBorder="1" applyAlignment="1"/>
    <xf numFmtId="3" fontId="22" fillId="0" borderId="63" xfId="2" applyNumberFormat="1" applyFont="1" applyFill="1" applyBorder="1" applyAlignment="1"/>
    <xf numFmtId="43" fontId="5" fillId="0" borderId="64" xfId="1" applyFont="1" applyFill="1" applyBorder="1" applyAlignment="1"/>
    <xf numFmtId="165" fontId="22" fillId="0" borderId="63" xfId="2" applyNumberFormat="1" applyFont="1" applyFill="1" applyBorder="1" applyAlignment="1"/>
    <xf numFmtId="165" fontId="22" fillId="0" borderId="65" xfId="2" applyNumberFormat="1" applyFont="1" applyFill="1" applyBorder="1" applyAlignment="1"/>
    <xf numFmtId="3" fontId="22" fillId="0" borderId="64" xfId="2" applyNumberFormat="1" applyFont="1" applyFill="1" applyBorder="1" applyAlignment="1"/>
    <xf numFmtId="165" fontId="25" fillId="0" borderId="63" xfId="2" applyNumberFormat="1" applyFont="1" applyFill="1" applyBorder="1" applyAlignment="1">
      <alignment horizontal="right" vertical="center"/>
    </xf>
    <xf numFmtId="3" fontId="5" fillId="0" borderId="62" xfId="2" applyNumberFormat="1" applyFont="1" applyFill="1" applyBorder="1" applyAlignment="1"/>
    <xf numFmtId="3" fontId="5" fillId="0" borderId="63" xfId="2" applyNumberFormat="1" applyFont="1" applyFill="1" applyBorder="1" applyAlignment="1"/>
    <xf numFmtId="3" fontId="5" fillId="0" borderId="64" xfId="2" applyNumberFormat="1" applyFont="1" applyFill="1" applyBorder="1" applyAlignment="1"/>
    <xf numFmtId="165" fontId="42" fillId="0" borderId="65" xfId="3" applyNumberFormat="1" applyFont="1" applyFill="1" applyBorder="1" applyAlignment="1">
      <alignment vertical="center"/>
    </xf>
    <xf numFmtId="0" fontId="33" fillId="14" borderId="124" xfId="2" applyFont="1" applyFill="1" applyBorder="1" applyAlignment="1">
      <alignment horizontal="center" vertical="center" wrapText="1"/>
    </xf>
    <xf numFmtId="0" fontId="20" fillId="0" borderId="124" xfId="2" applyFont="1" applyFill="1" applyBorder="1" applyAlignment="1">
      <alignment horizontal="center" vertical="center" wrapText="1"/>
    </xf>
    <xf numFmtId="0" fontId="20" fillId="4" borderId="66" xfId="2" applyFont="1" applyFill="1" applyBorder="1" applyAlignment="1">
      <alignment horizontal="left" vertical="center"/>
    </xf>
    <xf numFmtId="165" fontId="15" fillId="4" borderId="63" xfId="2" applyNumberFormat="1" applyFont="1" applyFill="1" applyBorder="1" applyAlignment="1">
      <alignment horizontal="right" vertical="center"/>
    </xf>
    <xf numFmtId="165" fontId="15" fillId="4" borderId="65" xfId="2" applyNumberFormat="1" applyFont="1" applyFill="1" applyBorder="1" applyAlignment="1">
      <alignment horizontal="right" vertical="center"/>
    </xf>
    <xf numFmtId="0" fontId="16" fillId="0" borderId="0" xfId="0" applyFont="1" applyFill="1" applyAlignment="1"/>
    <xf numFmtId="43" fontId="25" fillId="0" borderId="64" xfId="1" applyFont="1" applyFill="1" applyBorder="1" applyAlignment="1"/>
    <xf numFmtId="43" fontId="25" fillId="0" borderId="63" xfId="1" applyFont="1" applyFill="1" applyBorder="1" applyAlignment="1"/>
    <xf numFmtId="165" fontId="25" fillId="0" borderId="65" xfId="2" applyNumberFormat="1" applyFont="1" applyFill="1" applyBorder="1" applyAlignment="1">
      <alignment horizontal="right" vertical="center"/>
    </xf>
    <xf numFmtId="0" fontId="16" fillId="3" borderId="0" xfId="0" applyFont="1" applyFill="1" applyAlignment="1"/>
    <xf numFmtId="165" fontId="25" fillId="0" borderId="71" xfId="2" applyNumberFormat="1" applyFont="1" applyFill="1" applyBorder="1" applyAlignment="1">
      <alignment horizontal="right" vertical="center"/>
    </xf>
    <xf numFmtId="3" fontId="22" fillId="0" borderId="72" xfId="2" applyNumberFormat="1" applyFont="1" applyFill="1" applyBorder="1" applyAlignment="1">
      <alignment horizontal="right" vertical="center"/>
    </xf>
    <xf numFmtId="3" fontId="5" fillId="0" borderId="72" xfId="2" applyNumberFormat="1" applyFont="1" applyFill="1" applyBorder="1" applyAlignment="1"/>
    <xf numFmtId="3" fontId="5" fillId="0" borderId="65" xfId="2" applyNumberFormat="1" applyFont="1" applyFill="1" applyBorder="1" applyAlignment="1"/>
    <xf numFmtId="0" fontId="20" fillId="0" borderId="64" xfId="2" applyFont="1" applyFill="1" applyBorder="1" applyAlignment="1">
      <alignment horizontal="left" vertical="center"/>
    </xf>
    <xf numFmtId="43" fontId="6" fillId="0" borderId="64" xfId="1" applyFont="1" applyFill="1" applyBorder="1" applyAlignment="1">
      <alignment horizontal="right" vertical="center"/>
    </xf>
    <xf numFmtId="3" fontId="5" fillId="0" borderId="67" xfId="2" applyNumberFormat="1" applyFont="1" applyFill="1" applyBorder="1" applyAlignment="1"/>
    <xf numFmtId="3" fontId="7" fillId="0" borderId="63" xfId="2" applyNumberFormat="1" applyFont="1" applyFill="1" applyBorder="1" applyAlignment="1"/>
    <xf numFmtId="43" fontId="5" fillId="0" borderId="66" xfId="1" applyFont="1" applyFill="1" applyBorder="1" applyAlignment="1"/>
    <xf numFmtId="3" fontId="7" fillId="0" borderId="63" xfId="2" applyNumberFormat="1" applyFont="1" applyFill="1" applyBorder="1" applyAlignment="1">
      <alignment horizontal="right"/>
    </xf>
    <xf numFmtId="3" fontId="7" fillId="0" borderId="69" xfId="2" applyNumberFormat="1" applyFont="1" applyFill="1" applyBorder="1" applyAlignment="1">
      <alignment horizontal="right"/>
    </xf>
    <xf numFmtId="43" fontId="7" fillId="0" borderId="70" xfId="1" applyFont="1" applyFill="1" applyBorder="1" applyAlignment="1">
      <alignment horizontal="right"/>
    </xf>
    <xf numFmtId="3" fontId="25" fillId="0" borderId="68" xfId="2" applyNumberFormat="1" applyFont="1" applyFill="1" applyBorder="1" applyAlignment="1">
      <alignment horizontal="right" vertical="center"/>
    </xf>
    <xf numFmtId="0" fontId="33" fillId="4" borderId="64" xfId="2" applyFont="1" applyFill="1" applyBorder="1" applyAlignment="1">
      <alignment horizontal="left" vertical="center"/>
    </xf>
    <xf numFmtId="3" fontId="25" fillId="0" borderId="65" xfId="2" applyNumberFormat="1" applyFont="1" applyFill="1" applyBorder="1" applyAlignment="1"/>
    <xf numFmtId="43" fontId="16" fillId="0" borderId="70" xfId="1" applyFont="1" applyFill="1" applyBorder="1" applyAlignment="1">
      <alignment vertical="center"/>
    </xf>
    <xf numFmtId="0" fontId="20" fillId="0" borderId="84" xfId="2" applyFont="1" applyFill="1" applyBorder="1" applyAlignment="1">
      <alignment horizontal="center" vertical="center" wrapText="1"/>
    </xf>
    <xf numFmtId="43" fontId="5" fillId="0" borderId="63" xfId="1" applyFont="1" applyFill="1" applyBorder="1" applyAlignment="1"/>
    <xf numFmtId="43" fontId="16" fillId="0" borderId="64" xfId="1" applyFont="1" applyFill="1" applyBorder="1" applyAlignment="1">
      <alignment vertical="center"/>
    </xf>
    <xf numFmtId="43" fontId="16" fillId="0" borderId="69" xfId="1" applyFont="1" applyFill="1" applyBorder="1" applyAlignment="1">
      <alignment vertical="center"/>
    </xf>
    <xf numFmtId="43" fontId="5" fillId="14" borderId="60" xfId="1" applyFont="1" applyFill="1" applyBorder="1" applyAlignment="1">
      <alignment horizontal="right" vertical="center"/>
    </xf>
    <xf numFmtId="3" fontId="5" fillId="2" borderId="63" xfId="2" applyNumberFormat="1" applyFont="1" applyFill="1" applyBorder="1" applyAlignment="1"/>
    <xf numFmtId="43" fontId="5" fillId="2" borderId="63" xfId="1" applyFont="1" applyFill="1" applyBorder="1" applyAlignment="1"/>
    <xf numFmtId="3" fontId="25" fillId="2" borderId="63" xfId="2" applyNumberFormat="1" applyFont="1" applyFill="1" applyBorder="1" applyAlignment="1"/>
    <xf numFmtId="3" fontId="25" fillId="2" borderId="66" xfId="2" applyNumberFormat="1" applyFont="1" applyFill="1" applyBorder="1" applyAlignment="1"/>
    <xf numFmtId="3" fontId="16" fillId="0" borderId="85" xfId="3" applyNumberFormat="1" applyFont="1" applyFill="1" applyBorder="1" applyAlignment="1">
      <alignment vertical="center"/>
    </xf>
    <xf numFmtId="43" fontId="6" fillId="0" borderId="63" xfId="1" applyFont="1" applyFill="1" applyBorder="1" applyAlignment="1"/>
    <xf numFmtId="43" fontId="6" fillId="0" borderId="64" xfId="1" applyFont="1" applyFill="1" applyBorder="1" applyAlignment="1"/>
    <xf numFmtId="3" fontId="15" fillId="14" borderId="58" xfId="2" applyNumberFormat="1" applyFont="1" applyFill="1" applyBorder="1" applyAlignment="1">
      <alignment horizontal="right" vertical="center"/>
    </xf>
    <xf numFmtId="3" fontId="15" fillId="14" borderId="59" xfId="2" applyNumberFormat="1" applyFont="1" applyFill="1" applyBorder="1" applyAlignment="1">
      <alignment horizontal="right" vertical="center"/>
    </xf>
    <xf numFmtId="3" fontId="15" fillId="14" borderId="60" xfId="2" applyNumberFormat="1" applyFont="1" applyFill="1" applyBorder="1" applyAlignment="1">
      <alignment horizontal="right" vertical="center"/>
    </xf>
    <xf numFmtId="3" fontId="15" fillId="14" borderId="61" xfId="2" applyNumberFormat="1" applyFont="1" applyFill="1" applyBorder="1" applyAlignment="1">
      <alignment horizontal="right" vertical="center"/>
    </xf>
    <xf numFmtId="3" fontId="22" fillId="2" borderId="77" xfId="2" applyNumberFormat="1" applyFont="1" applyFill="1" applyBorder="1" applyAlignment="1">
      <alignment vertical="top" wrapText="1"/>
    </xf>
    <xf numFmtId="3" fontId="22" fillId="0" borderId="79" xfId="2" applyNumberFormat="1" applyFont="1" applyFill="1" applyBorder="1" applyAlignment="1"/>
    <xf numFmtId="3" fontId="22" fillId="0" borderId="77" xfId="2" applyNumberFormat="1" applyFont="1" applyFill="1" applyBorder="1" applyAlignment="1"/>
    <xf numFmtId="43" fontId="22" fillId="0" borderId="78" xfId="1" applyFont="1" applyFill="1" applyBorder="1" applyAlignment="1"/>
    <xf numFmtId="165" fontId="42" fillId="0" borderId="77" xfId="3" applyNumberFormat="1" applyFont="1" applyFill="1" applyBorder="1" applyAlignment="1">
      <alignment vertical="center"/>
    </xf>
    <xf numFmtId="165" fontId="42" fillId="0" borderId="80" xfId="3" applyNumberFormat="1" applyFont="1" applyFill="1" applyBorder="1" applyAlignment="1">
      <alignment vertical="center"/>
    </xf>
    <xf numFmtId="3" fontId="22" fillId="0" borderId="78" xfId="2" applyNumberFormat="1" applyFont="1" applyFill="1" applyBorder="1" applyAlignment="1"/>
    <xf numFmtId="43" fontId="42" fillId="0" borderId="80" xfId="1" applyFont="1" applyFill="1" applyBorder="1" applyAlignment="1">
      <alignment vertical="center"/>
    </xf>
    <xf numFmtId="0" fontId="7" fillId="0" borderId="94" xfId="2" applyFont="1" applyFill="1" applyBorder="1" applyAlignment="1">
      <alignment vertical="center"/>
    </xf>
    <xf numFmtId="3" fontId="25" fillId="0" borderId="93" xfId="2" applyNumberFormat="1" applyFont="1" applyFill="1" applyBorder="1" applyAlignment="1">
      <alignment horizontal="right" vertical="center"/>
    </xf>
    <xf numFmtId="165" fontId="7" fillId="0" borderId="91" xfId="2" applyNumberFormat="1" applyFont="1" applyFill="1" applyBorder="1" applyAlignment="1">
      <alignment horizontal="right" vertical="center"/>
    </xf>
    <xf numFmtId="3" fontId="25" fillId="0" borderId="95" xfId="2" applyNumberFormat="1" applyFont="1" applyFill="1" applyBorder="1" applyAlignment="1">
      <alignment horizontal="right" vertical="center"/>
    </xf>
    <xf numFmtId="3" fontId="22" fillId="2" borderId="62" xfId="2" applyNumberFormat="1" applyFont="1" applyFill="1" applyBorder="1" applyAlignment="1">
      <alignment horizontal="right" vertical="center"/>
    </xf>
    <xf numFmtId="3" fontId="22" fillId="2" borderId="63" xfId="2" applyNumberFormat="1" applyFont="1" applyFill="1" applyBorder="1" applyAlignment="1">
      <alignment horizontal="right" vertical="center"/>
    </xf>
    <xf numFmtId="43" fontId="22" fillId="2" borderId="64" xfId="1" applyFont="1" applyFill="1" applyBorder="1" applyAlignment="1">
      <alignment horizontal="right" vertical="center"/>
    </xf>
    <xf numFmtId="3" fontId="22" fillId="2" borderId="64" xfId="2" applyNumberFormat="1" applyFont="1" applyFill="1" applyBorder="1" applyAlignment="1">
      <alignment horizontal="right" vertical="center"/>
    </xf>
    <xf numFmtId="43" fontId="25" fillId="0" borderId="66" xfId="1" applyFont="1" applyFill="1" applyBorder="1" applyAlignment="1">
      <alignment horizontal="right" vertical="center"/>
    </xf>
    <xf numFmtId="43" fontId="22" fillId="0" borderId="77" xfId="1" applyFont="1" applyFill="1" applyBorder="1" applyAlignment="1"/>
    <xf numFmtId="43" fontId="6" fillId="0" borderId="77" xfId="1" applyFont="1" applyFill="1" applyBorder="1" applyAlignment="1">
      <alignment horizontal="right" vertical="center"/>
    </xf>
    <xf numFmtId="3" fontId="7" fillId="2" borderId="63" xfId="2" applyNumberFormat="1" applyFont="1" applyFill="1" applyBorder="1" applyAlignment="1"/>
    <xf numFmtId="43" fontId="7" fillId="2" borderId="63" xfId="1" applyFont="1" applyFill="1" applyBorder="1" applyAlignment="1"/>
    <xf numFmtId="43" fontId="25" fillId="2" borderId="64" xfId="1" applyFont="1" applyFill="1" applyBorder="1" applyAlignment="1"/>
    <xf numFmtId="43" fontId="7" fillId="0" borderId="69" xfId="1" applyFont="1" applyFill="1" applyBorder="1" applyAlignment="1">
      <alignment horizontal="right"/>
    </xf>
    <xf numFmtId="43" fontId="7" fillId="0" borderId="85" xfId="1" applyFont="1" applyFill="1" applyBorder="1" applyAlignment="1">
      <alignment horizontal="right"/>
    </xf>
    <xf numFmtId="0" fontId="5" fillId="14" borderId="77" xfId="2" applyFont="1" applyFill="1" applyBorder="1" applyAlignment="1">
      <alignment vertical="top" wrapText="1"/>
    </xf>
    <xf numFmtId="0" fontId="25" fillId="0" borderId="63" xfId="2" applyFont="1" applyFill="1" applyBorder="1" applyAlignment="1">
      <alignment vertical="top"/>
    </xf>
    <xf numFmtId="3" fontId="25" fillId="0" borderId="66" xfId="2" applyNumberFormat="1" applyFont="1" applyFill="1" applyBorder="1" applyAlignment="1">
      <alignment horizontal="right" vertical="center"/>
    </xf>
    <xf numFmtId="0" fontId="25" fillId="0" borderId="69" xfId="2" applyFont="1" applyFill="1" applyBorder="1" applyAlignment="1">
      <alignment vertical="top"/>
    </xf>
    <xf numFmtId="43" fontId="25" fillId="2" borderId="69" xfId="1" applyFont="1" applyFill="1" applyBorder="1" applyAlignment="1"/>
    <xf numFmtId="3" fontId="25" fillId="2" borderId="69" xfId="2" applyNumberFormat="1" applyFont="1" applyFill="1" applyBorder="1" applyAlignment="1"/>
    <xf numFmtId="3" fontId="25" fillId="2" borderId="85" xfId="2" applyNumberFormat="1" applyFont="1" applyFill="1" applyBorder="1" applyAlignment="1"/>
    <xf numFmtId="0" fontId="15" fillId="14" borderId="59" xfId="2" applyFont="1" applyFill="1" applyBorder="1" applyAlignment="1">
      <alignment vertical="center" wrapText="1"/>
    </xf>
    <xf numFmtId="0" fontId="15" fillId="4" borderId="94" xfId="2" applyFont="1" applyFill="1" applyBorder="1" applyAlignment="1">
      <alignment horizontal="left" vertical="center"/>
    </xf>
    <xf numFmtId="3" fontId="5" fillId="4" borderId="116" xfId="2" applyNumberFormat="1" applyFont="1" applyFill="1" applyBorder="1" applyAlignment="1"/>
    <xf numFmtId="3" fontId="5" fillId="4" borderId="91" xfId="2" applyNumberFormat="1" applyFont="1" applyFill="1" applyBorder="1" applyAlignment="1"/>
    <xf numFmtId="43" fontId="5" fillId="4" borderId="95" xfId="1" applyFont="1" applyFill="1" applyBorder="1" applyAlignment="1"/>
    <xf numFmtId="165" fontId="5" fillId="4" borderId="94" xfId="2" applyNumberFormat="1" applyFont="1" applyFill="1" applyBorder="1" applyAlignment="1"/>
    <xf numFmtId="3" fontId="15" fillId="4" borderId="94" xfId="2" applyNumberFormat="1" applyFont="1" applyFill="1" applyBorder="1" applyAlignment="1">
      <alignment horizontal="right" vertical="center"/>
    </xf>
    <xf numFmtId="165" fontId="5" fillId="4" borderId="91" xfId="2" applyNumberFormat="1" applyFont="1" applyFill="1" applyBorder="1" applyAlignment="1"/>
    <xf numFmtId="3" fontId="5" fillId="4" borderId="95" xfId="2" applyNumberFormat="1" applyFont="1" applyFill="1" applyBorder="1" applyAlignment="1"/>
    <xf numFmtId="43" fontId="7" fillId="0" borderId="95" xfId="1" applyFont="1" applyFill="1" applyBorder="1" applyAlignment="1">
      <alignment horizontal="right"/>
    </xf>
    <xf numFmtId="43" fontId="25" fillId="0" borderId="69" xfId="1" applyFont="1" applyFill="1" applyBorder="1" applyAlignment="1">
      <alignment horizontal="right"/>
    </xf>
    <xf numFmtId="3" fontId="7" fillId="0" borderId="85" xfId="2" applyNumberFormat="1" applyFont="1" applyFill="1" applyBorder="1" applyAlignment="1">
      <alignment horizontal="right"/>
    </xf>
    <xf numFmtId="0" fontId="5" fillId="14" borderId="59" xfId="2" applyFont="1" applyFill="1" applyBorder="1" applyAlignment="1">
      <alignment horizontal="left" vertical="center" wrapText="1"/>
    </xf>
    <xf numFmtId="3" fontId="25" fillId="0" borderId="94" xfId="2" applyNumberFormat="1" applyFont="1" applyFill="1" applyBorder="1" applyAlignment="1">
      <alignment horizontal="right" vertical="center"/>
    </xf>
    <xf numFmtId="43" fontId="25" fillId="0" borderId="93" xfId="1" applyFont="1" applyFill="1" applyBorder="1" applyAlignment="1">
      <alignment horizontal="right" vertical="center"/>
    </xf>
    <xf numFmtId="165" fontId="25" fillId="0" borderId="94" xfId="2" applyNumberFormat="1" applyFont="1" applyFill="1" applyBorder="1" applyAlignment="1">
      <alignment horizontal="right" vertical="center"/>
    </xf>
    <xf numFmtId="3" fontId="16" fillId="0" borderId="94" xfId="3" applyNumberFormat="1" applyFont="1" applyFill="1" applyBorder="1" applyAlignment="1">
      <alignment vertical="center"/>
    </xf>
    <xf numFmtId="165" fontId="22" fillId="0" borderId="91" xfId="2" applyNumberFormat="1" applyFont="1" applyFill="1" applyBorder="1" applyAlignment="1">
      <alignment horizontal="right" vertical="center"/>
    </xf>
    <xf numFmtId="3" fontId="7" fillId="2" borderId="69" xfId="2" applyNumberFormat="1" applyFont="1" applyFill="1" applyBorder="1" applyAlignment="1"/>
    <xf numFmtId="43" fontId="7" fillId="2" borderId="70" xfId="1" applyFont="1" applyFill="1" applyBorder="1" applyAlignment="1"/>
    <xf numFmtId="3" fontId="36" fillId="2" borderId="69" xfId="2" applyNumberFormat="1" applyFont="1" applyFill="1" applyBorder="1" applyAlignment="1"/>
    <xf numFmtId="0" fontId="15" fillId="14" borderId="59" xfId="2" applyFont="1" applyFill="1" applyBorder="1" applyAlignment="1">
      <alignment vertical="top" wrapText="1"/>
    </xf>
    <xf numFmtId="0" fontId="33" fillId="14" borderId="60" xfId="2" applyFont="1" applyFill="1" applyBorder="1" applyAlignment="1">
      <alignment vertical="top" wrapText="1"/>
    </xf>
    <xf numFmtId="43" fontId="7" fillId="2" borderId="69" xfId="1" applyFont="1" applyFill="1" applyBorder="1" applyAlignment="1"/>
    <xf numFmtId="43" fontId="25" fillId="2" borderId="70" xfId="1" applyFont="1" applyFill="1" applyBorder="1" applyAlignment="1"/>
    <xf numFmtId="43" fontId="25" fillId="0" borderId="68" xfId="1" applyFont="1" applyFill="1" applyBorder="1" applyAlignment="1">
      <alignment horizontal="right" vertical="center"/>
    </xf>
    <xf numFmtId="43" fontId="16" fillId="0" borderId="71" xfId="1" applyFont="1" applyFill="1" applyBorder="1" applyAlignment="1">
      <alignment vertical="center"/>
    </xf>
    <xf numFmtId="0" fontId="15" fillId="14" borderId="77" xfId="2" applyFont="1" applyFill="1" applyBorder="1" applyAlignment="1">
      <alignment vertical="top" wrapText="1"/>
    </xf>
    <xf numFmtId="3" fontId="15" fillId="14" borderId="79" xfId="2" applyNumberFormat="1" applyFont="1" applyFill="1" applyBorder="1" applyAlignment="1">
      <alignment horizontal="right" vertical="center"/>
    </xf>
    <xf numFmtId="3" fontId="15" fillId="14" borderId="77" xfId="2" applyNumberFormat="1" applyFont="1" applyFill="1" applyBorder="1" applyAlignment="1">
      <alignment horizontal="right" vertical="center"/>
    </xf>
    <xf numFmtId="3" fontId="15" fillId="14" borderId="78" xfId="2" applyNumberFormat="1" applyFont="1" applyFill="1" applyBorder="1" applyAlignment="1">
      <alignment horizontal="right" vertical="center"/>
    </xf>
    <xf numFmtId="3" fontId="15" fillId="14" borderId="80" xfId="2" applyNumberFormat="1" applyFont="1" applyFill="1" applyBorder="1" applyAlignment="1">
      <alignment horizontal="right" vertical="center"/>
    </xf>
    <xf numFmtId="43" fontId="42" fillId="0" borderId="66" xfId="1" applyFont="1" applyFill="1" applyBorder="1" applyAlignment="1">
      <alignment vertical="center"/>
    </xf>
    <xf numFmtId="43" fontId="22" fillId="2" borderId="69" xfId="1" applyFont="1" applyFill="1" applyBorder="1" applyAlignment="1"/>
    <xf numFmtId="43" fontId="22" fillId="2" borderId="66" xfId="1" applyFont="1" applyFill="1" applyBorder="1" applyAlignment="1"/>
    <xf numFmtId="0" fontId="25" fillId="0" borderId="94" xfId="2" applyFont="1" applyFill="1" applyBorder="1" applyAlignment="1">
      <alignment vertical="top"/>
    </xf>
    <xf numFmtId="43" fontId="16" fillId="0" borderId="93" xfId="1" applyFont="1" applyFill="1" applyBorder="1" applyAlignment="1">
      <alignment vertical="center"/>
    </xf>
    <xf numFmtId="43" fontId="25" fillId="2" borderId="94" xfId="1" applyFont="1" applyFill="1" applyBorder="1" applyAlignment="1"/>
    <xf numFmtId="43" fontId="25" fillId="2" borderId="100" xfId="1" applyFont="1" applyFill="1" applyBorder="1" applyAlignment="1"/>
    <xf numFmtId="43" fontId="16" fillId="0" borderId="94" xfId="1" applyFont="1" applyFill="1" applyBorder="1" applyAlignment="1">
      <alignment vertical="center"/>
    </xf>
    <xf numFmtId="43" fontId="16" fillId="0" borderId="91" xfId="1" applyFont="1" applyFill="1" applyBorder="1" applyAlignment="1">
      <alignment vertical="center"/>
    </xf>
    <xf numFmtId="43" fontId="25" fillId="0" borderId="95" xfId="1" applyFont="1" applyFill="1" applyBorder="1" applyAlignment="1">
      <alignment horizontal="right" vertical="center"/>
    </xf>
    <xf numFmtId="43" fontId="15" fillId="4" borderId="66" xfId="1" applyFont="1" applyFill="1" applyBorder="1" applyAlignment="1">
      <alignment horizontal="right" vertical="center"/>
    </xf>
    <xf numFmtId="43" fontId="22" fillId="0" borderId="66" xfId="1" applyFont="1" applyFill="1" applyBorder="1" applyAlignment="1">
      <alignment horizontal="right" vertical="center"/>
    </xf>
    <xf numFmtId="43" fontId="25" fillId="2" borderId="85" xfId="1" applyFont="1" applyFill="1" applyBorder="1" applyAlignment="1"/>
    <xf numFmtId="43" fontId="5" fillId="4" borderId="66" xfId="1" applyFont="1" applyFill="1" applyBorder="1" applyAlignment="1">
      <alignment horizontal="right" vertical="center"/>
    </xf>
    <xf numFmtId="43" fontId="22" fillId="0" borderId="63" xfId="1" applyFont="1" applyFill="1" applyBorder="1" applyAlignment="1"/>
    <xf numFmtId="3" fontId="15" fillId="4" borderId="62" xfId="2" applyNumberFormat="1" applyFont="1" applyFill="1" applyBorder="1" applyAlignment="1"/>
    <xf numFmtId="3" fontId="25" fillId="0" borderId="100" xfId="2" applyNumberFormat="1" applyFont="1" applyFill="1" applyBorder="1" applyAlignment="1">
      <alignment horizontal="right" vertical="center"/>
    </xf>
    <xf numFmtId="3" fontId="6" fillId="17" borderId="78" xfId="2" applyNumberFormat="1" applyFont="1" applyFill="1" applyBorder="1" applyAlignment="1">
      <alignment horizontal="right" vertical="center"/>
    </xf>
    <xf numFmtId="165" fontId="6" fillId="17" borderId="77" xfId="2" applyNumberFormat="1" applyFont="1" applyFill="1" applyBorder="1" applyAlignment="1">
      <alignment horizontal="right" vertical="center"/>
    </xf>
    <xf numFmtId="165" fontId="6" fillId="17" borderId="80" xfId="2" applyNumberFormat="1" applyFont="1" applyFill="1" applyBorder="1" applyAlignment="1">
      <alignment horizontal="right" vertical="center"/>
    </xf>
    <xf numFmtId="165" fontId="7" fillId="17" borderId="63" xfId="2" applyNumberFormat="1" applyFont="1" applyFill="1" applyBorder="1" applyAlignment="1">
      <alignment horizontal="right" vertical="center"/>
    </xf>
    <xf numFmtId="43" fontId="6" fillId="17" borderId="80" xfId="1" applyFont="1" applyFill="1" applyBorder="1" applyAlignment="1">
      <alignment horizontal="right" vertical="center"/>
    </xf>
    <xf numFmtId="3" fontId="22" fillId="17" borderId="64" xfId="2" applyNumberFormat="1" applyFont="1" applyFill="1" applyBorder="1" applyAlignment="1">
      <alignment horizontal="right" vertical="center"/>
    </xf>
    <xf numFmtId="43" fontId="7" fillId="17" borderId="65" xfId="1" applyFont="1" applyFill="1" applyBorder="1" applyAlignment="1">
      <alignment horizontal="right" vertical="center"/>
    </xf>
    <xf numFmtId="3" fontId="15" fillId="19" borderId="64" xfId="2" applyNumberFormat="1" applyFont="1" applyFill="1" applyBorder="1" applyAlignment="1">
      <alignment horizontal="right" vertical="center"/>
    </xf>
    <xf numFmtId="3" fontId="22" fillId="17" borderId="78" xfId="2" applyNumberFormat="1" applyFont="1" applyFill="1" applyBorder="1" applyAlignment="1">
      <alignment horizontal="right" vertical="center"/>
    </xf>
    <xf numFmtId="3" fontId="7" fillId="17" borderId="70" xfId="2" applyNumberFormat="1" applyFont="1" applyFill="1" applyBorder="1" applyAlignment="1">
      <alignment horizontal="right" vertical="center"/>
    </xf>
    <xf numFmtId="165" fontId="7" fillId="17" borderId="69" xfId="2" applyNumberFormat="1" applyFont="1" applyFill="1" applyBorder="1" applyAlignment="1">
      <alignment horizontal="right" vertical="center"/>
    </xf>
    <xf numFmtId="165" fontId="7" fillId="17" borderId="71" xfId="2" applyNumberFormat="1" applyFont="1" applyFill="1" applyBorder="1" applyAlignment="1">
      <alignment horizontal="right" vertical="center"/>
    </xf>
    <xf numFmtId="3" fontId="25" fillId="9" borderId="79" xfId="2" applyNumberFormat="1" applyFont="1" applyFill="1" applyBorder="1" applyAlignment="1">
      <alignment horizontal="right" vertical="center"/>
    </xf>
    <xf numFmtId="3" fontId="5" fillId="9" borderId="78" xfId="2" applyNumberFormat="1" applyFont="1" applyFill="1" applyBorder="1" applyAlignment="1">
      <alignment horizontal="right" vertical="center"/>
    </xf>
    <xf numFmtId="165" fontId="25" fillId="0" borderId="77" xfId="2" applyNumberFormat="1" applyFont="1" applyFill="1" applyBorder="1" applyAlignment="1">
      <alignment horizontal="right" vertical="center"/>
    </xf>
    <xf numFmtId="165" fontId="25" fillId="0" borderId="80" xfId="2" applyNumberFormat="1" applyFont="1" applyFill="1" applyBorder="1" applyAlignment="1">
      <alignment horizontal="right" vertical="center"/>
    </xf>
    <xf numFmtId="3" fontId="18" fillId="4" borderId="64" xfId="3" applyNumberFormat="1" applyFont="1" applyFill="1" applyBorder="1" applyAlignment="1">
      <alignment horizontal="right" vertical="center"/>
    </xf>
    <xf numFmtId="3" fontId="42" fillId="2" borderId="64" xfId="3" applyNumberFormat="1" applyFont="1" applyFill="1" applyBorder="1" applyAlignment="1">
      <alignment horizontal="right" vertical="center"/>
    </xf>
    <xf numFmtId="3" fontId="7" fillId="0" borderId="95" xfId="2" applyNumberFormat="1" applyFont="1" applyFill="1" applyBorder="1" applyAlignment="1">
      <alignment horizontal="right"/>
    </xf>
    <xf numFmtId="165" fontId="25" fillId="0" borderId="91" xfId="2" applyNumberFormat="1" applyFont="1" applyFill="1" applyBorder="1" applyAlignment="1">
      <alignment horizontal="right" vertical="center"/>
    </xf>
    <xf numFmtId="43" fontId="5" fillId="4" borderId="64" xfId="1" applyFont="1" applyFill="1" applyBorder="1" applyAlignment="1">
      <alignment horizontal="right" vertical="center"/>
    </xf>
    <xf numFmtId="43" fontId="25" fillId="0" borderId="85" xfId="1" applyFont="1" applyFill="1" applyBorder="1" applyAlignment="1">
      <alignment horizontal="right" vertical="center"/>
    </xf>
    <xf numFmtId="3" fontId="5" fillId="8" borderId="60" xfId="2" applyNumberFormat="1" applyFont="1" applyFill="1" applyBorder="1" applyAlignment="1">
      <alignment horizontal="right" vertical="center"/>
    </xf>
    <xf numFmtId="43" fontId="18" fillId="4" borderId="64" xfId="1" applyFont="1" applyFill="1" applyBorder="1" applyAlignment="1">
      <alignment horizontal="right" vertical="center"/>
    </xf>
    <xf numFmtId="43" fontId="42" fillId="0" borderId="64" xfId="1" applyFont="1" applyFill="1" applyBorder="1" applyAlignment="1">
      <alignment horizontal="right" vertical="center"/>
    </xf>
    <xf numFmtId="43" fontId="25" fillId="2" borderId="62" xfId="1" applyFont="1" applyFill="1" applyBorder="1" applyAlignment="1">
      <alignment horizontal="right" vertical="center"/>
    </xf>
    <xf numFmtId="3" fontId="7" fillId="17" borderId="77" xfId="2" applyNumberFormat="1" applyFont="1" applyFill="1" applyBorder="1" applyAlignment="1">
      <alignment horizontal="right" vertical="center"/>
    </xf>
    <xf numFmtId="3" fontId="7" fillId="17" borderId="80" xfId="2" applyNumberFormat="1" applyFont="1" applyFill="1" applyBorder="1" applyAlignment="1">
      <alignment horizontal="right" vertical="center"/>
    </xf>
    <xf numFmtId="3" fontId="7" fillId="17" borderId="65" xfId="2" applyNumberFormat="1" applyFont="1" applyFill="1" applyBorder="1" applyAlignment="1">
      <alignment horizontal="right" vertical="center"/>
    </xf>
    <xf numFmtId="3" fontId="42" fillId="17" borderId="78" xfId="3" applyNumberFormat="1" applyFont="1" applyFill="1" applyBorder="1" applyAlignment="1">
      <alignment vertical="center"/>
    </xf>
    <xf numFmtId="165" fontId="7" fillId="17" borderId="77" xfId="2" applyNumberFormat="1" applyFont="1" applyFill="1" applyBorder="1" applyAlignment="1">
      <alignment horizontal="right" vertical="center"/>
    </xf>
    <xf numFmtId="165" fontId="7" fillId="17" borderId="80" xfId="2" applyNumberFormat="1" applyFont="1" applyFill="1" applyBorder="1" applyAlignment="1">
      <alignment horizontal="right" vertical="center"/>
    </xf>
    <xf numFmtId="3" fontId="18" fillId="17" borderId="64" xfId="3" applyNumberFormat="1" applyFont="1" applyFill="1" applyBorder="1" applyAlignment="1">
      <alignment vertical="center"/>
    </xf>
    <xf numFmtId="3" fontId="41" fillId="17" borderId="70" xfId="3" applyNumberFormat="1" applyFont="1" applyFill="1" applyBorder="1" applyAlignment="1">
      <alignment vertical="center"/>
    </xf>
    <xf numFmtId="0" fontId="5" fillId="14" borderId="18" xfId="0" applyFont="1" applyFill="1" applyBorder="1" applyAlignment="1">
      <alignment horizontal="left" vertical="center" wrapText="1"/>
    </xf>
    <xf numFmtId="43" fontId="7" fillId="14" borderId="17" xfId="1" applyFont="1" applyFill="1" applyBorder="1" applyAlignment="1">
      <alignment horizontal="right"/>
    </xf>
    <xf numFmtId="43" fontId="7" fillId="14" borderId="20" xfId="1" applyFont="1" applyFill="1" applyBorder="1" applyAlignment="1">
      <alignment horizontal="right"/>
    </xf>
    <xf numFmtId="3" fontId="7" fillId="14" borderId="20" xfId="1" applyNumberFormat="1" applyFont="1" applyFill="1" applyBorder="1" applyAlignment="1">
      <alignment horizontal="right" vertical="center"/>
    </xf>
    <xf numFmtId="43" fontId="7" fillId="14" borderId="81" xfId="1" applyFont="1" applyFill="1" applyBorder="1" applyAlignment="1">
      <alignment horizontal="right"/>
    </xf>
    <xf numFmtId="3" fontId="7" fillId="14" borderId="17" xfId="1" applyNumberFormat="1" applyFont="1" applyFill="1" applyBorder="1" applyAlignment="1">
      <alignment horizontal="right" vertical="center"/>
    </xf>
    <xf numFmtId="43" fontId="7" fillId="14" borderId="34" xfId="1" applyFont="1" applyFill="1" applyBorder="1" applyAlignment="1">
      <alignment horizontal="right"/>
    </xf>
    <xf numFmtId="3" fontId="7" fillId="14" borderId="81" xfId="1" applyNumberFormat="1" applyFont="1" applyFill="1" applyBorder="1" applyAlignment="1">
      <alignment horizontal="right" vertical="center"/>
    </xf>
    <xf numFmtId="0" fontId="15" fillId="4" borderId="117" xfId="2" applyFont="1" applyFill="1" applyBorder="1" applyAlignment="1">
      <alignment horizontal="left" vertical="center"/>
    </xf>
    <xf numFmtId="3" fontId="33" fillId="4" borderId="64" xfId="0" applyNumberFormat="1" applyFont="1" applyFill="1" applyBorder="1" applyAlignment="1">
      <alignment horizontal="right" vertical="center"/>
    </xf>
    <xf numFmtId="3" fontId="5" fillId="4" borderId="62" xfId="0" applyNumberFormat="1" applyFont="1" applyFill="1" applyBorder="1" applyAlignment="1">
      <alignment horizontal="right" vertical="center"/>
    </xf>
    <xf numFmtId="3" fontId="5" fillId="4" borderId="63" xfId="0" applyNumberFormat="1" applyFont="1" applyFill="1" applyBorder="1" applyAlignment="1">
      <alignment horizontal="right" vertical="center"/>
    </xf>
    <xf numFmtId="3" fontId="5" fillId="4" borderId="66" xfId="0" applyNumberFormat="1" applyFont="1" applyFill="1" applyBorder="1" applyAlignment="1">
      <alignment horizontal="right" vertical="center"/>
    </xf>
    <xf numFmtId="3" fontId="5" fillId="4" borderId="93" xfId="0" applyNumberFormat="1" applyFont="1" applyFill="1" applyBorder="1" applyAlignment="1">
      <alignment horizontal="right" vertical="center"/>
    </xf>
    <xf numFmtId="165" fontId="5" fillId="4" borderId="94" xfId="0" applyNumberFormat="1" applyFont="1" applyFill="1" applyBorder="1" applyAlignment="1">
      <alignment horizontal="right" vertical="center"/>
    </xf>
    <xf numFmtId="167" fontId="5" fillId="4" borderId="94" xfId="1" applyNumberFormat="1" applyFont="1" applyFill="1" applyBorder="1" applyAlignment="1">
      <alignment horizontal="right" vertical="center"/>
    </xf>
    <xf numFmtId="165" fontId="5" fillId="4" borderId="91" xfId="0" applyNumberFormat="1" applyFont="1" applyFill="1" applyBorder="1" applyAlignment="1">
      <alignment horizontal="right" vertical="center"/>
    </xf>
    <xf numFmtId="3" fontId="5" fillId="4" borderId="95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3" fontId="18" fillId="0" borderId="62" xfId="3" applyNumberFormat="1" applyFont="1" applyFill="1" applyBorder="1" applyAlignment="1">
      <alignment vertical="center"/>
    </xf>
    <xf numFmtId="3" fontId="18" fillId="0" borderId="63" xfId="3" applyNumberFormat="1" applyFont="1" applyFill="1" applyBorder="1" applyAlignment="1">
      <alignment vertical="center"/>
    </xf>
    <xf numFmtId="3" fontId="18" fillId="0" borderId="63" xfId="3" applyNumberFormat="1" applyFont="1" applyFill="1" applyBorder="1" applyAlignment="1">
      <alignment horizontal="right" vertical="center"/>
    </xf>
    <xf numFmtId="3" fontId="18" fillId="0" borderId="66" xfId="3" applyNumberFormat="1" applyFont="1" applyFill="1" applyBorder="1" applyAlignment="1">
      <alignment horizontal="right" vertical="center"/>
    </xf>
    <xf numFmtId="165" fontId="5" fillId="2" borderId="94" xfId="0" applyNumberFormat="1" applyFont="1" applyFill="1" applyBorder="1" applyAlignment="1">
      <alignment horizontal="right" vertical="center"/>
    </xf>
    <xf numFmtId="165" fontId="5" fillId="2" borderId="91" xfId="0" applyNumberFormat="1" applyFont="1" applyFill="1" applyBorder="1" applyAlignment="1">
      <alignment horizontal="right" vertical="center"/>
    </xf>
    <xf numFmtId="3" fontId="18" fillId="0" borderId="64" xfId="3" applyNumberFormat="1" applyFont="1" applyFill="1" applyBorder="1" applyAlignment="1">
      <alignment horizontal="right" vertical="center"/>
    </xf>
    <xf numFmtId="3" fontId="25" fillId="0" borderId="63" xfId="0" applyNumberFormat="1" applyFont="1" applyFill="1" applyBorder="1" applyAlignment="1">
      <alignment horizontal="right" vertical="center"/>
    </xf>
    <xf numFmtId="3" fontId="7" fillId="0" borderId="63" xfId="0" applyNumberFormat="1" applyFont="1" applyFill="1" applyBorder="1" applyAlignment="1">
      <alignment horizontal="right" vertical="center"/>
    </xf>
    <xf numFmtId="3" fontId="7" fillId="0" borderId="66" xfId="0" applyNumberFormat="1" applyFont="1" applyFill="1" applyBorder="1" applyAlignment="1">
      <alignment horizontal="right" vertical="center"/>
    </xf>
    <xf numFmtId="43" fontId="25" fillId="2" borderId="94" xfId="1" applyFont="1" applyFill="1" applyBorder="1" applyAlignment="1">
      <alignment horizontal="right" vertical="center"/>
    </xf>
    <xf numFmtId="43" fontId="25" fillId="2" borderId="91" xfId="1" applyFont="1" applyFill="1" applyBorder="1" applyAlignment="1">
      <alignment horizontal="right" vertical="center"/>
    </xf>
    <xf numFmtId="0" fontId="7" fillId="0" borderId="67" xfId="0" applyFont="1" applyFill="1" applyBorder="1" applyAlignment="1">
      <alignment horizontal="left" vertical="center"/>
    </xf>
    <xf numFmtId="0" fontId="7" fillId="2" borderId="67" xfId="2" applyFont="1" applyFill="1" applyBorder="1" applyAlignment="1">
      <alignment vertical="top"/>
    </xf>
    <xf numFmtId="3" fontId="5" fillId="2" borderId="63" xfId="0" applyNumberFormat="1" applyFont="1" applyFill="1" applyBorder="1" applyAlignment="1">
      <alignment horizontal="right" vertical="center"/>
    </xf>
    <xf numFmtId="3" fontId="25" fillId="2" borderId="63" xfId="0" applyNumberFormat="1" applyFont="1" applyFill="1" applyBorder="1" applyAlignment="1">
      <alignment horizontal="right" vertical="center"/>
    </xf>
    <xf numFmtId="3" fontId="25" fillId="2" borderId="66" xfId="0" applyNumberFormat="1" applyFont="1" applyFill="1" applyBorder="1" applyAlignment="1">
      <alignment horizontal="right" vertical="center"/>
    </xf>
    <xf numFmtId="3" fontId="7" fillId="0" borderId="62" xfId="1" applyNumberFormat="1" applyFont="1" applyFill="1" applyBorder="1" applyAlignment="1">
      <alignment horizontal="right" vertical="center"/>
    </xf>
    <xf numFmtId="165" fontId="25" fillId="2" borderId="94" xfId="0" applyNumberFormat="1" applyFont="1" applyFill="1" applyBorder="1" applyAlignment="1">
      <alignment horizontal="right" vertical="center"/>
    </xf>
    <xf numFmtId="167" fontId="5" fillId="2" borderId="63" xfId="1" applyNumberFormat="1" applyFont="1" applyFill="1" applyBorder="1" applyAlignment="1">
      <alignment horizontal="right" vertical="center"/>
    </xf>
    <xf numFmtId="165" fontId="25" fillId="2" borderId="91" xfId="0" applyNumberFormat="1" applyFont="1" applyFill="1" applyBorder="1" applyAlignment="1">
      <alignment horizontal="right" vertical="center"/>
    </xf>
    <xf numFmtId="3" fontId="7" fillId="0" borderId="64" xfId="1" applyNumberFormat="1" applyFont="1" applyFill="1" applyBorder="1" applyAlignment="1">
      <alignment horizontal="right" vertical="center"/>
    </xf>
    <xf numFmtId="3" fontId="18" fillId="0" borderId="66" xfId="3" applyNumberFormat="1" applyFont="1" applyFill="1" applyBorder="1" applyAlignment="1">
      <alignment vertical="center"/>
    </xf>
    <xf numFmtId="167" fontId="5" fillId="0" borderId="63" xfId="1" applyNumberFormat="1" applyFont="1" applyFill="1" applyBorder="1" applyAlignment="1">
      <alignment horizontal="right"/>
    </xf>
    <xf numFmtId="3" fontId="18" fillId="0" borderId="64" xfId="3" applyNumberFormat="1" applyFont="1" applyFill="1" applyBorder="1" applyAlignment="1">
      <alignment vertical="center"/>
    </xf>
    <xf numFmtId="43" fontId="7" fillId="0" borderId="63" xfId="1" applyFont="1" applyFill="1" applyBorder="1" applyAlignment="1">
      <alignment horizontal="right"/>
    </xf>
    <xf numFmtId="3" fontId="7" fillId="0" borderId="66" xfId="1" applyNumberFormat="1" applyFont="1" applyFill="1" applyBorder="1" applyAlignment="1">
      <alignment horizontal="right" vertical="center"/>
    </xf>
    <xf numFmtId="167" fontId="7" fillId="0" borderId="63" xfId="1" applyNumberFormat="1" applyFont="1" applyFill="1" applyBorder="1" applyAlignment="1">
      <alignment horizontal="right"/>
    </xf>
    <xf numFmtId="3" fontId="5" fillId="4" borderId="64" xfId="0" applyNumberFormat="1" applyFont="1" applyFill="1" applyBorder="1" applyAlignment="1">
      <alignment horizontal="right" vertical="center"/>
    </xf>
    <xf numFmtId="3" fontId="5" fillId="0" borderId="62" xfId="1" applyNumberFormat="1" applyFont="1" applyFill="1" applyBorder="1" applyAlignment="1">
      <alignment horizontal="right" vertical="center"/>
    </xf>
    <xf numFmtId="3" fontId="5" fillId="0" borderId="64" xfId="1" applyNumberFormat="1" applyFont="1" applyFill="1" applyBorder="1" applyAlignment="1">
      <alignment horizontal="right" vertical="center"/>
    </xf>
    <xf numFmtId="43" fontId="5" fillId="0" borderId="63" xfId="1" applyFont="1" applyFill="1" applyBorder="1" applyAlignment="1">
      <alignment horizontal="right"/>
    </xf>
    <xf numFmtId="3" fontId="5" fillId="0" borderId="63" xfId="1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top"/>
    </xf>
    <xf numFmtId="3" fontId="7" fillId="0" borderId="69" xfId="1" applyNumberFormat="1" applyFont="1" applyFill="1" applyBorder="1" applyAlignment="1">
      <alignment horizontal="right" vertical="center"/>
    </xf>
    <xf numFmtId="3" fontId="7" fillId="0" borderId="85" xfId="1" applyNumberFormat="1" applyFont="1" applyFill="1" applyBorder="1" applyAlignment="1">
      <alignment horizontal="right" vertical="center"/>
    </xf>
    <xf numFmtId="3" fontId="7" fillId="0" borderId="68" xfId="1" applyNumberFormat="1" applyFont="1" applyFill="1" applyBorder="1" applyAlignment="1">
      <alignment horizontal="right" vertical="center"/>
    </xf>
    <xf numFmtId="165" fontId="5" fillId="2" borderId="69" xfId="0" applyNumberFormat="1" applyFont="1" applyFill="1" applyBorder="1" applyAlignment="1">
      <alignment horizontal="right" vertical="center"/>
    </xf>
    <xf numFmtId="167" fontId="7" fillId="0" borderId="69" xfId="1" applyNumberFormat="1" applyFont="1" applyFill="1" applyBorder="1" applyAlignment="1">
      <alignment horizontal="right"/>
    </xf>
    <xf numFmtId="165" fontId="5" fillId="2" borderId="71" xfId="0" applyNumberFormat="1" applyFont="1" applyFill="1" applyBorder="1" applyAlignment="1">
      <alignment horizontal="right" vertical="center"/>
    </xf>
    <xf numFmtId="3" fontId="7" fillId="0" borderId="70" xfId="1" applyNumberFormat="1" applyFont="1" applyFill="1" applyBorder="1" applyAlignment="1">
      <alignment horizontal="right" vertical="center"/>
    </xf>
    <xf numFmtId="3" fontId="7" fillId="17" borderId="6" xfId="2" applyNumberFormat="1" applyFont="1" applyFill="1" applyBorder="1" applyAlignment="1">
      <alignment horizontal="right" vertical="center"/>
    </xf>
    <xf numFmtId="3" fontId="16" fillId="17" borderId="95" xfId="3" applyNumberFormat="1" applyFont="1" applyFill="1" applyBorder="1" applyAlignment="1">
      <alignment vertical="center"/>
    </xf>
    <xf numFmtId="0" fontId="5" fillId="14" borderId="98" xfId="2" applyFont="1" applyFill="1" applyBorder="1" applyAlignment="1">
      <alignment vertical="top" wrapText="1"/>
    </xf>
    <xf numFmtId="0" fontId="7" fillId="0" borderId="67" xfId="2" applyFont="1" applyFill="1" applyBorder="1" applyAlignment="1">
      <alignment horizontal="left" vertical="center"/>
    </xf>
    <xf numFmtId="0" fontId="7" fillId="0" borderId="96" xfId="2" applyFont="1" applyFill="1" applyBorder="1" applyAlignment="1">
      <alignment horizontal="left" vertical="center"/>
    </xf>
    <xf numFmtId="3" fontId="7" fillId="0" borderId="31" xfId="1" applyNumberFormat="1" applyFont="1" applyFill="1" applyBorder="1" applyAlignment="1">
      <alignment horizontal="right" vertical="center"/>
    </xf>
    <xf numFmtId="3" fontId="5" fillId="19" borderId="101" xfId="0" applyNumberFormat="1" applyFont="1" applyFill="1" applyBorder="1" applyAlignment="1">
      <alignment horizontal="right" vertical="center"/>
    </xf>
    <xf numFmtId="3" fontId="5" fillId="19" borderId="61" xfId="0" applyNumberFormat="1" applyFont="1" applyFill="1" applyBorder="1" applyAlignment="1">
      <alignment horizontal="right" vertical="center"/>
    </xf>
    <xf numFmtId="3" fontId="5" fillId="19" borderId="60" xfId="0" applyNumberFormat="1" applyFont="1" applyFill="1" applyBorder="1" applyAlignment="1">
      <alignment horizontal="right" vertical="center"/>
    </xf>
    <xf numFmtId="165" fontId="15" fillId="19" borderId="61" xfId="0" applyNumberFormat="1" applyFont="1" applyFill="1" applyBorder="1" applyAlignment="1">
      <alignment horizontal="right" vertical="center"/>
    </xf>
    <xf numFmtId="3" fontId="6" fillId="16" borderId="86" xfId="2" applyNumberFormat="1" applyFont="1" applyFill="1" applyBorder="1" applyAlignment="1">
      <alignment horizontal="right" vertical="center"/>
    </xf>
    <xf numFmtId="3" fontId="6" fillId="16" borderId="80" xfId="2" applyNumberFormat="1" applyFont="1" applyFill="1" applyBorder="1" applyAlignment="1">
      <alignment horizontal="right" vertical="center"/>
    </xf>
    <xf numFmtId="3" fontId="6" fillId="16" borderId="78" xfId="2" applyNumberFormat="1" applyFont="1" applyFill="1" applyBorder="1" applyAlignment="1">
      <alignment horizontal="right" vertical="center"/>
    </xf>
    <xf numFmtId="165" fontId="22" fillId="16" borderId="80" xfId="2" applyNumberFormat="1" applyFont="1" applyFill="1" applyBorder="1" applyAlignment="1">
      <alignment horizontal="right" vertical="center"/>
    </xf>
    <xf numFmtId="3" fontId="22" fillId="16" borderId="78" xfId="2" applyNumberFormat="1" applyFont="1" applyFill="1" applyBorder="1" applyAlignment="1">
      <alignment horizontal="right" vertical="center"/>
    </xf>
    <xf numFmtId="3" fontId="7" fillId="16" borderId="65" xfId="2" applyNumberFormat="1" applyFont="1" applyFill="1" applyBorder="1" applyAlignment="1">
      <alignment horizontal="right" vertical="center"/>
    </xf>
    <xf numFmtId="3" fontId="7" fillId="16" borderId="64" xfId="2" applyNumberFormat="1" applyFont="1" applyFill="1" applyBorder="1" applyAlignment="1">
      <alignment horizontal="right" vertical="center"/>
    </xf>
    <xf numFmtId="165" fontId="25" fillId="16" borderId="65" xfId="2" applyNumberFormat="1" applyFont="1" applyFill="1" applyBorder="1" applyAlignment="1">
      <alignment horizontal="right" vertical="center"/>
    </xf>
    <xf numFmtId="43" fontId="25" fillId="16" borderId="65" xfId="1" applyFont="1" applyFill="1" applyBorder="1" applyAlignment="1">
      <alignment horizontal="right" vertical="center"/>
    </xf>
    <xf numFmtId="3" fontId="5" fillId="19" borderId="72" xfId="2" applyNumberFormat="1" applyFont="1" applyFill="1" applyBorder="1" applyAlignment="1"/>
    <xf numFmtId="3" fontId="5" fillId="19" borderId="65" xfId="2" applyNumberFormat="1" applyFont="1" applyFill="1" applyBorder="1" applyAlignment="1"/>
    <xf numFmtId="3" fontId="5" fillId="19" borderId="102" xfId="2" applyNumberFormat="1" applyFont="1" applyFill="1" applyBorder="1" applyAlignment="1"/>
    <xf numFmtId="3" fontId="5" fillId="19" borderId="64" xfId="2" applyNumberFormat="1" applyFont="1" applyFill="1" applyBorder="1" applyAlignment="1"/>
    <xf numFmtId="165" fontId="15" fillId="19" borderId="65" xfId="0" applyNumberFormat="1" applyFont="1" applyFill="1" applyBorder="1" applyAlignment="1">
      <alignment horizontal="right" vertical="center"/>
    </xf>
    <xf numFmtId="3" fontId="6" fillId="16" borderId="77" xfId="2" applyNumberFormat="1" applyFont="1" applyFill="1" applyBorder="1" applyAlignment="1">
      <alignment horizontal="right" vertical="center"/>
    </xf>
    <xf numFmtId="3" fontId="6" fillId="16" borderId="128" xfId="2" applyNumberFormat="1" applyFont="1" applyFill="1" applyBorder="1" applyAlignment="1">
      <alignment horizontal="right" vertical="center"/>
    </xf>
    <xf numFmtId="3" fontId="7" fillId="16" borderId="102" xfId="2" applyNumberFormat="1" applyFont="1" applyFill="1" applyBorder="1" applyAlignment="1">
      <alignment horizontal="right" vertical="center"/>
    </xf>
    <xf numFmtId="3" fontId="7" fillId="16" borderId="73" xfId="2" applyNumberFormat="1" applyFont="1" applyFill="1" applyBorder="1" applyAlignment="1">
      <alignment horizontal="right" vertical="center"/>
    </xf>
    <xf numFmtId="3" fontId="7" fillId="16" borderId="71" xfId="2" applyNumberFormat="1" applyFont="1" applyFill="1" applyBorder="1" applyAlignment="1">
      <alignment horizontal="right" vertical="center"/>
    </xf>
    <xf numFmtId="3" fontId="7" fillId="16" borderId="69" xfId="2" applyNumberFormat="1" applyFont="1" applyFill="1" applyBorder="1" applyAlignment="1">
      <alignment horizontal="right" vertical="center"/>
    </xf>
    <xf numFmtId="3" fontId="7" fillId="16" borderId="103" xfId="2" applyNumberFormat="1" applyFont="1" applyFill="1" applyBorder="1" applyAlignment="1">
      <alignment horizontal="right" vertical="center"/>
    </xf>
    <xf numFmtId="3" fontId="7" fillId="16" borderId="70" xfId="2" applyNumberFormat="1" applyFont="1" applyFill="1" applyBorder="1" applyAlignment="1">
      <alignment horizontal="right" vertical="center"/>
    </xf>
    <xf numFmtId="0" fontId="5" fillId="14" borderId="59" xfId="0" applyFont="1" applyFill="1" applyBorder="1" applyAlignment="1">
      <alignment horizontal="left" vertical="center" wrapText="1"/>
    </xf>
    <xf numFmtId="0" fontId="33" fillId="14" borderId="60" xfId="0" applyFont="1" applyFill="1" applyBorder="1" applyAlignment="1">
      <alignment horizontal="left" vertical="center" wrapText="1"/>
    </xf>
    <xf numFmtId="3" fontId="5" fillId="14" borderId="58" xfId="0" applyNumberFormat="1" applyFont="1" applyFill="1" applyBorder="1" applyAlignment="1">
      <alignment vertical="center"/>
    </xf>
    <xf numFmtId="3" fontId="5" fillId="14" borderId="59" xfId="0" applyNumberFormat="1" applyFont="1" applyFill="1" applyBorder="1" applyAlignment="1">
      <alignment vertical="center"/>
    </xf>
    <xf numFmtId="3" fontId="5" fillId="14" borderId="98" xfId="0" applyNumberFormat="1" applyFont="1" applyFill="1" applyBorder="1" applyAlignment="1">
      <alignment vertical="center"/>
    </xf>
    <xf numFmtId="3" fontId="5" fillId="14" borderId="60" xfId="0" applyNumberFormat="1" applyFont="1" applyFill="1" applyBorder="1" applyAlignment="1">
      <alignment vertical="center"/>
    </xf>
    <xf numFmtId="3" fontId="5" fillId="14" borderId="61" xfId="0" applyNumberFormat="1" applyFont="1" applyFill="1" applyBorder="1" applyAlignment="1">
      <alignment vertical="center"/>
    </xf>
    <xf numFmtId="3" fontId="5" fillId="4" borderId="102" xfId="0" applyNumberFormat="1" applyFont="1" applyFill="1" applyBorder="1" applyAlignment="1">
      <alignment horizontal="right" vertical="center"/>
    </xf>
    <xf numFmtId="3" fontId="5" fillId="4" borderId="67" xfId="0" applyNumberFormat="1" applyFont="1" applyFill="1" applyBorder="1" applyAlignment="1">
      <alignment horizontal="right" vertical="center"/>
    </xf>
    <xf numFmtId="165" fontId="5" fillId="4" borderId="63" xfId="2" applyNumberFormat="1" applyFont="1" applyFill="1" applyBorder="1" applyAlignment="1">
      <alignment horizontal="right" vertical="center"/>
    </xf>
    <xf numFmtId="3" fontId="22" fillId="0" borderId="62" xfId="0" applyNumberFormat="1" applyFont="1" applyFill="1" applyBorder="1" applyAlignment="1">
      <alignment horizontal="right" vertical="center"/>
    </xf>
    <xf numFmtId="3" fontId="6" fillId="0" borderId="63" xfId="0" applyNumberFormat="1" applyFont="1" applyFill="1" applyBorder="1" applyAlignment="1">
      <alignment horizontal="right" vertical="center"/>
    </xf>
    <xf numFmtId="3" fontId="22" fillId="0" borderId="102" xfId="0" applyNumberFormat="1" applyFont="1" applyFill="1" applyBorder="1" applyAlignment="1">
      <alignment horizontal="right" vertical="center"/>
    </xf>
    <xf numFmtId="3" fontId="6" fillId="0" borderId="67" xfId="0" applyNumberFormat="1" applyFont="1" applyFill="1" applyBorder="1" applyAlignment="1">
      <alignment horizontal="right" vertical="center"/>
    </xf>
    <xf numFmtId="3" fontId="6" fillId="0" borderId="64" xfId="0" applyNumberFormat="1" applyFont="1" applyFill="1" applyBorder="1" applyAlignment="1">
      <alignment horizontal="right" vertical="center"/>
    </xf>
    <xf numFmtId="0" fontId="7" fillId="0" borderId="63" xfId="0" applyFont="1" applyFill="1" applyBorder="1" applyAlignment="1">
      <alignment horizontal="left" vertical="center"/>
    </xf>
    <xf numFmtId="3" fontId="25" fillId="0" borderId="62" xfId="0" applyNumberFormat="1" applyFont="1" applyFill="1" applyBorder="1" applyAlignment="1">
      <alignment horizontal="right" vertical="center"/>
    </xf>
    <xf numFmtId="3" fontId="25" fillId="0" borderId="67" xfId="0" applyNumberFormat="1" applyFont="1" applyFill="1" applyBorder="1" applyAlignment="1">
      <alignment horizontal="right" vertical="center"/>
    </xf>
    <xf numFmtId="3" fontId="7" fillId="0" borderId="67" xfId="0" applyNumberFormat="1" applyFont="1" applyFill="1" applyBorder="1" applyAlignment="1">
      <alignment horizontal="right" vertical="center"/>
    </xf>
    <xf numFmtId="3" fontId="7" fillId="0" borderId="64" xfId="0" applyNumberFormat="1" applyFont="1" applyFill="1" applyBorder="1" applyAlignment="1">
      <alignment horizontal="right" vertical="center"/>
    </xf>
    <xf numFmtId="0" fontId="7" fillId="2" borderId="63" xfId="2" applyFont="1" applyFill="1" applyBorder="1" applyAlignment="1">
      <alignment vertical="top"/>
    </xf>
    <xf numFmtId="3" fontId="25" fillId="0" borderId="102" xfId="0" applyNumberFormat="1" applyFont="1" applyFill="1" applyBorder="1" applyAlignment="1">
      <alignment horizontal="right" vertical="center"/>
    </xf>
    <xf numFmtId="3" fontId="22" fillId="2" borderId="102" xfId="2" applyNumberFormat="1" applyFont="1" applyFill="1" applyBorder="1" applyAlignment="1"/>
    <xf numFmtId="3" fontId="25" fillId="0" borderId="65" xfId="0" applyNumberFormat="1" applyFont="1" applyFill="1" applyBorder="1" applyAlignment="1">
      <alignment horizontal="right" vertical="center"/>
    </xf>
    <xf numFmtId="3" fontId="25" fillId="0" borderId="64" xfId="0" applyNumberFormat="1" applyFont="1" applyFill="1" applyBorder="1" applyAlignment="1">
      <alignment horizontal="right" vertical="center"/>
    </xf>
    <xf numFmtId="0" fontId="7" fillId="2" borderId="69" xfId="2" applyFont="1" applyFill="1" applyBorder="1" applyAlignment="1">
      <alignment vertical="top"/>
    </xf>
    <xf numFmtId="43" fontId="16" fillId="0" borderId="103" xfId="1" applyFont="1" applyFill="1" applyBorder="1" applyAlignment="1">
      <alignment vertical="center"/>
    </xf>
    <xf numFmtId="43" fontId="25" fillId="0" borderId="67" xfId="1" applyFont="1" applyFill="1" applyBorder="1" applyAlignment="1">
      <alignment horizontal="right" vertical="center"/>
    </xf>
    <xf numFmtId="0" fontId="33" fillId="14" borderId="60" xfId="2" applyFont="1" applyFill="1" applyBorder="1" applyAlignment="1">
      <alignment vertical="center" wrapText="1"/>
    </xf>
    <xf numFmtId="43" fontId="15" fillId="14" borderId="60" xfId="1" applyFont="1" applyFill="1" applyBorder="1" applyAlignment="1">
      <alignment horizontal="right" vertical="center"/>
    </xf>
    <xf numFmtId="3" fontId="15" fillId="4" borderId="72" xfId="2" applyNumberFormat="1" applyFont="1" applyFill="1" applyBorder="1" applyAlignment="1">
      <alignment horizontal="right" vertical="center"/>
    </xf>
    <xf numFmtId="43" fontId="16" fillId="0" borderId="88" xfId="1" applyFont="1" applyBorder="1"/>
    <xf numFmtId="3" fontId="16" fillId="0" borderId="73" xfId="3" applyNumberFormat="1" applyFont="1" applyFill="1" applyBorder="1" applyAlignment="1">
      <alignment vertical="center"/>
    </xf>
    <xf numFmtId="3" fontId="16" fillId="0" borderId="71" xfId="3" applyNumberFormat="1" applyFont="1" applyFill="1" applyBorder="1" applyAlignment="1">
      <alignment vertical="center"/>
    </xf>
    <xf numFmtId="43" fontId="16" fillId="0" borderId="85" xfId="1" applyFont="1" applyFill="1" applyBorder="1" applyAlignment="1">
      <alignment vertical="center"/>
    </xf>
    <xf numFmtId="0" fontId="16" fillId="0" borderId="0" xfId="0" applyFont="1" applyFill="1" applyBorder="1"/>
    <xf numFmtId="0" fontId="16" fillId="0" borderId="19" xfId="0" applyFont="1" applyFill="1" applyBorder="1"/>
    <xf numFmtId="3" fontId="5" fillId="4" borderId="72" xfId="0" applyNumberFormat="1" applyFont="1" applyFill="1" applyBorder="1" applyAlignment="1">
      <alignment horizontal="right" vertical="center"/>
    </xf>
    <xf numFmtId="3" fontId="5" fillId="4" borderId="65" xfId="0" applyNumberFormat="1" applyFont="1" applyFill="1" applyBorder="1" applyAlignment="1">
      <alignment horizontal="right" vertical="center"/>
    </xf>
    <xf numFmtId="3" fontId="22" fillId="0" borderId="72" xfId="0" applyNumberFormat="1" applyFont="1" applyFill="1" applyBorder="1" applyAlignment="1">
      <alignment horizontal="right" vertical="center"/>
    </xf>
    <xf numFmtId="3" fontId="22" fillId="0" borderId="65" xfId="0" applyNumberFormat="1" applyFont="1" applyFill="1" applyBorder="1" applyAlignment="1">
      <alignment horizontal="right" vertical="center"/>
    </xf>
    <xf numFmtId="3" fontId="22" fillId="0" borderId="64" xfId="0" applyNumberFormat="1" applyFont="1" applyFill="1" applyBorder="1" applyAlignment="1">
      <alignment horizontal="right" vertical="center"/>
    </xf>
    <xf numFmtId="3" fontId="22" fillId="0" borderId="63" xfId="0" applyNumberFormat="1" applyFont="1" applyFill="1" applyBorder="1" applyAlignment="1">
      <alignment horizontal="right" vertical="center"/>
    </xf>
    <xf numFmtId="3" fontId="6" fillId="0" borderId="62" xfId="0" applyNumberFormat="1" applyFont="1" applyFill="1" applyBorder="1" applyAlignment="1">
      <alignment horizontal="right" vertical="center"/>
    </xf>
    <xf numFmtId="0" fontId="7" fillId="0" borderId="69" xfId="0" applyFont="1" applyFill="1" applyBorder="1" applyAlignment="1">
      <alignment horizontal="left" vertical="center"/>
    </xf>
    <xf numFmtId="3" fontId="7" fillId="0" borderId="69" xfId="0" applyNumberFormat="1" applyFont="1" applyFill="1" applyBorder="1" applyAlignment="1">
      <alignment horizontal="right" vertical="center"/>
    </xf>
    <xf numFmtId="3" fontId="25" fillId="0" borderId="6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25" fillId="0" borderId="72" xfId="2" applyNumberFormat="1" applyFont="1" applyFill="1" applyBorder="1" applyAlignment="1">
      <alignment horizontal="right" vertical="center"/>
    </xf>
    <xf numFmtId="3" fontId="5" fillId="4" borderId="79" xfId="2" applyNumberFormat="1" applyFont="1" applyFill="1" applyBorder="1" applyAlignment="1">
      <alignment horizontal="right" vertical="center"/>
    </xf>
    <xf numFmtId="3" fontId="5" fillId="4" borderId="77" xfId="2" applyNumberFormat="1" applyFont="1" applyFill="1" applyBorder="1" applyAlignment="1">
      <alignment horizontal="right" vertical="center"/>
    </xf>
    <xf numFmtId="43" fontId="5" fillId="4" borderId="78" xfId="1" applyFont="1" applyFill="1" applyBorder="1" applyAlignment="1">
      <alignment horizontal="right" vertical="center"/>
    </xf>
    <xf numFmtId="3" fontId="5" fillId="4" borderId="78" xfId="2" applyNumberFormat="1" applyFont="1" applyFill="1" applyBorder="1" applyAlignment="1">
      <alignment horizontal="right" vertical="center"/>
    </xf>
    <xf numFmtId="3" fontId="6" fillId="0" borderId="72" xfId="2" applyNumberFormat="1" applyFont="1" applyFill="1" applyBorder="1" applyAlignment="1">
      <alignment horizontal="right" vertical="center"/>
    </xf>
    <xf numFmtId="3" fontId="7" fillId="0" borderId="73" xfId="2" applyNumberFormat="1" applyFont="1" applyFill="1" applyBorder="1" applyAlignment="1">
      <alignment horizontal="right" vertical="center"/>
    </xf>
    <xf numFmtId="3" fontId="7" fillId="0" borderId="72" xfId="2" applyNumberFormat="1" applyFont="1" applyFill="1" applyBorder="1" applyAlignment="1">
      <alignment horizontal="right" vertical="center"/>
    </xf>
    <xf numFmtId="43" fontId="7" fillId="0" borderId="78" xfId="1" applyFont="1" applyFill="1" applyBorder="1" applyAlignment="1">
      <alignment horizontal="right" vertical="center"/>
    </xf>
    <xf numFmtId="3" fontId="7" fillId="0" borderId="79" xfId="2" applyNumberFormat="1" applyFont="1" applyFill="1" applyBorder="1" applyAlignment="1">
      <alignment horizontal="right" vertical="center"/>
    </xf>
    <xf numFmtId="43" fontId="7" fillId="0" borderId="77" xfId="1" applyFont="1" applyFill="1" applyBorder="1" applyAlignment="1">
      <alignment horizontal="right" vertical="center"/>
    </xf>
    <xf numFmtId="3" fontId="7" fillId="0" borderId="78" xfId="2" applyNumberFormat="1" applyFont="1" applyFill="1" applyBorder="1" applyAlignment="1">
      <alignment horizontal="right" vertical="center"/>
    </xf>
    <xf numFmtId="3" fontId="25" fillId="0" borderId="73" xfId="2" applyNumberFormat="1" applyFont="1" applyFill="1" applyBorder="1" applyAlignment="1">
      <alignment horizontal="right" vertical="center"/>
    </xf>
    <xf numFmtId="164" fontId="25" fillId="0" borderId="69" xfId="2" applyNumberFormat="1" applyFont="1" applyFill="1" applyBorder="1" applyAlignment="1">
      <alignment horizontal="right" vertical="center"/>
    </xf>
    <xf numFmtId="164" fontId="25" fillId="0" borderId="71" xfId="2" applyNumberFormat="1" applyFont="1" applyFill="1" applyBorder="1" applyAlignment="1">
      <alignment horizontal="right" vertical="center"/>
    </xf>
    <xf numFmtId="0" fontId="32" fillId="0" borderId="0" xfId="0" applyFont="1" applyFill="1" applyAlignment="1">
      <alignment vertical="top" wrapText="1"/>
    </xf>
    <xf numFmtId="0" fontId="32" fillId="10" borderId="0" xfId="0" applyFont="1" applyFill="1" applyAlignment="1">
      <alignment vertical="top" wrapText="1"/>
    </xf>
    <xf numFmtId="0" fontId="31" fillId="2" borderId="47" xfId="2" applyFont="1" applyFill="1" applyBorder="1" applyAlignment="1">
      <alignment wrapText="1"/>
    </xf>
    <xf numFmtId="0" fontId="37" fillId="0" borderId="12" xfId="0" applyFont="1" applyBorder="1" applyAlignment="1">
      <alignment wrapText="1"/>
    </xf>
    <xf numFmtId="0" fontId="38" fillId="0" borderId="12" xfId="0" applyFont="1" applyBorder="1" applyAlignment="1">
      <alignment wrapText="1"/>
    </xf>
    <xf numFmtId="0" fontId="38" fillId="0" borderId="92" xfId="0" applyFont="1" applyBorder="1" applyAlignment="1">
      <alignment wrapText="1"/>
    </xf>
    <xf numFmtId="0" fontId="31" fillId="2" borderId="45" xfId="0" applyFont="1" applyFill="1" applyBorder="1" applyAlignment="1">
      <alignment vertical="center"/>
    </xf>
    <xf numFmtId="0" fontId="27" fillId="2" borderId="35" xfId="0" applyFont="1" applyFill="1" applyBorder="1" applyAlignment="1">
      <alignment vertical="center"/>
    </xf>
    <xf numFmtId="0" fontId="28" fillId="2" borderId="35" xfId="0" applyFont="1" applyFill="1" applyBorder="1" applyAlignment="1">
      <alignment vertical="center"/>
    </xf>
    <xf numFmtId="3" fontId="27" fillId="2" borderId="35" xfId="0" applyNumberFormat="1" applyFont="1" applyFill="1" applyBorder="1" applyAlignment="1">
      <alignment horizontal="left" vertical="center"/>
    </xf>
    <xf numFmtId="0" fontId="29" fillId="2" borderId="97" xfId="0" applyFont="1" applyFill="1" applyBorder="1" applyAlignment="1">
      <alignment horizontal="right" vertical="center"/>
    </xf>
    <xf numFmtId="0" fontId="7" fillId="0" borderId="65" xfId="0" applyFont="1" applyFill="1" applyBorder="1" applyAlignment="1">
      <alignment vertical="center"/>
    </xf>
    <xf numFmtId="3" fontId="22" fillId="2" borderId="123" xfId="0" quotePrefix="1" applyNumberFormat="1" applyFont="1" applyFill="1" applyBorder="1" applyAlignment="1">
      <alignment vertical="top"/>
    </xf>
    <xf numFmtId="3" fontId="22" fillId="2" borderId="130" xfId="0" quotePrefix="1" applyNumberFormat="1" applyFont="1" applyFill="1" applyBorder="1" applyAlignment="1">
      <alignment vertical="top"/>
    </xf>
    <xf numFmtId="3" fontId="15" fillId="4" borderId="66" xfId="0" applyNumberFormat="1" applyFont="1" applyFill="1" applyBorder="1" applyAlignment="1">
      <alignment vertical="top"/>
    </xf>
    <xf numFmtId="0" fontId="34" fillId="0" borderId="12" xfId="0" applyFont="1" applyBorder="1"/>
    <xf numFmtId="0" fontId="34" fillId="0" borderId="65" xfId="0" applyFont="1" applyBorder="1"/>
    <xf numFmtId="0" fontId="28" fillId="2" borderId="87" xfId="0" quotePrefix="1" applyFont="1" applyFill="1" applyBorder="1" applyAlignment="1">
      <alignment horizontal="center" vertical="top"/>
    </xf>
    <xf numFmtId="3" fontId="25" fillId="0" borderId="82" xfId="0" applyNumberFormat="1" applyFont="1" applyFill="1" applyBorder="1" applyAlignment="1">
      <alignment vertical="center" wrapText="1"/>
    </xf>
    <xf numFmtId="3" fontId="15" fillId="4" borderId="141" xfId="0" applyNumberFormat="1" applyFont="1" applyFill="1" applyBorder="1" applyAlignment="1">
      <alignment vertical="center" wrapText="1"/>
    </xf>
    <xf numFmtId="165" fontId="7" fillId="0" borderId="85" xfId="0" applyNumberFormat="1" applyFont="1" applyFill="1" applyBorder="1" applyAlignment="1">
      <alignment vertical="top"/>
    </xf>
    <xf numFmtId="3" fontId="25" fillId="7" borderId="104" xfId="2" applyNumberFormat="1" applyFont="1" applyFill="1" applyBorder="1" applyAlignment="1">
      <alignment horizontal="right" vertical="center"/>
    </xf>
    <xf numFmtId="43" fontId="22" fillId="0" borderId="102" xfId="1" applyFont="1" applyFill="1" applyBorder="1" applyAlignment="1">
      <alignment horizontal="right" vertical="center"/>
    </xf>
    <xf numFmtId="43" fontId="25" fillId="0" borderId="102" xfId="1" applyFont="1" applyFill="1" applyBorder="1" applyAlignment="1">
      <alignment vertical="top"/>
    </xf>
    <xf numFmtId="43" fontId="15" fillId="2" borderId="102" xfId="1" applyFont="1" applyFill="1" applyBorder="1" applyAlignment="1">
      <alignment vertical="top"/>
    </xf>
    <xf numFmtId="43" fontId="15" fillId="2" borderId="103" xfId="1" applyFont="1" applyFill="1" applyBorder="1" applyAlignment="1">
      <alignment vertical="top"/>
    </xf>
    <xf numFmtId="164" fontId="25" fillId="14" borderId="128" xfId="0" applyNumberFormat="1" applyFont="1" applyFill="1" applyBorder="1" applyAlignment="1">
      <alignment vertical="top"/>
    </xf>
    <xf numFmtId="43" fontId="15" fillId="4" borderId="102" xfId="1" applyFont="1" applyFill="1" applyBorder="1" applyAlignment="1">
      <alignment vertical="top"/>
    </xf>
    <xf numFmtId="43" fontId="22" fillId="0" borderId="102" xfId="1" applyFont="1" applyFill="1" applyBorder="1" applyAlignment="1">
      <alignment vertical="top"/>
    </xf>
    <xf numFmtId="43" fontId="25" fillId="0" borderId="102" xfId="1" applyFont="1" applyFill="1" applyBorder="1" applyAlignment="1">
      <alignment vertical="center"/>
    </xf>
    <xf numFmtId="43" fontId="22" fillId="0" borderId="102" xfId="1" applyFont="1" applyFill="1" applyBorder="1" applyAlignment="1">
      <alignment vertical="center"/>
    </xf>
    <xf numFmtId="43" fontId="15" fillId="4" borderId="102" xfId="1" applyFont="1" applyFill="1" applyBorder="1" applyAlignment="1">
      <alignment vertical="center"/>
    </xf>
    <xf numFmtId="43" fontId="22" fillId="2" borderId="102" xfId="1" applyFont="1" applyFill="1" applyBorder="1" applyAlignment="1">
      <alignment vertical="center"/>
    </xf>
    <xf numFmtId="165" fontId="7" fillId="14" borderId="104" xfId="0" applyNumberFormat="1" applyFont="1" applyFill="1" applyBorder="1" applyAlignment="1">
      <alignment vertical="top"/>
    </xf>
    <xf numFmtId="164" fontId="5" fillId="4" borderId="67" xfId="0" applyNumberFormat="1" applyFont="1" applyFill="1" applyBorder="1" applyAlignment="1"/>
    <xf numFmtId="164" fontId="7" fillId="0" borderId="67" xfId="0" applyNumberFormat="1" applyFont="1" applyFill="1" applyBorder="1" applyAlignment="1"/>
    <xf numFmtId="164" fontId="7" fillId="0" borderId="96" xfId="0" applyNumberFormat="1" applyFont="1" applyFill="1" applyBorder="1" applyAlignment="1"/>
    <xf numFmtId="164" fontId="5" fillId="4" borderId="102" xfId="2" applyNumberFormat="1" applyFont="1" applyFill="1" applyBorder="1" applyAlignment="1">
      <alignment horizontal="right" vertical="center"/>
    </xf>
    <xf numFmtId="164" fontId="22" fillId="0" borderId="102" xfId="2" applyNumberFormat="1" applyFont="1" applyFill="1" applyBorder="1" applyAlignment="1">
      <alignment horizontal="right" vertical="center"/>
    </xf>
    <xf numFmtId="164" fontId="36" fillId="0" borderId="102" xfId="2" applyNumberFormat="1" applyFont="1" applyFill="1" applyBorder="1" applyAlignment="1">
      <alignment horizontal="right" vertical="center"/>
    </xf>
    <xf numFmtId="165" fontId="7" fillId="0" borderId="102" xfId="2" applyNumberFormat="1" applyFont="1" applyFill="1" applyBorder="1" applyAlignment="1">
      <alignment horizontal="right" vertical="center"/>
    </xf>
    <xf numFmtId="165" fontId="42" fillId="0" borderId="102" xfId="3" applyNumberFormat="1" applyFont="1" applyFill="1" applyBorder="1" applyAlignment="1">
      <alignment vertical="center"/>
    </xf>
    <xf numFmtId="165" fontId="7" fillId="0" borderId="103" xfId="2" applyNumberFormat="1" applyFont="1" applyFill="1" applyBorder="1" applyAlignment="1">
      <alignment horizontal="right" vertical="center"/>
    </xf>
    <xf numFmtId="165" fontId="5" fillId="14" borderId="104" xfId="2" applyNumberFormat="1" applyFont="1" applyFill="1" applyBorder="1" applyAlignment="1">
      <alignment horizontal="right" vertical="center"/>
    </xf>
    <xf numFmtId="165" fontId="15" fillId="4" borderId="102" xfId="2" applyNumberFormat="1" applyFont="1" applyFill="1" applyBorder="1" applyAlignment="1">
      <alignment horizontal="right" vertical="center"/>
    </xf>
    <xf numFmtId="165" fontId="22" fillId="5" borderId="64" xfId="0" applyNumberFormat="1" applyFont="1" applyFill="1" applyBorder="1" applyAlignment="1">
      <alignment horizontal="right" vertical="center" wrapText="1"/>
    </xf>
    <xf numFmtId="165" fontId="15" fillId="4" borderId="75" xfId="0" applyNumberFormat="1" applyFont="1" applyFill="1" applyBorder="1" applyAlignment="1">
      <alignment horizontal="right" vertical="center" wrapText="1"/>
    </xf>
    <xf numFmtId="3" fontId="32" fillId="2" borderId="70" xfId="2" applyNumberFormat="1" applyFont="1" applyFill="1" applyBorder="1" applyAlignment="1">
      <alignment horizontal="right" vertical="center"/>
    </xf>
    <xf numFmtId="3" fontId="15" fillId="2" borderId="70" xfId="0" applyNumberFormat="1" applyFont="1" applyFill="1" applyBorder="1" applyAlignment="1">
      <alignment vertical="top"/>
    </xf>
    <xf numFmtId="3" fontId="15" fillId="4" borderId="142" xfId="0" applyNumberFormat="1" applyFont="1" applyFill="1" applyBorder="1" applyAlignment="1">
      <alignment vertical="center" wrapText="1"/>
    </xf>
    <xf numFmtId="43" fontId="22" fillId="2" borderId="102" xfId="1" applyFont="1" applyFill="1" applyBorder="1" applyAlignment="1"/>
    <xf numFmtId="3" fontId="25" fillId="2" borderId="85" xfId="0" applyNumberFormat="1" applyFont="1" applyFill="1" applyBorder="1" applyAlignment="1">
      <alignment vertical="top"/>
    </xf>
    <xf numFmtId="43" fontId="15" fillId="2" borderId="66" xfId="1" applyFont="1" applyFill="1" applyBorder="1" applyAlignment="1">
      <alignment vertical="top"/>
    </xf>
    <xf numFmtId="43" fontId="25" fillId="2" borderId="66" xfId="1" applyFont="1" applyFill="1" applyBorder="1" applyAlignment="1">
      <alignment vertical="top"/>
    </xf>
    <xf numFmtId="0" fontId="7" fillId="14" borderId="128" xfId="0" applyFont="1" applyFill="1" applyBorder="1" applyAlignment="1">
      <alignment vertical="top"/>
    </xf>
    <xf numFmtId="43" fontId="25" fillId="0" borderId="85" xfId="1" applyFont="1" applyFill="1" applyBorder="1" applyAlignment="1"/>
    <xf numFmtId="3" fontId="5" fillId="14" borderId="124" xfId="2" applyNumberFormat="1" applyFont="1" applyFill="1" applyBorder="1" applyAlignment="1">
      <alignment horizontal="right" vertical="center"/>
    </xf>
    <xf numFmtId="3" fontId="25" fillId="0" borderId="116" xfId="0" applyNumberFormat="1" applyFont="1" applyFill="1" applyBorder="1" applyAlignment="1">
      <alignment vertical="center" wrapText="1"/>
    </xf>
    <xf numFmtId="3" fontId="25" fillId="0" borderId="94" xfId="0" applyNumberFormat="1" applyFont="1" applyFill="1" applyBorder="1" applyAlignment="1">
      <alignment vertical="center" wrapText="1"/>
    </xf>
    <xf numFmtId="3" fontId="25" fillId="0" borderId="138" xfId="0" applyNumberFormat="1" applyFont="1" applyFill="1" applyBorder="1" applyAlignment="1">
      <alignment vertical="center" wrapText="1"/>
    </xf>
    <xf numFmtId="3" fontId="25" fillId="0" borderId="100" xfId="0" applyNumberFormat="1" applyFont="1" applyFill="1" applyBorder="1" applyAlignment="1">
      <alignment vertical="center" wrapText="1"/>
    </xf>
    <xf numFmtId="3" fontId="42" fillId="0" borderId="116" xfId="3" applyNumberFormat="1" applyFont="1" applyFill="1" applyBorder="1" applyAlignment="1">
      <alignment vertical="center"/>
    </xf>
    <xf numFmtId="43" fontId="53" fillId="0" borderId="94" xfId="1" applyFont="1" applyFill="1" applyBorder="1" applyAlignment="1">
      <alignment vertical="center"/>
    </xf>
    <xf numFmtId="3" fontId="53" fillId="0" borderId="94" xfId="3" applyNumberFormat="1" applyFont="1" applyFill="1" applyBorder="1" applyAlignment="1">
      <alignment vertical="center"/>
    </xf>
    <xf numFmtId="3" fontId="5" fillId="0" borderId="94" xfId="0" applyNumberFormat="1" applyFont="1" applyFill="1" applyBorder="1" applyAlignment="1">
      <alignment vertical="top"/>
    </xf>
    <xf numFmtId="3" fontId="25" fillId="0" borderId="93" xfId="0" applyNumberFormat="1" applyFont="1" applyFill="1" applyBorder="1" applyAlignment="1">
      <alignment vertical="top"/>
    </xf>
    <xf numFmtId="3" fontId="25" fillId="0" borderId="94" xfId="0" applyNumberFormat="1" applyFont="1" applyFill="1" applyBorder="1" applyAlignment="1">
      <alignment vertical="top"/>
    </xf>
    <xf numFmtId="3" fontId="5" fillId="0" borderId="93" xfId="2" applyNumberFormat="1" applyFont="1" applyFill="1" applyBorder="1" applyAlignment="1"/>
    <xf numFmtId="3" fontId="5" fillId="0" borderId="94" xfId="2" applyNumberFormat="1" applyFont="1" applyFill="1" applyBorder="1" applyAlignment="1"/>
    <xf numFmtId="3" fontId="25" fillId="0" borderId="47" xfId="0" applyNumberFormat="1" applyFont="1" applyFill="1" applyBorder="1" applyAlignment="1">
      <alignment vertical="center" wrapText="1"/>
    </xf>
    <xf numFmtId="3" fontId="7" fillId="0" borderId="11" xfId="2" applyNumberFormat="1" applyFont="1" applyFill="1" applyBorder="1" applyAlignment="1">
      <alignment horizontal="right" vertical="center"/>
    </xf>
    <xf numFmtId="43" fontId="7" fillId="0" borderId="13" xfId="1" applyFont="1" applyFill="1" applyBorder="1" applyAlignment="1">
      <alignment horizontal="right" vertical="center"/>
    </xf>
    <xf numFmtId="3" fontId="22" fillId="0" borderId="79" xfId="0" applyNumberFormat="1" applyFont="1" applyFill="1" applyBorder="1" applyAlignment="1">
      <alignment vertical="top"/>
    </xf>
    <xf numFmtId="3" fontId="25" fillId="0" borderId="77" xfId="0" applyNumberFormat="1" applyFont="1" applyFill="1" applyBorder="1" applyAlignment="1">
      <alignment vertical="top"/>
    </xf>
    <xf numFmtId="3" fontId="22" fillId="2" borderId="86" xfId="0" applyNumberFormat="1" applyFont="1" applyFill="1" applyBorder="1" applyAlignment="1">
      <alignment vertical="center"/>
    </xf>
    <xf numFmtId="3" fontId="25" fillId="2" borderId="77" xfId="0" applyNumberFormat="1" applyFont="1" applyFill="1" applyBorder="1" applyAlignment="1">
      <alignment vertical="top"/>
    </xf>
    <xf numFmtId="3" fontId="20" fillId="2" borderId="84" xfId="2" applyNumberFormat="1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47" xfId="0" applyFont="1" applyBorder="1" applyAlignment="1">
      <alignment vertical="top"/>
    </xf>
    <xf numFmtId="3" fontId="16" fillId="0" borderId="49" xfId="3" applyNumberFormat="1" applyFont="1" applyFill="1" applyBorder="1" applyAlignment="1">
      <alignment vertical="center"/>
    </xf>
    <xf numFmtId="43" fontId="32" fillId="0" borderId="38" xfId="1" applyFont="1" applyFill="1" applyBorder="1" applyAlignment="1">
      <alignment horizontal="right" vertical="center"/>
    </xf>
    <xf numFmtId="3" fontId="32" fillId="0" borderId="38" xfId="2" applyNumberFormat="1" applyFont="1" applyFill="1" applyBorder="1" applyAlignment="1">
      <alignment horizontal="right" vertical="center"/>
    </xf>
    <xf numFmtId="3" fontId="7" fillId="0" borderId="50" xfId="0" applyNumberFormat="1" applyFont="1" applyFill="1" applyBorder="1" applyAlignment="1">
      <alignment vertical="top"/>
    </xf>
    <xf numFmtId="0" fontId="10" fillId="0" borderId="131" xfId="0" quotePrefix="1" applyFont="1" applyBorder="1" applyAlignment="1">
      <alignment horizontal="center" vertical="center"/>
    </xf>
    <xf numFmtId="0" fontId="29" fillId="0" borderId="143" xfId="0" quotePrefix="1" applyFont="1" applyBorder="1" applyAlignment="1">
      <alignment horizontal="center" vertical="top"/>
    </xf>
    <xf numFmtId="0" fontId="20" fillId="4" borderId="132" xfId="2" applyFont="1" applyFill="1" applyBorder="1" applyAlignment="1">
      <alignment horizontal="left" vertical="center"/>
    </xf>
    <xf numFmtId="0" fontId="35" fillId="2" borderId="72" xfId="0" applyFont="1" applyFill="1" applyBorder="1" applyAlignment="1">
      <alignment horizontal="center" vertical="center"/>
    </xf>
    <xf numFmtId="0" fontId="35" fillId="2" borderId="73" xfId="0" applyFont="1" applyFill="1" applyBorder="1" applyAlignment="1">
      <alignment horizontal="center" vertical="center"/>
    </xf>
    <xf numFmtId="43" fontId="25" fillId="2" borderId="68" xfId="1" applyFont="1" applyFill="1" applyBorder="1" applyAlignment="1">
      <alignment vertical="top"/>
    </xf>
    <xf numFmtId="43" fontId="25" fillId="2" borderId="69" xfId="1" applyFont="1" applyFill="1" applyBorder="1" applyAlignment="1">
      <alignment vertical="top"/>
    </xf>
    <xf numFmtId="43" fontId="25" fillId="2" borderId="70" xfId="1" applyFont="1" applyFill="1" applyBorder="1" applyAlignment="1">
      <alignment vertical="top"/>
    </xf>
    <xf numFmtId="0" fontId="33" fillId="14" borderId="131" xfId="2" applyFont="1" applyFill="1" applyBorder="1" applyAlignment="1">
      <alignment horizontal="center" vertical="center" wrapText="1"/>
    </xf>
    <xf numFmtId="3" fontId="5" fillId="5" borderId="62" xfId="0" applyNumberFormat="1" applyFont="1" applyFill="1" applyBorder="1" applyAlignment="1">
      <alignment vertical="top"/>
    </xf>
    <xf numFmtId="0" fontId="28" fillId="2" borderId="84" xfId="0" quotePrefix="1" applyFont="1" applyFill="1" applyBorder="1" applyAlignment="1">
      <alignment horizontal="center" vertical="top"/>
    </xf>
    <xf numFmtId="43" fontId="22" fillId="0" borderId="59" xfId="1" applyFont="1" applyFill="1" applyBorder="1" applyAlignment="1">
      <alignment horizontal="right" vertical="center"/>
    </xf>
    <xf numFmtId="43" fontId="23" fillId="2" borderId="60" xfId="1" quotePrefix="1" applyFont="1" applyFill="1" applyBorder="1" applyAlignment="1">
      <alignment vertical="center"/>
    </xf>
    <xf numFmtId="43" fontId="23" fillId="0" borderId="64" xfId="1" applyFont="1" applyFill="1" applyBorder="1" applyAlignment="1">
      <alignment horizontal="right" vertical="center"/>
    </xf>
    <xf numFmtId="43" fontId="33" fillId="4" borderId="64" xfId="1" applyFont="1" applyFill="1" applyBorder="1" applyAlignment="1">
      <alignment vertical="top"/>
    </xf>
    <xf numFmtId="43" fontId="33" fillId="5" borderId="64" xfId="1" applyFont="1" applyFill="1" applyBorder="1" applyAlignment="1">
      <alignment vertical="top"/>
    </xf>
    <xf numFmtId="43" fontId="33" fillId="0" borderId="64" xfId="1" applyFont="1" applyFill="1" applyBorder="1" applyAlignment="1">
      <alignment vertical="top"/>
    </xf>
    <xf numFmtId="43" fontId="32" fillId="0" borderId="70" xfId="1" applyFont="1" applyFill="1" applyBorder="1" applyAlignment="1">
      <alignment vertical="center"/>
    </xf>
    <xf numFmtId="0" fontId="22" fillId="0" borderId="94" xfId="0" applyFont="1" applyBorder="1" applyAlignment="1">
      <alignment horizontal="left" vertical="top"/>
    </xf>
    <xf numFmtId="0" fontId="29" fillId="0" borderId="135" xfId="0" quotePrefix="1" applyFont="1" applyBorder="1" applyAlignment="1">
      <alignment horizontal="center" vertical="top"/>
    </xf>
    <xf numFmtId="3" fontId="22" fillId="2" borderId="93" xfId="0" quotePrefix="1" applyNumberFormat="1" applyFont="1" applyFill="1" applyBorder="1" applyAlignment="1">
      <alignment vertical="top"/>
    </xf>
    <xf numFmtId="3" fontId="22" fillId="0" borderId="94" xfId="2" applyNumberFormat="1" applyFont="1" applyFill="1" applyBorder="1" applyAlignment="1">
      <alignment horizontal="right" vertical="center"/>
    </xf>
    <xf numFmtId="165" fontId="6" fillId="0" borderId="94" xfId="2" applyNumberFormat="1" applyFont="1" applyFill="1" applyBorder="1" applyAlignment="1">
      <alignment horizontal="right" vertical="center"/>
    </xf>
    <xf numFmtId="43" fontId="22" fillId="2" borderId="94" xfId="1" quotePrefix="1" applyFont="1" applyFill="1" applyBorder="1" applyAlignment="1">
      <alignment horizontal="center" vertical="top"/>
    </xf>
    <xf numFmtId="43" fontId="23" fillId="0" borderId="95" xfId="1" applyFont="1" applyFill="1" applyBorder="1" applyAlignment="1">
      <alignment horizontal="right" vertical="center"/>
    </xf>
    <xf numFmtId="0" fontId="28" fillId="2" borderId="100" xfId="0" quotePrefix="1" applyFont="1" applyFill="1" applyBorder="1" applyAlignment="1">
      <alignment horizontal="center" vertical="top"/>
    </xf>
    <xf numFmtId="0" fontId="5" fillId="7" borderId="77" xfId="0" applyFont="1" applyFill="1" applyBorder="1" applyAlignment="1">
      <alignment vertical="center" wrapText="1"/>
    </xf>
    <xf numFmtId="0" fontId="33" fillId="7" borderId="134" xfId="0" applyFont="1" applyFill="1" applyBorder="1" applyAlignment="1">
      <alignment horizontal="center" vertical="center" wrapText="1"/>
    </xf>
    <xf numFmtId="0" fontId="7" fillId="7" borderId="79" xfId="0" applyFont="1" applyFill="1" applyBorder="1" applyAlignment="1">
      <alignment vertical="top"/>
    </xf>
    <xf numFmtId="0" fontId="7" fillId="7" borderId="77" xfId="0" applyFont="1" applyFill="1" applyBorder="1" applyAlignment="1">
      <alignment vertical="top"/>
    </xf>
    <xf numFmtId="43" fontId="7" fillId="7" borderId="77" xfId="1" applyFont="1" applyFill="1" applyBorder="1" applyAlignment="1">
      <alignment vertical="top"/>
    </xf>
    <xf numFmtId="43" fontId="7" fillId="7" borderId="78" xfId="1" applyFont="1" applyFill="1" applyBorder="1" applyAlignment="1">
      <alignment vertical="top"/>
    </xf>
    <xf numFmtId="165" fontId="7" fillId="7" borderId="77" xfId="0" applyNumberFormat="1" applyFont="1" applyFill="1" applyBorder="1" applyAlignment="1">
      <alignment vertical="top"/>
    </xf>
    <xf numFmtId="43" fontId="32" fillId="7" borderId="78" xfId="1" applyFont="1" applyFill="1" applyBorder="1" applyAlignment="1">
      <alignment vertical="top"/>
    </xf>
    <xf numFmtId="0" fontId="20" fillId="4" borderId="39" xfId="2" applyFont="1" applyFill="1" applyBorder="1" applyAlignment="1">
      <alignment horizontal="left" vertical="center"/>
    </xf>
    <xf numFmtId="3" fontId="5" fillId="4" borderId="58" xfId="0" applyNumberFormat="1" applyFont="1" applyFill="1" applyBorder="1" applyAlignment="1">
      <alignment vertical="top"/>
    </xf>
    <xf numFmtId="3" fontId="5" fillId="4" borderId="59" xfId="0" applyNumberFormat="1" applyFont="1" applyFill="1" applyBorder="1" applyAlignment="1">
      <alignment vertical="top"/>
    </xf>
    <xf numFmtId="43" fontId="5" fillId="4" borderId="59" xfId="1" applyFont="1" applyFill="1" applyBorder="1" applyAlignment="1">
      <alignment vertical="top"/>
    </xf>
    <xf numFmtId="43" fontId="5" fillId="4" borderId="60" xfId="1" applyFont="1" applyFill="1" applyBorder="1" applyAlignment="1">
      <alignment vertical="top"/>
    </xf>
    <xf numFmtId="165" fontId="5" fillId="4" borderId="59" xfId="0" applyNumberFormat="1" applyFont="1" applyFill="1" applyBorder="1" applyAlignment="1">
      <alignment vertical="top"/>
    </xf>
    <xf numFmtId="43" fontId="33" fillId="4" borderId="60" xfId="1" applyFont="1" applyFill="1" applyBorder="1" applyAlignment="1">
      <alignment vertical="top"/>
    </xf>
    <xf numFmtId="0" fontId="25" fillId="5" borderId="69" xfId="0" applyFont="1" applyFill="1" applyBorder="1" applyAlignment="1">
      <alignment vertical="top"/>
    </xf>
    <xf numFmtId="43" fontId="25" fillId="5" borderId="69" xfId="1" applyFont="1" applyFill="1" applyBorder="1" applyAlignment="1">
      <alignment vertical="top"/>
    </xf>
    <xf numFmtId="164" fontId="16" fillId="5" borderId="69" xfId="3" applyNumberFormat="1" applyFont="1" applyFill="1" applyBorder="1" applyAlignment="1">
      <alignment vertical="center"/>
    </xf>
    <xf numFmtId="43" fontId="7" fillId="5" borderId="69" xfId="1" applyFont="1" applyFill="1" applyBorder="1" applyAlignment="1">
      <alignment vertical="top"/>
    </xf>
    <xf numFmtId="43" fontId="28" fillId="5" borderId="70" xfId="1" applyFont="1" applyFill="1" applyBorder="1" applyAlignment="1">
      <alignment vertical="top"/>
    </xf>
    <xf numFmtId="0" fontId="7" fillId="0" borderId="65" xfId="2" applyFont="1" applyFill="1" applyBorder="1" applyAlignment="1">
      <alignment vertical="top" wrapText="1"/>
    </xf>
    <xf numFmtId="0" fontId="22" fillId="0" borderId="65" xfId="2" applyFont="1" applyFill="1" applyBorder="1" applyAlignment="1">
      <alignment horizontal="left" vertical="center"/>
    </xf>
    <xf numFmtId="3" fontId="25" fillId="7" borderId="145" xfId="2" applyNumberFormat="1" applyFont="1" applyFill="1" applyBorder="1" applyAlignment="1">
      <alignment horizontal="right" vertical="center"/>
    </xf>
    <xf numFmtId="43" fontId="5" fillId="4" borderId="146" xfId="1" applyFont="1" applyFill="1" applyBorder="1" applyAlignment="1"/>
    <xf numFmtId="43" fontId="22" fillId="2" borderId="146" xfId="1" applyFont="1" applyFill="1" applyBorder="1" applyAlignment="1"/>
    <xf numFmtId="43" fontId="16" fillId="0" borderId="146" xfId="1" applyFont="1" applyBorder="1"/>
    <xf numFmtId="43" fontId="7" fillId="0" borderId="146" xfId="1" applyFont="1" applyFill="1" applyBorder="1" applyAlignment="1">
      <alignment horizontal="right" vertical="center"/>
    </xf>
    <xf numFmtId="43" fontId="16" fillId="0" borderId="147" xfId="1" applyFont="1" applyBorder="1"/>
    <xf numFmtId="0" fontId="25" fillId="2" borderId="71" xfId="0" applyFont="1" applyFill="1" applyBorder="1" applyAlignment="1">
      <alignment vertical="top" wrapText="1"/>
    </xf>
    <xf numFmtId="0" fontId="15" fillId="14" borderId="80" xfId="0" applyFont="1" applyFill="1" applyBorder="1" applyAlignment="1">
      <alignment vertical="top" wrapText="1"/>
    </xf>
    <xf numFmtId="0" fontId="25" fillId="0" borderId="65" xfId="0" applyFont="1" applyFill="1" applyBorder="1" applyAlignment="1">
      <alignment vertical="top" wrapText="1"/>
    </xf>
    <xf numFmtId="0" fontId="25" fillId="0" borderId="65" xfId="2" applyFont="1" applyFill="1" applyBorder="1" applyAlignment="1">
      <alignment vertical="center"/>
    </xf>
    <xf numFmtId="3" fontId="15" fillId="2" borderId="79" xfId="0" applyNumberFormat="1" applyFont="1" applyFill="1" applyBorder="1" applyAlignment="1">
      <alignment vertical="top"/>
    </xf>
    <xf numFmtId="3" fontId="15" fillId="2" borderId="77" xfId="0" applyNumberFormat="1" applyFont="1" applyFill="1" applyBorder="1" applyAlignment="1">
      <alignment vertical="top"/>
    </xf>
    <xf numFmtId="3" fontId="15" fillId="2" borderId="84" xfId="0" applyNumberFormat="1" applyFont="1" applyFill="1" applyBorder="1" applyAlignment="1">
      <alignment vertical="top"/>
    </xf>
    <xf numFmtId="3" fontId="22" fillId="2" borderId="65" xfId="2" applyNumberFormat="1" applyFont="1" applyFill="1" applyBorder="1" applyAlignment="1">
      <alignment vertical="center" wrapText="1"/>
    </xf>
    <xf numFmtId="0" fontId="25" fillId="0" borderId="65" xfId="2" applyFont="1" applyFill="1" applyBorder="1" applyAlignment="1">
      <alignment horizontal="left" vertical="center"/>
    </xf>
    <xf numFmtId="0" fontId="25" fillId="0" borderId="65" xfId="0" applyFont="1" applyFill="1" applyBorder="1" applyAlignment="1">
      <alignment horizontal="left" vertical="center" wrapText="1"/>
    </xf>
    <xf numFmtId="0" fontId="25" fillId="0" borderId="71" xfId="2" applyFont="1" applyFill="1" applyBorder="1" applyAlignment="1">
      <alignment vertical="center"/>
    </xf>
    <xf numFmtId="43" fontId="25" fillId="0" borderId="103" xfId="1" applyFont="1" applyFill="1" applyBorder="1" applyAlignment="1">
      <alignment vertical="center"/>
    </xf>
    <xf numFmtId="0" fontId="5" fillId="14" borderId="61" xfId="0" applyFont="1" applyFill="1" applyBorder="1" applyAlignment="1">
      <alignment vertical="center" wrapText="1"/>
    </xf>
    <xf numFmtId="3" fontId="6" fillId="2" borderId="65" xfId="2" applyNumberFormat="1" applyFont="1" applyFill="1" applyBorder="1" applyAlignment="1">
      <alignment vertical="center" wrapText="1"/>
    </xf>
    <xf numFmtId="0" fontId="7" fillId="2" borderId="65" xfId="0" applyFont="1" applyFill="1" applyBorder="1" applyAlignment="1">
      <alignment vertical="top"/>
    </xf>
    <xf numFmtId="0" fontId="7" fillId="2" borderId="71" xfId="0" applyFont="1" applyFill="1" applyBorder="1" applyAlignment="1">
      <alignment vertical="top"/>
    </xf>
    <xf numFmtId="0" fontId="5" fillId="14" borderId="80" xfId="0" applyFont="1" applyFill="1" applyBorder="1" applyAlignment="1">
      <alignment vertical="center" wrapText="1"/>
    </xf>
    <xf numFmtId="0" fontId="5" fillId="14" borderId="61" xfId="2" applyFont="1" applyFill="1" applyBorder="1" applyAlignment="1">
      <alignment vertical="top" wrapText="1"/>
    </xf>
    <xf numFmtId="0" fontId="5" fillId="14" borderId="80" xfId="2" applyFont="1" applyFill="1" applyBorder="1" applyAlignment="1">
      <alignment vertical="center" wrapText="1"/>
    </xf>
    <xf numFmtId="3" fontId="15" fillId="4" borderId="65" xfId="2" applyNumberFormat="1" applyFont="1" applyFill="1" applyBorder="1" applyAlignment="1"/>
    <xf numFmtId="164" fontId="36" fillId="0" borderId="103" xfId="2" applyNumberFormat="1" applyFont="1" applyFill="1" applyBorder="1" applyAlignment="1">
      <alignment horizontal="right" vertical="center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92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 wrapText="1"/>
    </xf>
    <xf numFmtId="0" fontId="5" fillId="7" borderId="20" xfId="0" applyFont="1" applyFill="1" applyBorder="1" applyAlignment="1">
      <alignment vertical="center" wrapText="1"/>
    </xf>
    <xf numFmtId="0" fontId="33" fillId="7" borderId="8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top"/>
    </xf>
    <xf numFmtId="43" fontId="7" fillId="7" borderId="20" xfId="1" applyFont="1" applyFill="1" applyBorder="1" applyAlignment="1">
      <alignment vertical="top"/>
    </xf>
    <xf numFmtId="0" fontId="7" fillId="7" borderId="20" xfId="0" applyFont="1" applyFill="1" applyBorder="1" applyAlignment="1">
      <alignment vertical="top"/>
    </xf>
    <xf numFmtId="0" fontId="7" fillId="7" borderId="34" xfId="0" applyFont="1" applyFill="1" applyBorder="1" applyAlignment="1">
      <alignment vertical="top"/>
    </xf>
    <xf numFmtId="165" fontId="7" fillId="7" borderId="20" xfId="0" applyNumberFormat="1" applyFont="1" applyFill="1" applyBorder="1" applyAlignment="1">
      <alignment vertical="top"/>
    </xf>
    <xf numFmtId="3" fontId="7" fillId="7" borderId="20" xfId="0" applyNumberFormat="1" applyFont="1" applyFill="1" applyBorder="1" applyAlignment="1">
      <alignment vertical="top"/>
    </xf>
    <xf numFmtId="0" fontId="7" fillId="7" borderId="81" xfId="0" applyFont="1" applyFill="1" applyBorder="1" applyAlignment="1">
      <alignment vertical="top"/>
    </xf>
    <xf numFmtId="3" fontId="22" fillId="2" borderId="8" xfId="2" applyNumberFormat="1" applyFont="1" applyFill="1" applyBorder="1" applyAlignment="1">
      <alignment vertical="top" wrapText="1"/>
    </xf>
    <xf numFmtId="3" fontId="16" fillId="0" borderId="7" xfId="3" applyNumberFormat="1" applyFont="1" applyFill="1" applyBorder="1" applyAlignment="1">
      <alignment vertical="center"/>
    </xf>
    <xf numFmtId="3" fontId="7" fillId="0" borderId="10" xfId="2" applyNumberFormat="1" applyFont="1" applyFill="1" applyBorder="1" applyAlignment="1">
      <alignment horizontal="right" vertical="center"/>
    </xf>
    <xf numFmtId="0" fontId="7" fillId="2" borderId="8" xfId="2" applyFont="1" applyFill="1" applyBorder="1" applyAlignment="1">
      <alignment vertical="top" wrapText="1"/>
    </xf>
    <xf numFmtId="3" fontId="5" fillId="4" borderId="93" xfId="2" applyNumberFormat="1" applyFont="1" applyFill="1" applyBorder="1" applyAlignment="1"/>
    <xf numFmtId="43" fontId="5" fillId="4" borderId="77" xfId="1" applyFont="1" applyFill="1" applyBorder="1" applyAlignment="1"/>
    <xf numFmtId="43" fontId="5" fillId="4" borderId="8" xfId="1" applyFont="1" applyFill="1" applyBorder="1" applyAlignment="1"/>
    <xf numFmtId="3" fontId="5" fillId="4" borderId="8" xfId="2" applyNumberFormat="1" applyFont="1" applyFill="1" applyBorder="1" applyAlignment="1"/>
    <xf numFmtId="3" fontId="5" fillId="4" borderId="10" xfId="2" applyNumberFormat="1" applyFont="1" applyFill="1" applyBorder="1" applyAlignment="1"/>
    <xf numFmtId="3" fontId="5" fillId="4" borderId="79" xfId="2" applyNumberFormat="1" applyFont="1" applyFill="1" applyBorder="1" applyAlignment="1"/>
    <xf numFmtId="3" fontId="5" fillId="4" borderId="6" xfId="2" applyNumberFormat="1" applyFont="1" applyFill="1" applyBorder="1" applyAlignment="1"/>
    <xf numFmtId="3" fontId="42" fillId="0" borderId="93" xfId="3" applyNumberFormat="1" applyFont="1" applyFill="1" applyBorder="1" applyAlignment="1">
      <alignment vertical="center"/>
    </xf>
    <xf numFmtId="3" fontId="42" fillId="0" borderId="7" xfId="3" applyNumberFormat="1" applyFont="1" applyFill="1" applyBorder="1" applyAlignment="1">
      <alignment vertical="center"/>
    </xf>
    <xf numFmtId="165" fontId="42" fillId="0" borderId="8" xfId="3" applyNumberFormat="1" applyFont="1" applyFill="1" applyBorder="1" applyAlignment="1">
      <alignment vertical="center"/>
    </xf>
    <xf numFmtId="3" fontId="42" fillId="0" borderId="8" xfId="3" applyNumberFormat="1" applyFont="1" applyFill="1" applyBorder="1" applyAlignment="1">
      <alignment vertical="center"/>
    </xf>
    <xf numFmtId="3" fontId="22" fillId="16" borderId="66" xfId="0" applyNumberFormat="1" applyFont="1" applyFill="1" applyBorder="1" applyAlignment="1">
      <alignment vertical="top"/>
    </xf>
    <xf numFmtId="3" fontId="25" fillId="16" borderId="66" xfId="0" applyNumberFormat="1" applyFont="1" applyFill="1" applyBorder="1" applyAlignment="1">
      <alignment vertical="top"/>
    </xf>
    <xf numFmtId="0" fontId="5" fillId="14" borderId="59" xfId="0" applyFont="1" applyFill="1" applyBorder="1" applyAlignment="1">
      <alignment vertical="center" wrapText="1"/>
    </xf>
    <xf numFmtId="0" fontId="7" fillId="14" borderId="58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vertical="top"/>
    </xf>
    <xf numFmtId="3" fontId="5" fillId="4" borderId="65" xfId="0" applyNumberFormat="1" applyFont="1" applyFill="1" applyBorder="1" applyAlignment="1">
      <alignment vertical="top"/>
    </xf>
    <xf numFmtId="43" fontId="15" fillId="4" borderId="63" xfId="1" applyFont="1" applyFill="1" applyBorder="1" applyAlignment="1">
      <alignment horizontal="right" vertical="top"/>
    </xf>
    <xf numFmtId="43" fontId="15" fillId="4" borderId="64" xfId="1" applyFont="1" applyFill="1" applyBorder="1" applyAlignment="1">
      <alignment vertical="top"/>
    </xf>
    <xf numFmtId="3" fontId="6" fillId="2" borderId="63" xfId="2" applyNumberFormat="1" applyFont="1" applyFill="1" applyBorder="1" applyAlignment="1">
      <alignment wrapText="1"/>
    </xf>
    <xf numFmtId="3" fontId="6" fillId="0" borderId="65" xfId="0" applyNumberFormat="1" applyFont="1" applyFill="1" applyBorder="1" applyAlignment="1">
      <alignment vertical="top"/>
    </xf>
    <xf numFmtId="43" fontId="22" fillId="0" borderId="63" xfId="1" applyFont="1" applyFill="1" applyBorder="1" applyAlignment="1">
      <alignment horizontal="right" vertical="top"/>
    </xf>
    <xf numFmtId="3" fontId="46" fillId="0" borderId="93" xfId="0" applyNumberFormat="1" applyFont="1" applyFill="1" applyBorder="1" applyAlignment="1">
      <alignment vertical="top"/>
    </xf>
    <xf numFmtId="3" fontId="7" fillId="0" borderId="94" xfId="0" applyNumberFormat="1" applyFont="1" applyFill="1" applyBorder="1" applyAlignment="1">
      <alignment vertical="top"/>
    </xf>
    <xf numFmtId="43" fontId="7" fillId="0" borderId="94" xfId="1" applyFont="1" applyFill="1" applyBorder="1" applyAlignment="1">
      <alignment vertical="top"/>
    </xf>
    <xf numFmtId="3" fontId="7" fillId="0" borderId="71" xfId="0" applyNumberFormat="1" applyFont="1" applyFill="1" applyBorder="1" applyAlignment="1">
      <alignment vertical="top"/>
    </xf>
    <xf numFmtId="43" fontId="25" fillId="0" borderId="69" xfId="1" applyFont="1" applyFill="1" applyBorder="1" applyAlignment="1">
      <alignment horizontal="right" vertical="top"/>
    </xf>
    <xf numFmtId="0" fontId="5" fillId="14" borderId="61" xfId="0" applyFont="1" applyFill="1" applyBorder="1" applyAlignment="1">
      <alignment horizontal="left" vertical="center" wrapText="1"/>
    </xf>
    <xf numFmtId="43" fontId="5" fillId="4" borderId="102" xfId="1" applyFont="1" applyFill="1" applyBorder="1" applyAlignment="1">
      <alignment vertical="top"/>
    </xf>
    <xf numFmtId="3" fontId="6" fillId="2" borderId="65" xfId="2" applyNumberFormat="1" applyFont="1" applyFill="1" applyBorder="1" applyAlignment="1">
      <alignment wrapText="1"/>
    </xf>
    <xf numFmtId="43" fontId="6" fillId="0" borderId="102" xfId="1" applyFont="1" applyFill="1" applyBorder="1" applyAlignment="1">
      <alignment vertical="top"/>
    </xf>
    <xf numFmtId="0" fontId="7" fillId="0" borderId="71" xfId="0" applyFont="1" applyFill="1" applyBorder="1" applyAlignment="1">
      <alignment vertical="center"/>
    </xf>
    <xf numFmtId="3" fontId="46" fillId="0" borderId="68" xfId="0" applyNumberFormat="1" applyFont="1" applyFill="1" applyBorder="1" applyAlignment="1">
      <alignment vertical="top"/>
    </xf>
    <xf numFmtId="43" fontId="7" fillId="0" borderId="103" xfId="1" applyFont="1" applyFill="1" applyBorder="1" applyAlignment="1">
      <alignment vertical="top"/>
    </xf>
    <xf numFmtId="43" fontId="25" fillId="0" borderId="103" xfId="1" applyFont="1" applyFill="1" applyBorder="1" applyAlignment="1">
      <alignment vertical="top"/>
    </xf>
    <xf numFmtId="164" fontId="15" fillId="4" borderId="102" xfId="0" applyNumberFormat="1" applyFont="1" applyFill="1" applyBorder="1" applyAlignment="1">
      <alignment vertical="top"/>
    </xf>
    <xf numFmtId="3" fontId="22" fillId="0" borderId="67" xfId="0" applyNumberFormat="1" applyFont="1" applyFill="1" applyBorder="1" applyAlignment="1">
      <alignment vertical="top"/>
    </xf>
    <xf numFmtId="3" fontId="22" fillId="0" borderId="102" xfId="0" applyNumberFormat="1" applyFont="1" applyFill="1" applyBorder="1" applyAlignment="1">
      <alignment vertical="top"/>
    </xf>
    <xf numFmtId="164" fontId="22" fillId="0" borderId="102" xfId="0" applyNumberFormat="1" applyFont="1" applyFill="1" applyBorder="1" applyAlignment="1">
      <alignment vertical="top"/>
    </xf>
    <xf numFmtId="3" fontId="25" fillId="0" borderId="102" xfId="0" applyNumberFormat="1" applyFont="1" applyFill="1" applyBorder="1" applyAlignment="1">
      <alignment vertical="top"/>
    </xf>
    <xf numFmtId="164" fontId="25" fillId="0" borderId="102" xfId="0" applyNumberFormat="1" applyFont="1" applyFill="1" applyBorder="1" applyAlignment="1">
      <alignment vertical="top"/>
    </xf>
    <xf numFmtId="0" fontId="35" fillId="4" borderId="64" xfId="0" applyFont="1" applyFill="1" applyBorder="1" applyAlignment="1">
      <alignment horizontal="center" vertical="center"/>
    </xf>
    <xf numFmtId="3" fontId="25" fillId="0" borderId="99" xfId="0" applyNumberFormat="1" applyFont="1" applyFill="1" applyBorder="1" applyAlignment="1">
      <alignment vertical="top"/>
    </xf>
    <xf numFmtId="3" fontId="22" fillId="0" borderId="65" xfId="0" applyNumberFormat="1" applyFont="1" applyFill="1" applyBorder="1" applyAlignment="1">
      <alignment vertical="top"/>
    </xf>
    <xf numFmtId="0" fontId="25" fillId="0" borderId="65" xfId="0" applyFont="1" applyFill="1" applyBorder="1" applyAlignment="1">
      <alignment vertical="top"/>
    </xf>
    <xf numFmtId="3" fontId="25" fillId="2" borderId="67" xfId="0" applyNumberFormat="1" applyFont="1" applyFill="1" applyBorder="1" applyAlignment="1">
      <alignment vertical="top"/>
    </xf>
    <xf numFmtId="3" fontId="25" fillId="2" borderId="65" xfId="0" applyNumberFormat="1" applyFont="1" applyFill="1" applyBorder="1" applyAlignment="1">
      <alignment vertical="top"/>
    </xf>
    <xf numFmtId="0" fontId="22" fillId="0" borderId="65" xfId="2" applyFont="1" applyFill="1" applyBorder="1" applyAlignment="1">
      <alignment vertical="center"/>
    </xf>
    <xf numFmtId="3" fontId="25" fillId="0" borderId="96" xfId="0" applyNumberFormat="1" applyFont="1" applyFill="1" applyBorder="1" applyAlignment="1">
      <alignment vertical="top"/>
    </xf>
    <xf numFmtId="3" fontId="25" fillId="0" borderId="71" xfId="0" applyNumberFormat="1" applyFont="1" applyFill="1" applyBorder="1" applyAlignment="1">
      <alignment vertical="top"/>
    </xf>
    <xf numFmtId="0" fontId="25" fillId="0" borderId="71" xfId="0" applyFont="1" applyFill="1" applyBorder="1" applyAlignment="1">
      <alignment vertical="top" wrapText="1"/>
    </xf>
    <xf numFmtId="164" fontId="25" fillId="0" borderId="71" xfId="0" applyNumberFormat="1" applyFont="1" applyFill="1" applyBorder="1" applyAlignment="1">
      <alignment vertical="top"/>
    </xf>
    <xf numFmtId="3" fontId="22" fillId="2" borderId="62" xfId="0" applyNumberFormat="1" applyFont="1" applyFill="1" applyBorder="1" applyAlignment="1">
      <alignment vertical="center"/>
    </xf>
    <xf numFmtId="3" fontId="22" fillId="2" borderId="65" xfId="0" applyNumberFormat="1" applyFont="1" applyFill="1" applyBorder="1" applyAlignment="1">
      <alignment vertical="center"/>
    </xf>
    <xf numFmtId="3" fontId="22" fillId="2" borderId="64" xfId="0" applyNumberFormat="1" applyFont="1" applyFill="1" applyBorder="1" applyAlignment="1">
      <alignment vertical="center"/>
    </xf>
    <xf numFmtId="0" fontId="25" fillId="0" borderId="63" xfId="0" applyFont="1" applyFill="1" applyBorder="1" applyAlignment="1">
      <alignment vertical="center"/>
    </xf>
    <xf numFmtId="3" fontId="25" fillId="0" borderId="63" xfId="0" applyNumberFormat="1" applyFont="1" applyFill="1" applyBorder="1" applyAlignment="1">
      <alignment vertical="center"/>
    </xf>
    <xf numFmtId="3" fontId="25" fillId="0" borderId="65" xfId="0" applyNumberFormat="1" applyFont="1" applyFill="1" applyBorder="1" applyAlignment="1">
      <alignment vertical="center"/>
    </xf>
    <xf numFmtId="165" fontId="25" fillId="0" borderId="63" xfId="0" applyNumberFormat="1" applyFont="1" applyFill="1" applyBorder="1" applyAlignment="1">
      <alignment horizontal="right" vertical="center"/>
    </xf>
    <xf numFmtId="3" fontId="25" fillId="0" borderId="64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3" fontId="25" fillId="0" borderId="68" xfId="0" applyNumberFormat="1" applyFont="1" applyFill="1" applyBorder="1" applyAlignment="1">
      <alignment vertical="center"/>
    </xf>
    <xf numFmtId="3" fontId="25" fillId="0" borderId="71" xfId="0" applyNumberFormat="1" applyFont="1" applyFill="1" applyBorder="1" applyAlignment="1">
      <alignment horizontal="right" vertical="center"/>
    </xf>
    <xf numFmtId="3" fontId="25" fillId="0" borderId="68" xfId="0" applyNumberFormat="1" applyFont="1" applyFill="1" applyBorder="1" applyAlignment="1">
      <alignment horizontal="right" vertical="center"/>
    </xf>
    <xf numFmtId="165" fontId="25" fillId="0" borderId="69" xfId="0" applyNumberFormat="1" applyFont="1" applyFill="1" applyBorder="1" applyAlignment="1">
      <alignment horizontal="right" vertical="center"/>
    </xf>
    <xf numFmtId="3" fontId="25" fillId="0" borderId="70" xfId="0" applyNumberFormat="1" applyFont="1" applyFill="1" applyBorder="1" applyAlignment="1">
      <alignment horizontal="right" vertical="center"/>
    </xf>
    <xf numFmtId="0" fontId="7" fillId="14" borderId="98" xfId="0" applyFont="1" applyFill="1" applyBorder="1" applyAlignment="1">
      <alignment vertical="center"/>
    </xf>
    <xf numFmtId="0" fontId="28" fillId="4" borderId="65" xfId="0" applyFont="1" applyFill="1" applyBorder="1" applyAlignment="1">
      <alignment vertical="center"/>
    </xf>
    <xf numFmtId="3" fontId="15" fillId="4" borderId="67" xfId="0" applyNumberFormat="1" applyFont="1" applyFill="1" applyBorder="1" applyAlignment="1">
      <alignment vertical="center"/>
    </xf>
    <xf numFmtId="3" fontId="22" fillId="2" borderId="67" xfId="0" applyNumberFormat="1" applyFont="1" applyFill="1" applyBorder="1" applyAlignment="1">
      <alignment vertical="center"/>
    </xf>
    <xf numFmtId="3" fontId="25" fillId="0" borderId="67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0" fontId="32" fillId="4" borderId="65" xfId="0" applyFont="1" applyFill="1" applyBorder="1" applyAlignment="1">
      <alignment horizontal="left" vertical="center" wrapText="1"/>
    </xf>
    <xf numFmtId="3" fontId="22" fillId="2" borderId="102" xfId="2" applyNumberFormat="1" applyFont="1" applyFill="1" applyBorder="1" applyAlignment="1">
      <alignment vertical="center" wrapText="1"/>
    </xf>
    <xf numFmtId="0" fontId="25" fillId="0" borderId="65" xfId="0" applyFont="1" applyFill="1" applyBorder="1" applyAlignment="1">
      <alignment vertical="center"/>
    </xf>
    <xf numFmtId="3" fontId="25" fillId="0" borderId="96" xfId="0" applyNumberFormat="1" applyFont="1" applyFill="1" applyBorder="1" applyAlignment="1">
      <alignment vertical="center"/>
    </xf>
    <xf numFmtId="3" fontId="22" fillId="2" borderId="93" xfId="0" applyNumberFormat="1" applyFont="1" applyFill="1" applyBorder="1" applyAlignment="1">
      <alignment vertical="center"/>
    </xf>
    <xf numFmtId="3" fontId="22" fillId="2" borderId="94" xfId="0" applyNumberFormat="1" applyFont="1" applyFill="1" applyBorder="1" applyAlignment="1">
      <alignment vertical="center"/>
    </xf>
    <xf numFmtId="43" fontId="22" fillId="2" borderId="94" xfId="1" applyFont="1" applyFill="1" applyBorder="1" applyAlignment="1">
      <alignment vertical="center"/>
    </xf>
    <xf numFmtId="43" fontId="25" fillId="0" borderId="102" xfId="1" applyFont="1" applyFill="1" applyBorder="1" applyAlignment="1">
      <alignment horizontal="right" vertical="center"/>
    </xf>
    <xf numFmtId="43" fontId="25" fillId="0" borderId="103" xfId="1" applyFont="1" applyFill="1" applyBorder="1" applyAlignment="1">
      <alignment horizontal="right" vertical="center"/>
    </xf>
    <xf numFmtId="0" fontId="15" fillId="14" borderId="61" xfId="0" applyFont="1" applyFill="1" applyBorder="1" applyAlignment="1">
      <alignment vertical="center" wrapText="1"/>
    </xf>
    <xf numFmtId="0" fontId="7" fillId="14" borderId="104" xfId="0" applyFont="1" applyFill="1" applyBorder="1" applyAlignment="1">
      <alignment vertical="center"/>
    </xf>
    <xf numFmtId="3" fontId="15" fillId="4" borderId="102" xfId="0" applyNumberFormat="1" applyFont="1" applyFill="1" applyBorder="1" applyAlignment="1">
      <alignment vertical="center"/>
    </xf>
    <xf numFmtId="3" fontId="22" fillId="0" borderId="102" xfId="0" applyNumberFormat="1" applyFont="1" applyFill="1" applyBorder="1" applyAlignment="1">
      <alignment vertical="center"/>
    </xf>
    <xf numFmtId="3" fontId="15" fillId="0" borderId="62" xfId="0" applyNumberFormat="1" applyFont="1" applyFill="1" applyBorder="1" applyAlignment="1">
      <alignment vertical="center"/>
    </xf>
    <xf numFmtId="165" fontId="15" fillId="0" borderId="63" xfId="0" applyNumberFormat="1" applyFont="1" applyFill="1" applyBorder="1" applyAlignment="1">
      <alignment vertical="center"/>
    </xf>
    <xf numFmtId="3" fontId="15" fillId="0" borderId="63" xfId="0" applyNumberFormat="1" applyFont="1" applyFill="1" applyBorder="1" applyAlignment="1">
      <alignment vertical="center"/>
    </xf>
    <xf numFmtId="165" fontId="15" fillId="0" borderId="65" xfId="0" applyNumberFormat="1" applyFont="1" applyFill="1" applyBorder="1" applyAlignment="1">
      <alignment vertical="center"/>
    </xf>
    <xf numFmtId="165" fontId="25" fillId="0" borderId="65" xfId="0" applyNumberFormat="1" applyFont="1" applyFill="1" applyBorder="1" applyAlignment="1">
      <alignment horizontal="right" vertical="center"/>
    </xf>
    <xf numFmtId="0" fontId="32" fillId="4" borderId="78" xfId="0" applyFont="1" applyFill="1" applyBorder="1" applyAlignment="1">
      <alignment horizontal="left" vertical="center" wrapText="1"/>
    </xf>
    <xf numFmtId="3" fontId="15" fillId="4" borderId="86" xfId="0" applyNumberFormat="1" applyFont="1" applyFill="1" applyBorder="1" applyAlignment="1">
      <alignment vertical="center"/>
    </xf>
    <xf numFmtId="3" fontId="15" fillId="4" borderId="80" xfId="0" applyNumberFormat="1" applyFont="1" applyFill="1" applyBorder="1" applyAlignment="1">
      <alignment vertical="center"/>
    </xf>
    <xf numFmtId="165" fontId="25" fillId="0" borderId="71" xfId="0" applyNumberFormat="1" applyFont="1" applyFill="1" applyBorder="1" applyAlignment="1">
      <alignment horizontal="right" vertical="center"/>
    </xf>
    <xf numFmtId="3" fontId="15" fillId="0" borderId="65" xfId="0" applyNumberFormat="1" applyFont="1" applyFill="1" applyBorder="1" applyAlignment="1">
      <alignment vertical="center"/>
    </xf>
    <xf numFmtId="3" fontId="15" fillId="0" borderId="64" xfId="0" applyNumberFormat="1" applyFont="1" applyFill="1" applyBorder="1" applyAlignment="1">
      <alignment vertical="center"/>
    </xf>
    <xf numFmtId="165" fontId="22" fillId="0" borderId="65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165" fontId="25" fillId="0" borderId="65" xfId="0" applyNumberFormat="1" applyFont="1" applyFill="1" applyBorder="1" applyAlignment="1">
      <alignment vertical="center"/>
    </xf>
    <xf numFmtId="3" fontId="15" fillId="0" borderId="102" xfId="0" applyNumberFormat="1" applyFont="1" applyFill="1" applyBorder="1" applyAlignment="1">
      <alignment vertical="center"/>
    </xf>
    <xf numFmtId="3" fontId="25" fillId="0" borderId="69" xfId="0" applyNumberFormat="1" applyFont="1" applyFill="1" applyBorder="1" applyAlignment="1">
      <alignment vertical="center"/>
    </xf>
    <xf numFmtId="3" fontId="25" fillId="0" borderId="103" xfId="0" applyNumberFormat="1" applyFont="1" applyFill="1" applyBorder="1" applyAlignment="1">
      <alignment vertical="center"/>
    </xf>
    <xf numFmtId="165" fontId="25" fillId="0" borderId="71" xfId="0" applyNumberFormat="1" applyFont="1" applyFill="1" applyBorder="1" applyAlignment="1">
      <alignment vertical="center"/>
    </xf>
    <xf numFmtId="3" fontId="25" fillId="0" borderId="70" xfId="0" applyNumberFormat="1" applyFont="1" applyFill="1" applyBorder="1" applyAlignment="1">
      <alignment vertical="center"/>
    </xf>
    <xf numFmtId="165" fontId="22" fillId="2" borderId="65" xfId="0" applyNumberFormat="1" applyFont="1" applyFill="1" applyBorder="1" applyAlignment="1">
      <alignment vertical="center"/>
    </xf>
    <xf numFmtId="43" fontId="7" fillId="14" borderId="59" xfId="1" applyFont="1" applyFill="1" applyBorder="1" applyAlignment="1">
      <alignment vertical="center"/>
    </xf>
    <xf numFmtId="43" fontId="25" fillId="14" borderId="61" xfId="1" applyFont="1" applyFill="1" applyBorder="1" applyAlignment="1">
      <alignment vertical="center"/>
    </xf>
    <xf numFmtId="43" fontId="7" fillId="14" borderId="61" xfId="1" applyFont="1" applyFill="1" applyBorder="1" applyAlignment="1">
      <alignment vertical="center"/>
    </xf>
    <xf numFmtId="43" fontId="5" fillId="4" borderId="65" xfId="1" applyFont="1" applyFill="1" applyBorder="1" applyAlignment="1">
      <alignment vertical="center"/>
    </xf>
    <xf numFmtId="3" fontId="7" fillId="0" borderId="71" xfId="0" applyNumberFormat="1" applyFont="1" applyFill="1" applyBorder="1" applyAlignment="1">
      <alignment vertical="center"/>
    </xf>
    <xf numFmtId="0" fontId="15" fillId="14" borderId="77" xfId="0" applyFont="1" applyFill="1" applyBorder="1" applyAlignment="1">
      <alignment vertical="center" wrapText="1"/>
    </xf>
    <xf numFmtId="0" fontId="7" fillId="14" borderId="79" xfId="0" applyFont="1" applyFill="1" applyBorder="1" applyAlignment="1">
      <alignment vertical="center"/>
    </xf>
    <xf numFmtId="0" fontId="7" fillId="14" borderId="77" xfId="0" applyFont="1" applyFill="1" applyBorder="1" applyAlignment="1">
      <alignment vertical="center"/>
    </xf>
    <xf numFmtId="43" fontId="7" fillId="14" borderId="80" xfId="1" applyFont="1" applyFill="1" applyBorder="1" applyAlignment="1">
      <alignment vertical="center"/>
    </xf>
    <xf numFmtId="43" fontId="7" fillId="14" borderId="86" xfId="1" applyFont="1" applyFill="1" applyBorder="1" applyAlignment="1">
      <alignment vertical="center"/>
    </xf>
    <xf numFmtId="43" fontId="25" fillId="14" borderId="80" xfId="1" applyFont="1" applyFill="1" applyBorder="1" applyAlignment="1">
      <alignment vertical="center"/>
    </xf>
    <xf numFmtId="0" fontId="7" fillId="14" borderId="78" xfId="0" applyFont="1" applyFill="1" applyBorder="1" applyAlignment="1">
      <alignment vertical="center"/>
    </xf>
    <xf numFmtId="3" fontId="5" fillId="4" borderId="65" xfId="0" applyNumberFormat="1" applyFont="1" applyFill="1" applyBorder="1" applyAlignment="1">
      <alignment vertical="center"/>
    </xf>
    <xf numFmtId="3" fontId="5" fillId="4" borderId="64" xfId="0" applyNumberFormat="1" applyFont="1" applyFill="1" applyBorder="1" applyAlignment="1">
      <alignment vertical="center"/>
    </xf>
    <xf numFmtId="3" fontId="6" fillId="0" borderId="65" xfId="0" applyNumberFormat="1" applyFont="1" applyFill="1" applyBorder="1" applyAlignment="1">
      <alignment vertical="center"/>
    </xf>
    <xf numFmtId="3" fontId="6" fillId="0" borderId="64" xfId="0" applyNumberFormat="1" applyFont="1" applyFill="1" applyBorder="1" applyAlignment="1">
      <alignment vertical="center"/>
    </xf>
    <xf numFmtId="3" fontId="7" fillId="0" borderId="62" xfId="0" applyNumberFormat="1" applyFont="1" applyFill="1" applyBorder="1" applyAlignment="1">
      <alignment vertical="center"/>
    </xf>
    <xf numFmtId="3" fontId="7" fillId="0" borderId="63" xfId="0" applyNumberFormat="1" applyFont="1" applyFill="1" applyBorder="1" applyAlignment="1">
      <alignment vertical="center"/>
    </xf>
    <xf numFmtId="3" fontId="7" fillId="0" borderId="65" xfId="0" applyNumberFormat="1" applyFont="1" applyFill="1" applyBorder="1" applyAlignment="1">
      <alignment vertical="center"/>
    </xf>
    <xf numFmtId="3" fontId="7" fillId="0" borderId="64" xfId="0" applyNumberFormat="1" applyFont="1" applyFill="1" applyBorder="1" applyAlignment="1">
      <alignment vertical="center"/>
    </xf>
    <xf numFmtId="0" fontId="15" fillId="14" borderId="63" xfId="0" applyFont="1" applyFill="1" applyBorder="1" applyAlignment="1">
      <alignment vertical="center" wrapText="1"/>
    </xf>
    <xf numFmtId="0" fontId="20" fillId="14" borderId="64" xfId="0" applyFont="1" applyFill="1" applyBorder="1" applyAlignment="1">
      <alignment horizontal="center" vertical="center" wrapText="1"/>
    </xf>
    <xf numFmtId="0" fontId="7" fillId="14" borderId="62" xfId="0" applyFont="1" applyFill="1" applyBorder="1" applyAlignment="1">
      <alignment vertical="center"/>
    </xf>
    <xf numFmtId="0" fontId="7" fillId="14" borderId="63" xfId="0" applyFont="1" applyFill="1" applyBorder="1" applyAlignment="1">
      <alignment vertical="center"/>
    </xf>
    <xf numFmtId="0" fontId="7" fillId="14" borderId="65" xfId="0" applyFont="1" applyFill="1" applyBorder="1" applyAlignment="1">
      <alignment vertical="center"/>
    </xf>
    <xf numFmtId="165" fontId="25" fillId="14" borderId="63" xfId="0" applyNumberFormat="1" applyFont="1" applyFill="1" applyBorder="1" applyAlignment="1">
      <alignment vertical="center"/>
    </xf>
    <xf numFmtId="0" fontId="25" fillId="14" borderId="63" xfId="0" applyFont="1" applyFill="1" applyBorder="1" applyAlignment="1">
      <alignment vertical="center"/>
    </xf>
    <xf numFmtId="165" fontId="25" fillId="14" borderId="65" xfId="0" applyNumberFormat="1" applyFont="1" applyFill="1" applyBorder="1" applyAlignment="1">
      <alignment vertical="center"/>
    </xf>
    <xf numFmtId="0" fontId="7" fillId="14" borderId="64" xfId="0" applyFont="1" applyFill="1" applyBorder="1" applyAlignment="1">
      <alignment vertical="center"/>
    </xf>
    <xf numFmtId="43" fontId="15" fillId="4" borderId="67" xfId="1" applyFont="1" applyFill="1" applyBorder="1" applyAlignment="1">
      <alignment vertical="center"/>
    </xf>
    <xf numFmtId="0" fontId="25" fillId="2" borderId="94" xfId="0" applyFont="1" applyFill="1" applyBorder="1" applyAlignment="1">
      <alignment vertical="center"/>
    </xf>
    <xf numFmtId="3" fontId="7" fillId="2" borderId="93" xfId="0" applyNumberFormat="1" applyFont="1" applyFill="1" applyBorder="1" applyAlignment="1">
      <alignment vertical="center"/>
    </xf>
    <xf numFmtId="3" fontId="25" fillId="2" borderId="94" xfId="0" applyNumberFormat="1" applyFont="1" applyFill="1" applyBorder="1" applyAlignment="1">
      <alignment vertical="center"/>
    </xf>
    <xf numFmtId="43" fontId="25" fillId="2" borderId="94" xfId="1" applyFont="1" applyFill="1" applyBorder="1" applyAlignment="1">
      <alignment vertical="center"/>
    </xf>
    <xf numFmtId="43" fontId="25" fillId="2" borderId="91" xfId="1" applyFont="1" applyFill="1" applyBorder="1" applyAlignment="1">
      <alignment vertical="center"/>
    </xf>
    <xf numFmtId="165" fontId="25" fillId="0" borderId="94" xfId="0" applyNumberFormat="1" applyFont="1" applyFill="1" applyBorder="1" applyAlignment="1">
      <alignment vertical="center"/>
    </xf>
    <xf numFmtId="43" fontId="25" fillId="0" borderId="91" xfId="1" applyFont="1" applyFill="1" applyBorder="1" applyAlignment="1">
      <alignment vertical="center"/>
    </xf>
    <xf numFmtId="43" fontId="25" fillId="2" borderId="95" xfId="1" applyFont="1" applyFill="1" applyBorder="1" applyAlignment="1">
      <alignment vertical="center"/>
    </xf>
    <xf numFmtId="165" fontId="7" fillId="14" borderId="59" xfId="0" applyNumberFormat="1" applyFont="1" applyFill="1" applyBorder="1" applyAlignment="1">
      <alignment vertical="center"/>
    </xf>
    <xf numFmtId="165" fontId="7" fillId="14" borderId="61" xfId="0" applyNumberFormat="1" applyFont="1" applyFill="1" applyBorder="1" applyAlignment="1">
      <alignment vertical="center"/>
    </xf>
    <xf numFmtId="3" fontId="5" fillId="4" borderId="67" xfId="0" applyNumberFormat="1" applyFont="1" applyFill="1" applyBorder="1" applyAlignment="1">
      <alignment vertical="center"/>
    </xf>
    <xf numFmtId="3" fontId="5" fillId="4" borderId="102" xfId="0" applyNumberFormat="1" applyFont="1" applyFill="1" applyBorder="1" applyAlignment="1">
      <alignment vertical="center"/>
    </xf>
    <xf numFmtId="165" fontId="5" fillId="4" borderId="63" xfId="0" applyNumberFormat="1" applyFont="1" applyFill="1" applyBorder="1" applyAlignment="1">
      <alignment vertical="center"/>
    </xf>
    <xf numFmtId="165" fontId="5" fillId="4" borderId="65" xfId="0" applyNumberFormat="1" applyFont="1" applyFill="1" applyBorder="1" applyAlignment="1">
      <alignment vertical="center"/>
    </xf>
    <xf numFmtId="3" fontId="6" fillId="2" borderId="62" xfId="0" applyNumberFormat="1" applyFont="1" applyFill="1" applyBorder="1" applyAlignment="1">
      <alignment vertical="center"/>
    </xf>
    <xf numFmtId="3" fontId="6" fillId="2" borderId="63" xfId="0" applyNumberFormat="1" applyFont="1" applyFill="1" applyBorder="1" applyAlignment="1">
      <alignment vertical="center"/>
    </xf>
    <xf numFmtId="3" fontId="6" fillId="2" borderId="65" xfId="0" applyNumberFormat="1" applyFont="1" applyFill="1" applyBorder="1" applyAlignment="1">
      <alignment vertical="center"/>
    </xf>
    <xf numFmtId="165" fontId="6" fillId="2" borderId="63" xfId="0" applyNumberFormat="1" applyFont="1" applyFill="1" applyBorder="1" applyAlignment="1">
      <alignment vertical="center"/>
    </xf>
    <xf numFmtId="165" fontId="6" fillId="2" borderId="65" xfId="0" applyNumberFormat="1" applyFont="1" applyFill="1" applyBorder="1" applyAlignment="1">
      <alignment vertical="center"/>
    </xf>
    <xf numFmtId="0" fontId="25" fillId="2" borderId="69" xfId="0" applyFont="1" applyFill="1" applyBorder="1" applyAlignment="1">
      <alignment vertical="center"/>
    </xf>
    <xf numFmtId="3" fontId="7" fillId="2" borderId="68" xfId="0" applyNumberFormat="1" applyFont="1" applyFill="1" applyBorder="1" applyAlignment="1">
      <alignment vertical="center"/>
    </xf>
    <xf numFmtId="3" fontId="7" fillId="2" borderId="69" xfId="0" applyNumberFormat="1" applyFont="1" applyFill="1" applyBorder="1" applyAlignment="1">
      <alignment vertical="center"/>
    </xf>
    <xf numFmtId="3" fontId="7" fillId="2" borderId="71" xfId="0" applyNumberFormat="1" applyFont="1" applyFill="1" applyBorder="1" applyAlignment="1">
      <alignment vertical="center"/>
    </xf>
    <xf numFmtId="165" fontId="7" fillId="0" borderId="69" xfId="0" applyNumberFormat="1" applyFont="1" applyFill="1" applyBorder="1" applyAlignment="1">
      <alignment vertical="center"/>
    </xf>
    <xf numFmtId="165" fontId="7" fillId="0" borderId="71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center"/>
    </xf>
    <xf numFmtId="0" fontId="25" fillId="0" borderId="39" xfId="2" applyFont="1" applyFill="1" applyBorder="1" applyAlignment="1">
      <alignment horizontal="center" vertical="center" wrapText="1"/>
    </xf>
    <xf numFmtId="0" fontId="25" fillId="0" borderId="41" xfId="2" applyFont="1" applyFill="1" applyBorder="1" applyAlignment="1">
      <alignment horizontal="center" vertical="center" wrapText="1"/>
    </xf>
    <xf numFmtId="0" fontId="25" fillId="0" borderId="43" xfId="2" applyFont="1" applyFill="1" applyBorder="1" applyAlignment="1">
      <alignment horizontal="center" vertical="center" wrapText="1"/>
    </xf>
    <xf numFmtId="0" fontId="26" fillId="6" borderId="47" xfId="2" applyFont="1" applyFill="1" applyBorder="1" applyAlignment="1">
      <alignment horizontal="left" vertical="center"/>
    </xf>
    <xf numFmtId="0" fontId="16" fillId="6" borderId="92" xfId="0" applyFont="1" applyFill="1" applyBorder="1" applyAlignment="1">
      <alignment vertical="center"/>
    </xf>
    <xf numFmtId="0" fontId="26" fillId="7" borderId="40" xfId="2" applyFont="1" applyFill="1" applyBorder="1" applyAlignment="1">
      <alignment horizontal="left" vertical="center"/>
    </xf>
    <xf numFmtId="0" fontId="16" fillId="7" borderId="18" xfId="0" applyFont="1" applyFill="1" applyBorder="1" applyAlignment="1">
      <alignment vertical="center"/>
    </xf>
    <xf numFmtId="0" fontId="26" fillId="7" borderId="45" xfId="2" applyFont="1" applyFill="1" applyBorder="1" applyAlignment="1">
      <alignment horizontal="left" vertical="center"/>
    </xf>
    <xf numFmtId="0" fontId="16" fillId="7" borderId="97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 wrapText="1"/>
    </xf>
    <xf numFmtId="0" fontId="26" fillId="6" borderId="45" xfId="2" applyFont="1" applyFill="1" applyBorder="1" applyAlignment="1">
      <alignment horizontal="left" vertical="center"/>
    </xf>
    <xf numFmtId="0" fontId="16" fillId="6" borderId="97" xfId="0" applyFont="1" applyFill="1" applyBorder="1" applyAlignment="1">
      <alignment vertical="center"/>
    </xf>
    <xf numFmtId="0" fontId="22" fillId="0" borderId="45" xfId="0" applyFont="1" applyBorder="1" applyAlignment="1">
      <alignment horizontal="left" vertical="center"/>
    </xf>
    <xf numFmtId="0" fontId="22" fillId="0" borderId="97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top"/>
    </xf>
    <xf numFmtId="0" fontId="22" fillId="0" borderId="87" xfId="0" applyFont="1" applyBorder="1" applyAlignment="1">
      <alignment horizontal="left" vertical="top"/>
    </xf>
    <xf numFmtId="0" fontId="15" fillId="0" borderId="23" xfId="2" applyFont="1" applyFill="1" applyBorder="1" applyAlignment="1">
      <alignment horizontal="left" vertical="center" wrapText="1"/>
    </xf>
    <xf numFmtId="0" fontId="15" fillId="0" borderId="24" xfId="2" applyFont="1" applyFill="1" applyBorder="1" applyAlignment="1">
      <alignment horizontal="left" vertical="center" wrapText="1"/>
    </xf>
    <xf numFmtId="0" fontId="15" fillId="0" borderId="126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31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126" xfId="0" applyFont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 wrapText="1"/>
    </xf>
    <xf numFmtId="0" fontId="14" fillId="2" borderId="53" xfId="2" applyFont="1" applyFill="1" applyBorder="1" applyAlignment="1">
      <alignment horizontal="center" vertical="center" wrapText="1"/>
    </xf>
    <xf numFmtId="0" fontId="14" fillId="2" borderId="54" xfId="2" applyFont="1" applyFill="1" applyBorder="1" applyAlignment="1">
      <alignment horizontal="center" vertical="center" wrapText="1"/>
    </xf>
    <xf numFmtId="0" fontId="14" fillId="2" borderId="55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5" fillId="2" borderId="3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vertical="center"/>
    </xf>
    <xf numFmtId="0" fontId="13" fillId="2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wrapText="1"/>
    </xf>
    <xf numFmtId="0" fontId="18" fillId="0" borderId="4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 wrapText="1"/>
    </xf>
    <xf numFmtId="0" fontId="34" fillId="0" borderId="92" xfId="0" applyFont="1" applyBorder="1" applyAlignment="1">
      <alignment horizontal="center" vertical="center" wrapText="1"/>
    </xf>
    <xf numFmtId="3" fontId="20" fillId="2" borderId="64" xfId="2" applyNumberFormat="1" applyFont="1" applyFill="1" applyBorder="1" applyAlignment="1">
      <alignment horizontal="center" vertical="center" wrapText="1"/>
    </xf>
    <xf numFmtId="0" fontId="34" fillId="0" borderId="12" xfId="0" applyFont="1" applyBorder="1"/>
    <xf numFmtId="0" fontId="18" fillId="0" borderId="40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" fontId="20" fillId="2" borderId="95" xfId="2" applyNumberFormat="1" applyFont="1" applyFill="1" applyBorder="1" applyAlignment="1">
      <alignment horizontal="center" vertical="center" wrapText="1"/>
    </xf>
    <xf numFmtId="3" fontId="20" fillId="2" borderId="6" xfId="2" applyNumberFormat="1" applyFont="1" applyFill="1" applyBorder="1" applyAlignment="1">
      <alignment horizontal="center" vertical="center" wrapText="1"/>
    </xf>
    <xf numFmtId="3" fontId="20" fillId="2" borderId="78" xfId="2" applyNumberFormat="1" applyFont="1" applyFill="1" applyBorder="1" applyAlignment="1">
      <alignment horizontal="center" vertical="center" wrapText="1"/>
    </xf>
    <xf numFmtId="0" fontId="31" fillId="2" borderId="40" xfId="2" applyFont="1" applyFill="1" applyBorder="1" applyAlignment="1">
      <alignment wrapText="1"/>
    </xf>
    <xf numFmtId="0" fontId="37" fillId="0" borderId="19" xfId="0" applyFont="1" applyBorder="1" applyAlignment="1">
      <alignment wrapText="1"/>
    </xf>
    <xf numFmtId="0" fontId="37" fillId="0" borderId="87" xfId="0" applyFont="1" applyBorder="1" applyAlignment="1">
      <alignment wrapText="1"/>
    </xf>
    <xf numFmtId="0" fontId="5" fillId="0" borderId="1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33" fillId="0" borderId="81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88" xfId="2" applyFont="1" applyBorder="1" applyAlignment="1">
      <alignment horizontal="center" vertical="center" wrapText="1"/>
    </xf>
    <xf numFmtId="0" fontId="33" fillId="0" borderId="92" xfId="2" applyFont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33" fillId="0" borderId="13" xfId="2" applyFont="1" applyFill="1" applyBorder="1" applyAlignment="1">
      <alignment horizontal="center" vertical="center" wrapText="1"/>
    </xf>
    <xf numFmtId="0" fontId="5" fillId="5" borderId="58" xfId="2" applyFont="1" applyFill="1" applyBorder="1" applyAlignment="1">
      <alignment vertical="top"/>
    </xf>
    <xf numFmtId="0" fontId="16" fillId="0" borderId="62" xfId="0" applyFont="1" applyBorder="1" applyAlignment="1">
      <alignment vertical="top"/>
    </xf>
    <xf numFmtId="0" fontId="16" fillId="0" borderId="93" xfId="0" applyFont="1" applyBorder="1" applyAlignment="1">
      <alignment vertical="top"/>
    </xf>
    <xf numFmtId="3" fontId="32" fillId="5" borderId="124" xfId="2" applyNumberFormat="1" applyFont="1" applyFill="1" applyBorder="1" applyAlignment="1">
      <alignment vertical="top" wrapText="1"/>
    </xf>
    <xf numFmtId="0" fontId="34" fillId="0" borderId="66" xfId="0" applyFont="1" applyBorder="1" applyAlignment="1">
      <alignment vertical="top" wrapText="1"/>
    </xf>
    <xf numFmtId="0" fontId="34" fillId="0" borderId="100" xfId="0" applyFont="1" applyBorder="1" applyAlignment="1">
      <alignment vertical="top" wrapText="1"/>
    </xf>
    <xf numFmtId="0" fontId="40" fillId="5" borderId="64" xfId="2" applyFont="1" applyFill="1" applyBorder="1" applyAlignment="1">
      <alignment vertical="top"/>
    </xf>
    <xf numFmtId="0" fontId="34" fillId="0" borderId="64" xfId="0" applyFont="1" applyBorder="1" applyAlignment="1">
      <alignment vertical="top"/>
    </xf>
    <xf numFmtId="3" fontId="29" fillId="5" borderId="78" xfId="2" applyNumberFormat="1" applyFont="1" applyFill="1" applyBorder="1" applyAlignment="1">
      <alignment vertical="top" wrapText="1"/>
    </xf>
    <xf numFmtId="0" fontId="34" fillId="0" borderId="64" xfId="0" applyFont="1" applyBorder="1" applyAlignment="1"/>
    <xf numFmtId="0" fontId="34" fillId="0" borderId="95" xfId="0" applyFont="1" applyBorder="1" applyAlignment="1"/>
    <xf numFmtId="0" fontId="5" fillId="17" borderId="58" xfId="2" applyFont="1" applyFill="1" applyBorder="1" applyAlignment="1">
      <alignment horizontal="center" vertical="top"/>
    </xf>
    <xf numFmtId="0" fontId="16" fillId="17" borderId="62" xfId="0" applyFont="1" applyFill="1" applyBorder="1" applyAlignment="1">
      <alignment horizontal="center" vertical="top"/>
    </xf>
    <xf numFmtId="0" fontId="16" fillId="17" borderId="68" xfId="0" applyFont="1" applyFill="1" applyBorder="1" applyAlignment="1">
      <alignment horizontal="center" vertical="top"/>
    </xf>
    <xf numFmtId="3" fontId="32" fillId="17" borderId="124" xfId="2" applyNumberFormat="1" applyFont="1" applyFill="1" applyBorder="1" applyAlignment="1">
      <alignment horizontal="center" vertical="top" wrapText="1"/>
    </xf>
    <xf numFmtId="0" fontId="34" fillId="17" borderId="66" xfId="0" applyFont="1" applyFill="1" applyBorder="1" applyAlignment="1">
      <alignment horizontal="center" vertical="top" wrapText="1"/>
    </xf>
    <xf numFmtId="0" fontId="34" fillId="17" borderId="85" xfId="0" applyFont="1" applyFill="1" applyBorder="1" applyAlignment="1">
      <alignment horizontal="center" vertical="top" wrapText="1"/>
    </xf>
    <xf numFmtId="0" fontId="20" fillId="0" borderId="118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wrapText="1"/>
    </xf>
    <xf numFmtId="0" fontId="50" fillId="0" borderId="2" xfId="2" applyFont="1" applyFill="1" applyBorder="1" applyAlignment="1">
      <alignment horizontal="center" vertical="center" wrapText="1"/>
    </xf>
    <xf numFmtId="0" fontId="50" fillId="0" borderId="31" xfId="2" applyFont="1" applyFill="1" applyBorder="1" applyAlignment="1">
      <alignment horizontal="center" vertical="center" wrapText="1"/>
    </xf>
    <xf numFmtId="0" fontId="20" fillId="17" borderId="102" xfId="2" applyFont="1" applyFill="1" applyBorder="1" applyAlignment="1">
      <alignment horizontal="center" vertical="center"/>
    </xf>
    <xf numFmtId="0" fontId="20" fillId="17" borderId="103" xfId="2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top"/>
    </xf>
    <xf numFmtId="0" fontId="17" fillId="2" borderId="37" xfId="0" applyFont="1" applyFill="1" applyBorder="1" applyAlignment="1">
      <alignment horizontal="center" vertical="top"/>
    </xf>
    <xf numFmtId="0" fontId="5" fillId="0" borderId="58" xfId="2" applyFont="1" applyFill="1" applyBorder="1" applyAlignment="1">
      <alignment horizontal="center" vertical="center"/>
    </xf>
    <xf numFmtId="0" fontId="5" fillId="0" borderId="62" xfId="2" applyFont="1" applyFill="1" applyBorder="1" applyAlignment="1">
      <alignment horizontal="center" vertical="center"/>
    </xf>
    <xf numFmtId="0" fontId="5" fillId="0" borderId="9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2" fillId="0" borderId="88" xfId="2" applyFont="1" applyFill="1" applyBorder="1" applyAlignment="1">
      <alignment horizontal="center" vertical="center" wrapText="1"/>
    </xf>
    <xf numFmtId="0" fontId="32" fillId="0" borderId="89" xfId="2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32" fillId="0" borderId="66" xfId="2" applyFont="1" applyFill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3" fontId="20" fillId="2" borderId="66" xfId="2" applyNumberFormat="1" applyFont="1" applyFill="1" applyBorder="1" applyAlignment="1">
      <alignment horizontal="center" vertical="center" wrapText="1"/>
    </xf>
    <xf numFmtId="3" fontId="20" fillId="2" borderId="85" xfId="2" applyNumberFormat="1" applyFont="1" applyFill="1" applyBorder="1" applyAlignment="1">
      <alignment horizontal="center" vertical="center" wrapText="1"/>
    </xf>
    <xf numFmtId="3" fontId="20" fillId="2" borderId="60" xfId="2" applyNumberFormat="1" applyFont="1" applyFill="1" applyBorder="1" applyAlignment="1">
      <alignment horizontal="center" vertical="center" wrapText="1"/>
    </xf>
    <xf numFmtId="3" fontId="20" fillId="2" borderId="75" xfId="2" applyNumberFormat="1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/>
    </xf>
    <xf numFmtId="0" fontId="5" fillId="0" borderId="68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3" fontId="20" fillId="2" borderId="70" xfId="2" applyNumberFormat="1" applyFont="1" applyFill="1" applyBorder="1" applyAlignment="1">
      <alignment horizontal="center" vertical="center" wrapText="1"/>
    </xf>
    <xf numFmtId="3" fontId="33" fillId="2" borderId="64" xfId="2" applyNumberFormat="1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/>
    </xf>
    <xf numFmtId="0" fontId="32" fillId="0" borderId="84" xfId="2" applyFont="1" applyFill="1" applyBorder="1" applyAlignment="1">
      <alignment horizontal="center" vertical="center" wrapText="1"/>
    </xf>
    <xf numFmtId="0" fontId="32" fillId="0" borderId="85" xfId="2" applyFont="1" applyFill="1" applyBorder="1" applyAlignment="1">
      <alignment horizontal="center" vertical="center" wrapText="1"/>
    </xf>
    <xf numFmtId="0" fontId="32" fillId="0" borderId="124" xfId="2" applyFont="1" applyFill="1" applyBorder="1" applyAlignment="1">
      <alignment horizontal="center" vertical="center" wrapText="1"/>
    </xf>
    <xf numFmtId="0" fontId="20" fillId="2" borderId="64" xfId="2" applyFont="1" applyFill="1" applyBorder="1" applyAlignment="1">
      <alignment horizontal="center" vertical="center" wrapText="1"/>
    </xf>
    <xf numFmtId="3" fontId="33" fillId="2" borderId="70" xfId="2" applyNumberFormat="1" applyFont="1" applyFill="1" applyBorder="1" applyAlignment="1">
      <alignment horizontal="center" vertical="center" wrapText="1"/>
    </xf>
    <xf numFmtId="0" fontId="34" fillId="0" borderId="100" xfId="0" applyFont="1" applyBorder="1" applyAlignment="1">
      <alignment horizontal="center" vertical="center" wrapText="1"/>
    </xf>
    <xf numFmtId="0" fontId="34" fillId="0" borderId="64" xfId="0" applyFont="1" applyBorder="1" applyAlignment="1">
      <alignment wrapText="1"/>
    </xf>
    <xf numFmtId="0" fontId="34" fillId="0" borderId="70" xfId="0" applyFont="1" applyBorder="1" applyAlignment="1">
      <alignment wrapText="1"/>
    </xf>
    <xf numFmtId="0" fontId="5" fillId="0" borderId="62" xfId="2" applyFont="1" applyFill="1" applyBorder="1" applyAlignment="1">
      <alignment horizontal="center" vertical="center" wrapText="1"/>
    </xf>
    <xf numFmtId="0" fontId="5" fillId="0" borderId="68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32" fillId="0" borderId="87" xfId="2" applyFont="1" applyFill="1" applyBorder="1" applyAlignment="1">
      <alignment horizontal="center" vertical="center" wrapText="1"/>
    </xf>
    <xf numFmtId="0" fontId="32" fillId="0" borderId="92" xfId="2" applyFont="1" applyFill="1" applyBorder="1" applyAlignment="1">
      <alignment horizontal="center" vertical="center" wrapText="1"/>
    </xf>
    <xf numFmtId="0" fontId="32" fillId="0" borderId="90" xfId="2" applyFont="1" applyFill="1" applyBorder="1" applyAlignment="1">
      <alignment horizontal="center" vertical="center" wrapText="1"/>
    </xf>
    <xf numFmtId="3" fontId="20" fillId="2" borderId="65" xfId="2" applyNumberFormat="1" applyFont="1" applyFill="1" applyBorder="1" applyAlignment="1">
      <alignment horizontal="center" vertical="center" wrapText="1"/>
    </xf>
    <xf numFmtId="3" fontId="20" fillId="2" borderId="31" xfId="2" applyNumberFormat="1" applyFont="1" applyFill="1" applyBorder="1" applyAlignment="1">
      <alignment horizontal="center" vertical="center" wrapText="1"/>
    </xf>
    <xf numFmtId="0" fontId="34" fillId="0" borderId="124" xfId="0" applyFont="1" applyBorder="1" applyAlignment="1">
      <alignment horizontal="center" vertical="center" wrapText="1"/>
    </xf>
    <xf numFmtId="0" fontId="34" fillId="0" borderId="95" xfId="0" applyFont="1" applyBorder="1" applyAlignment="1">
      <alignment horizontal="center" vertical="center" wrapText="1"/>
    </xf>
    <xf numFmtId="0" fontId="5" fillId="0" borderId="62" xfId="2" quotePrefix="1" applyFont="1" applyFill="1" applyBorder="1" applyAlignment="1">
      <alignment horizontal="center" vertical="center"/>
    </xf>
    <xf numFmtId="0" fontId="5" fillId="0" borderId="68" xfId="2" quotePrefix="1" applyFont="1" applyFill="1" applyBorder="1" applyAlignment="1">
      <alignment horizontal="center" vertical="center"/>
    </xf>
    <xf numFmtId="0" fontId="34" fillId="0" borderId="0" xfId="0" applyFont="1" applyBorder="1"/>
    <xf numFmtId="0" fontId="34" fillId="0" borderId="95" xfId="0" applyFont="1" applyBorder="1" applyAlignment="1">
      <alignment wrapText="1"/>
    </xf>
    <xf numFmtId="0" fontId="5" fillId="17" borderId="62" xfId="2" applyFont="1" applyFill="1" applyBorder="1" applyAlignment="1">
      <alignment horizontal="center" vertical="top"/>
    </xf>
    <xf numFmtId="0" fontId="32" fillId="17" borderId="124" xfId="2" applyFont="1" applyFill="1" applyBorder="1" applyAlignment="1">
      <alignment horizontal="center" vertical="center" wrapText="1"/>
    </xf>
    <xf numFmtId="0" fontId="32" fillId="17" borderId="66" xfId="2" applyFont="1" applyFill="1" applyBorder="1" applyAlignment="1">
      <alignment horizontal="center" vertical="center" wrapText="1"/>
    </xf>
    <xf numFmtId="0" fontId="34" fillId="17" borderId="66" xfId="0" applyFont="1" applyFill="1" applyBorder="1" applyAlignment="1">
      <alignment horizontal="center" vertical="center" wrapText="1"/>
    </xf>
    <xf numFmtId="0" fontId="34" fillId="17" borderId="85" xfId="0" applyFont="1" applyFill="1" applyBorder="1" applyAlignment="1">
      <alignment horizontal="center" vertical="center" wrapText="1"/>
    </xf>
    <xf numFmtId="0" fontId="40" fillId="17" borderId="78" xfId="2" applyFont="1" applyFill="1" applyBorder="1" applyAlignment="1">
      <alignment horizontal="left" vertical="center"/>
    </xf>
    <xf numFmtId="0" fontId="34" fillId="17" borderId="64" xfId="0" applyFont="1" applyFill="1" applyBorder="1" applyAlignment="1"/>
    <xf numFmtId="0" fontId="29" fillId="17" borderId="78" xfId="2" applyFont="1" applyFill="1" applyBorder="1" applyAlignment="1">
      <alignment vertical="top"/>
    </xf>
    <xf numFmtId="0" fontId="34" fillId="17" borderId="70" xfId="0" applyFont="1" applyFill="1" applyBorder="1" applyAlignment="1">
      <alignment vertical="top"/>
    </xf>
    <xf numFmtId="3" fontId="32" fillId="0" borderId="84" xfId="2" applyNumberFormat="1" applyFont="1" applyFill="1" applyBorder="1" applyAlignment="1">
      <alignment horizontal="center" vertical="center" wrapText="1"/>
    </xf>
    <xf numFmtId="3" fontId="32" fillId="0" borderId="66" xfId="2" applyNumberFormat="1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/>
    </xf>
    <xf numFmtId="0" fontId="5" fillId="2" borderId="62" xfId="2" applyFont="1" applyFill="1" applyBorder="1" applyAlignment="1">
      <alignment horizontal="center" vertical="center"/>
    </xf>
    <xf numFmtId="3" fontId="5" fillId="8" borderId="58" xfId="2" applyNumberFormat="1" applyFont="1" applyFill="1" applyBorder="1" applyAlignment="1">
      <alignment horizontal="center" vertical="center" wrapText="1"/>
    </xf>
    <xf numFmtId="3" fontId="5" fillId="8" borderId="59" xfId="2" applyNumberFormat="1" applyFont="1" applyFill="1" applyBorder="1" applyAlignment="1">
      <alignment horizontal="center" vertical="center" wrapText="1"/>
    </xf>
    <xf numFmtId="3" fontId="5" fillId="8" borderId="60" xfId="2" applyNumberFormat="1" applyFont="1" applyFill="1" applyBorder="1" applyAlignment="1">
      <alignment horizontal="center" vertical="center" wrapText="1"/>
    </xf>
    <xf numFmtId="3" fontId="32" fillId="0" borderId="124" xfId="2" applyNumberFormat="1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/>
    </xf>
    <xf numFmtId="3" fontId="32" fillId="20" borderId="124" xfId="2" applyNumberFormat="1" applyFont="1" applyFill="1" applyBorder="1" applyAlignment="1">
      <alignment vertical="top" wrapText="1"/>
    </xf>
    <xf numFmtId="3" fontId="32" fillId="20" borderId="84" xfId="2" applyNumberFormat="1" applyFont="1" applyFill="1" applyBorder="1" applyAlignment="1">
      <alignment vertical="top" wrapText="1"/>
    </xf>
    <xf numFmtId="0" fontId="34" fillId="16" borderId="66" xfId="0" applyFont="1" applyFill="1" applyBorder="1" applyAlignment="1">
      <alignment vertical="top" wrapText="1"/>
    </xf>
    <xf numFmtId="0" fontId="34" fillId="16" borderId="85" xfId="0" applyFont="1" applyFill="1" applyBorder="1" applyAlignment="1">
      <alignment vertical="top" wrapText="1"/>
    </xf>
    <xf numFmtId="3" fontId="40" fillId="20" borderId="78" xfId="2" applyNumberFormat="1" applyFont="1" applyFill="1" applyBorder="1" applyAlignment="1">
      <alignment vertical="top" wrapText="1"/>
    </xf>
    <xf numFmtId="0" fontId="34" fillId="16" borderId="64" xfId="0" applyFont="1" applyFill="1" applyBorder="1" applyAlignment="1">
      <alignment vertical="top"/>
    </xf>
    <xf numFmtId="3" fontId="29" fillId="16" borderId="78" xfId="2" applyNumberFormat="1" applyFont="1" applyFill="1" applyBorder="1" applyAlignment="1">
      <alignment vertical="top" wrapText="1"/>
    </xf>
    <xf numFmtId="0" fontId="34" fillId="16" borderId="64" xfId="0" applyFont="1" applyFill="1" applyBorder="1" applyAlignment="1"/>
    <xf numFmtId="0" fontId="34" fillId="16" borderId="70" xfId="0" applyFont="1" applyFill="1" applyBorder="1" applyAlignment="1"/>
    <xf numFmtId="3" fontId="32" fillId="17" borderId="87" xfId="2" applyNumberFormat="1" applyFont="1" applyFill="1" applyBorder="1" applyAlignment="1">
      <alignment horizontal="center" vertical="center" wrapText="1"/>
    </xf>
    <xf numFmtId="3" fontId="32" fillId="17" borderId="88" xfId="2" applyNumberFormat="1" applyFont="1" applyFill="1" applyBorder="1" applyAlignment="1">
      <alignment horizontal="center" vertical="center" wrapText="1"/>
    </xf>
    <xf numFmtId="3" fontId="32" fillId="17" borderId="92" xfId="2" applyNumberFormat="1" applyFont="1" applyFill="1" applyBorder="1" applyAlignment="1">
      <alignment horizontal="center" vertical="center" wrapText="1"/>
    </xf>
    <xf numFmtId="3" fontId="40" fillId="17" borderId="6" xfId="2" applyNumberFormat="1" applyFont="1" applyFill="1" applyBorder="1" applyAlignment="1">
      <alignment horizontal="center" vertical="top" wrapText="1"/>
    </xf>
    <xf numFmtId="3" fontId="40" fillId="17" borderId="78" xfId="2" applyNumberFormat="1" applyFont="1" applyFill="1" applyBorder="1" applyAlignment="1">
      <alignment horizontal="center" vertical="top" wrapText="1"/>
    </xf>
    <xf numFmtId="3" fontId="29" fillId="17" borderId="6" xfId="2" applyNumberFormat="1" applyFont="1" applyFill="1" applyBorder="1" applyAlignment="1">
      <alignment horizontal="center" vertical="top" wrapText="1"/>
    </xf>
    <xf numFmtId="3" fontId="29" fillId="17" borderId="31" xfId="2" applyNumberFormat="1" applyFont="1" applyFill="1" applyBorder="1" applyAlignment="1">
      <alignment horizontal="center" vertical="top" wrapText="1"/>
    </xf>
    <xf numFmtId="0" fontId="5" fillId="0" borderId="17" xfId="2" applyFont="1" applyFill="1" applyBorder="1" applyAlignment="1">
      <alignment horizontal="center" vertical="center"/>
    </xf>
    <xf numFmtId="0" fontId="35" fillId="0" borderId="9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5" fillId="0" borderId="58" xfId="2" quotePrefix="1" applyFont="1" applyFill="1" applyBorder="1" applyAlignment="1">
      <alignment horizontal="center" vertical="center"/>
    </xf>
    <xf numFmtId="0" fontId="5" fillId="17" borderId="79" xfId="2" applyFont="1" applyFill="1" applyBorder="1" applyAlignment="1">
      <alignment horizontal="center" vertical="top"/>
    </xf>
    <xf numFmtId="0" fontId="5" fillId="17" borderId="93" xfId="2" applyFont="1" applyFill="1" applyBorder="1" applyAlignment="1">
      <alignment horizontal="center" vertical="top"/>
    </xf>
    <xf numFmtId="3" fontId="32" fillId="17" borderId="84" xfId="2" applyNumberFormat="1" applyFont="1" applyFill="1" applyBorder="1" applyAlignment="1">
      <alignment horizontal="center" vertical="top" wrapText="1"/>
    </xf>
    <xf numFmtId="0" fontId="34" fillId="17" borderId="100" xfId="0" applyFont="1" applyFill="1" applyBorder="1" applyAlignment="1">
      <alignment horizontal="center" vertical="top" wrapText="1"/>
    </xf>
    <xf numFmtId="3" fontId="40" fillId="17" borderId="78" xfId="2" applyNumberFormat="1" applyFont="1" applyFill="1" applyBorder="1" applyAlignment="1">
      <alignment vertical="top" wrapText="1"/>
    </xf>
    <xf numFmtId="0" fontId="34" fillId="17" borderId="64" xfId="0" applyFont="1" applyFill="1" applyBorder="1" applyAlignment="1">
      <alignment vertical="top"/>
    </xf>
    <xf numFmtId="0" fontId="34" fillId="17" borderId="95" xfId="0" applyFont="1" applyFill="1" applyBorder="1" applyAlignment="1"/>
    <xf numFmtId="0" fontId="34" fillId="0" borderId="70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34" fillId="0" borderId="66" xfId="0" applyFont="1" applyBorder="1" applyAlignment="1">
      <alignment vertical="center" wrapText="1"/>
    </xf>
    <xf numFmtId="0" fontId="34" fillId="0" borderId="92" xfId="0" applyFont="1" applyBorder="1" applyAlignment="1">
      <alignment wrapText="1"/>
    </xf>
    <xf numFmtId="3" fontId="32" fillId="0" borderId="85" xfId="2" applyNumberFormat="1" applyFont="1" applyFill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vertical="center"/>
    </xf>
    <xf numFmtId="0" fontId="16" fillId="0" borderId="68" xfId="0" applyFont="1" applyFill="1" applyBorder="1" applyAlignment="1">
      <alignment vertical="center"/>
    </xf>
    <xf numFmtId="0" fontId="32" fillId="0" borderId="124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32" fillId="0" borderId="85" xfId="0" applyFont="1" applyFill="1" applyBorder="1" applyAlignment="1">
      <alignment horizontal="center" vertical="center" wrapText="1"/>
    </xf>
    <xf numFmtId="0" fontId="34" fillId="0" borderId="88" xfId="0" applyFont="1" applyBorder="1" applyAlignment="1">
      <alignment wrapText="1"/>
    </xf>
    <xf numFmtId="0" fontId="16" fillId="0" borderId="48" xfId="0" applyFont="1" applyBorder="1"/>
    <xf numFmtId="0" fontId="20" fillId="0" borderId="63" xfId="2" applyFont="1" applyFill="1" applyBorder="1" applyAlignment="1">
      <alignment horizontal="center" vertical="center" wrapText="1"/>
    </xf>
    <xf numFmtId="0" fontId="31" fillId="2" borderId="45" xfId="2" applyFont="1" applyFill="1" applyBorder="1" applyAlignment="1">
      <alignment wrapText="1"/>
    </xf>
    <xf numFmtId="0" fontId="43" fillId="0" borderId="35" xfId="0" applyFont="1" applyBorder="1" applyAlignment="1">
      <alignment wrapText="1"/>
    </xf>
    <xf numFmtId="0" fontId="43" fillId="0" borderId="97" xfId="0" applyFont="1" applyBorder="1" applyAlignment="1">
      <alignment wrapText="1"/>
    </xf>
    <xf numFmtId="0" fontId="5" fillId="0" borderId="45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 wrapText="1"/>
    </xf>
    <xf numFmtId="0" fontId="32" fillId="0" borderId="97" xfId="2" applyFont="1" applyBorder="1" applyAlignment="1">
      <alignment horizontal="center" vertical="center" wrapText="1"/>
    </xf>
    <xf numFmtId="0" fontId="35" fillId="0" borderId="64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3" fontId="32" fillId="5" borderId="87" xfId="2" applyNumberFormat="1" applyFont="1" applyFill="1" applyBorder="1" applyAlignment="1">
      <alignment horizontal="center" vertical="top"/>
    </xf>
    <xf numFmtId="0" fontId="34" fillId="0" borderId="88" xfId="0" applyFont="1" applyBorder="1" applyAlignment="1">
      <alignment horizontal="center" vertical="top"/>
    </xf>
    <xf numFmtId="0" fontId="34" fillId="0" borderId="92" xfId="0" applyFont="1" applyBorder="1" applyAlignment="1">
      <alignment horizontal="center" vertical="top"/>
    </xf>
    <xf numFmtId="3" fontId="40" fillId="5" borderId="95" xfId="2" applyNumberFormat="1" applyFont="1" applyFill="1" applyBorder="1" applyAlignment="1">
      <alignment vertical="top" wrapText="1"/>
    </xf>
    <xf numFmtId="0" fontId="34" fillId="0" borderId="6" xfId="0" applyFont="1" applyBorder="1" applyAlignment="1">
      <alignment vertical="top"/>
    </xf>
    <xf numFmtId="0" fontId="34" fillId="0" borderId="78" xfId="0" applyFont="1" applyBorder="1" applyAlignment="1">
      <alignment vertical="top"/>
    </xf>
    <xf numFmtId="3" fontId="29" fillId="5" borderId="95" xfId="2" applyNumberFormat="1" applyFont="1" applyFill="1" applyBorder="1" applyAlignment="1">
      <alignment vertical="top" wrapText="1"/>
    </xf>
    <xf numFmtId="0" fontId="34" fillId="0" borderId="6" xfId="0" applyFont="1" applyBorder="1" applyAlignment="1"/>
    <xf numFmtId="0" fontId="34" fillId="0" borderId="31" xfId="0" applyFont="1" applyBorder="1" applyAlignment="1"/>
    <xf numFmtId="3" fontId="5" fillId="8" borderId="61" xfId="2" applyNumberFormat="1" applyFont="1" applyFill="1" applyBorder="1" applyAlignment="1">
      <alignment horizontal="center" vertical="center" wrapText="1"/>
    </xf>
    <xf numFmtId="0" fontId="33" fillId="0" borderId="124" xfId="2" applyFont="1" applyFill="1" applyBorder="1" applyAlignment="1">
      <alignment horizontal="center" vertical="center" wrapText="1"/>
    </xf>
    <xf numFmtId="0" fontId="33" fillId="0" borderId="66" xfId="2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85" xfId="0" applyFont="1" applyBorder="1" applyAlignment="1">
      <alignment horizontal="center" vertical="center" wrapText="1"/>
    </xf>
    <xf numFmtId="0" fontId="35" fillId="0" borderId="64" xfId="0" applyFont="1" applyFill="1" applyBorder="1" applyAlignment="1">
      <alignment horizontal="center" wrapText="1"/>
    </xf>
    <xf numFmtId="0" fontId="35" fillId="0" borderId="70" xfId="0" applyFont="1" applyFill="1" applyBorder="1" applyAlignment="1">
      <alignment horizontal="center" wrapText="1"/>
    </xf>
    <xf numFmtId="3" fontId="20" fillId="2" borderId="102" xfId="2" applyNumberFormat="1" applyFont="1" applyFill="1" applyBorder="1" applyAlignment="1">
      <alignment horizontal="center" vertical="center" wrapText="1"/>
    </xf>
    <xf numFmtId="0" fontId="34" fillId="0" borderId="102" xfId="0" applyFont="1" applyBorder="1" applyAlignment="1">
      <alignment horizontal="center" vertical="center" wrapText="1"/>
    </xf>
    <xf numFmtId="0" fontId="34" fillId="0" borderId="103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20" fillId="2" borderId="71" xfId="2" applyFont="1" applyFill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5" fillId="0" borderId="66" xfId="0" applyFont="1" applyFill="1" applyBorder="1" applyAlignment="1">
      <alignment horizontal="center" vertical="center" wrapText="1"/>
    </xf>
    <xf numFmtId="0" fontId="35" fillId="0" borderId="85" xfId="0" applyFont="1" applyFill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/>
    </xf>
    <xf numFmtId="0" fontId="35" fillId="0" borderId="84" xfId="0" applyFont="1" applyFill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3" fillId="0" borderId="100" xfId="2" applyFont="1" applyFill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20" fillId="2" borderId="70" xfId="2" applyFont="1" applyFill="1" applyBorder="1" applyAlignment="1">
      <alignment horizontal="center" vertical="center" wrapText="1"/>
    </xf>
    <xf numFmtId="0" fontId="5" fillId="0" borderId="7" xfId="2" quotePrefix="1" applyFont="1" applyFill="1" applyBorder="1" applyAlignment="1">
      <alignment horizontal="center" vertical="center" wrapText="1"/>
    </xf>
    <xf numFmtId="0" fontId="5" fillId="0" borderId="93" xfId="2" applyFont="1" applyFill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33" fillId="0" borderId="84" xfId="2" applyFont="1" applyFill="1" applyBorder="1" applyAlignment="1">
      <alignment horizontal="center" vertical="center" wrapText="1"/>
    </xf>
    <xf numFmtId="3" fontId="20" fillId="0" borderId="64" xfId="2" applyNumberFormat="1" applyFont="1" applyFill="1" applyBorder="1" applyAlignment="1">
      <alignment horizontal="center" vertical="center" wrapText="1"/>
    </xf>
    <xf numFmtId="0" fontId="34" fillId="0" borderId="64" xfId="0" applyFont="1" applyFill="1" applyBorder="1" applyAlignment="1">
      <alignment horizontal="center" vertical="center" wrapText="1"/>
    </xf>
    <xf numFmtId="0" fontId="20" fillId="0" borderId="64" xfId="2" applyFont="1" applyFill="1" applyBorder="1" applyAlignment="1">
      <alignment horizontal="center" vertical="center" wrapText="1"/>
    </xf>
    <xf numFmtId="0" fontId="34" fillId="0" borderId="64" xfId="0" applyFont="1" applyFill="1" applyBorder="1" applyAlignment="1">
      <alignment wrapText="1"/>
    </xf>
    <xf numFmtId="0" fontId="34" fillId="0" borderId="70" xfId="0" applyFont="1" applyFill="1" applyBorder="1" applyAlignment="1">
      <alignment wrapText="1"/>
    </xf>
    <xf numFmtId="0" fontId="5" fillId="0" borderId="17" xfId="2" quotePrefix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20" fillId="2" borderId="132" xfId="2" applyNumberFormat="1" applyFont="1" applyFill="1" applyBorder="1" applyAlignment="1">
      <alignment horizontal="center" vertical="center" wrapText="1"/>
    </xf>
    <xf numFmtId="0" fontId="34" fillId="0" borderId="14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20" fillId="2" borderId="41" xfId="2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35" fillId="0" borderId="124" xfId="0" applyFont="1" applyBorder="1" applyAlignment="1">
      <alignment horizontal="center" vertical="center" wrapText="1"/>
    </xf>
    <xf numFmtId="0" fontId="35" fillId="0" borderId="95" xfId="0" applyFont="1" applyFill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34" fillId="0" borderId="31" xfId="0" applyFont="1" applyBorder="1" applyAlignment="1">
      <alignment wrapText="1"/>
    </xf>
    <xf numFmtId="0" fontId="5" fillId="0" borderId="58" xfId="2" quotePrefix="1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vertical="top"/>
    </xf>
    <xf numFmtId="0" fontId="31" fillId="2" borderId="35" xfId="0" applyFont="1" applyFill="1" applyBorder="1" applyAlignment="1">
      <alignment vertical="top"/>
    </xf>
    <xf numFmtId="0" fontId="43" fillId="0" borderId="35" xfId="0" applyFont="1" applyBorder="1" applyAlignment="1">
      <alignment vertical="top"/>
    </xf>
    <xf numFmtId="0" fontId="43" fillId="0" borderId="97" xfId="0" applyFont="1" applyBorder="1" applyAlignment="1">
      <alignment vertical="top"/>
    </xf>
    <xf numFmtId="0" fontId="33" fillId="0" borderId="51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32" fillId="0" borderId="16" xfId="2" applyFont="1" applyFill="1" applyBorder="1" applyAlignment="1">
      <alignment horizontal="center" vertical="center" wrapText="1"/>
    </xf>
    <xf numFmtId="0" fontId="32" fillId="0" borderId="56" xfId="2" applyFont="1" applyFill="1" applyBorder="1" applyAlignment="1">
      <alignment horizontal="center" vertical="center" wrapText="1"/>
    </xf>
    <xf numFmtId="0" fontId="32" fillId="0" borderId="105" xfId="2" applyFont="1" applyFill="1" applyBorder="1" applyAlignment="1">
      <alignment horizontal="center" vertical="center" wrapText="1"/>
    </xf>
    <xf numFmtId="0" fontId="33" fillId="0" borderId="64" xfId="0" applyFont="1" applyFill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3" fillId="0" borderId="124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wrapText="1"/>
    </xf>
    <xf numFmtId="0" fontId="18" fillId="0" borderId="85" xfId="0" applyFont="1" applyBorder="1" applyAlignment="1">
      <alignment horizontal="center" wrapText="1"/>
    </xf>
    <xf numFmtId="0" fontId="33" fillId="0" borderId="65" xfId="0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29" fillId="2" borderId="8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0" fontId="35" fillId="2" borderId="71" xfId="0" applyFont="1" applyFill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0" fontId="20" fillId="2" borderId="78" xfId="0" applyFont="1" applyFill="1" applyBorder="1" applyAlignment="1">
      <alignment horizontal="center" vertical="center" wrapText="1"/>
    </xf>
    <xf numFmtId="0" fontId="35" fillId="2" borderId="70" xfId="0" applyFont="1" applyFill="1" applyBorder="1" applyAlignment="1">
      <alignment horizontal="center" vertical="center" wrapText="1"/>
    </xf>
    <xf numFmtId="0" fontId="5" fillId="2" borderId="49" xfId="0" quotePrefix="1" applyFont="1" applyFill="1" applyBorder="1" applyAlignment="1">
      <alignment horizontal="center" vertical="center" wrapText="1"/>
    </xf>
    <xf numFmtId="0" fontId="5" fillId="2" borderId="26" xfId="0" quotePrefix="1" applyFont="1" applyFill="1" applyBorder="1" applyAlignment="1">
      <alignment horizontal="center" vertical="center" wrapText="1"/>
    </xf>
    <xf numFmtId="0" fontId="5" fillId="2" borderId="32" xfId="0" quotePrefix="1" applyFont="1" applyFill="1" applyBorder="1" applyAlignment="1">
      <alignment horizontal="center" vertical="center" wrapText="1"/>
    </xf>
    <xf numFmtId="0" fontId="5" fillId="2" borderId="51" xfId="0" quotePrefix="1" applyFont="1" applyFill="1" applyBorder="1" applyAlignment="1">
      <alignment horizontal="center" vertical="center" wrapText="1"/>
    </xf>
    <xf numFmtId="0" fontId="5" fillId="2" borderId="21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33" fillId="0" borderId="87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130" xfId="0" applyFont="1" applyFill="1" applyBorder="1" applyAlignment="1">
      <alignment horizontal="center" vertical="center" wrapText="1"/>
    </xf>
    <xf numFmtId="0" fontId="18" fillId="0" borderId="126" xfId="0" applyFont="1" applyBorder="1" applyAlignment="1">
      <alignment horizontal="center" wrapText="1"/>
    </xf>
    <xf numFmtId="0" fontId="18" fillId="0" borderId="130" xfId="0" applyFont="1" applyBorder="1" applyAlignment="1">
      <alignment horizontal="center" wrapText="1"/>
    </xf>
    <xf numFmtId="0" fontId="33" fillId="2" borderId="65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3" fillId="2" borderId="91" xfId="0" applyFont="1" applyFill="1" applyBorder="1" applyAlignment="1">
      <alignment horizontal="center" vertical="center" wrapText="1"/>
    </xf>
    <xf numFmtId="0" fontId="5" fillId="0" borderId="58" xfId="0" quotePrefix="1" applyFont="1" applyFill="1" applyBorder="1" applyAlignment="1">
      <alignment horizontal="center" vertical="center" wrapText="1"/>
    </xf>
    <xf numFmtId="0" fontId="5" fillId="0" borderId="62" xfId="0" quotePrefix="1" applyFont="1" applyFill="1" applyBorder="1" applyAlignment="1">
      <alignment horizontal="center" vertical="center" wrapText="1"/>
    </xf>
    <xf numFmtId="0" fontId="5" fillId="0" borderId="68" xfId="0" quotePrefix="1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vertical="top"/>
    </xf>
    <xf numFmtId="0" fontId="16" fillId="0" borderId="21" xfId="0" applyFont="1" applyBorder="1" applyAlignment="1"/>
    <xf numFmtId="0" fontId="16" fillId="0" borderId="32" xfId="0" applyFont="1" applyBorder="1" applyAlignment="1"/>
    <xf numFmtId="3" fontId="32" fillId="5" borderId="55" xfId="0" applyNumberFormat="1" applyFont="1" applyFill="1" applyBorder="1" applyAlignment="1">
      <alignment horizontal="center" vertical="top" wrapText="1"/>
    </xf>
    <xf numFmtId="0" fontId="16" fillId="0" borderId="126" xfId="0" applyFont="1" applyBorder="1" applyAlignment="1">
      <alignment horizontal="center" wrapText="1"/>
    </xf>
    <xf numFmtId="0" fontId="16" fillId="0" borderId="130" xfId="0" applyFont="1" applyBorder="1" applyAlignment="1">
      <alignment horizontal="center" wrapText="1"/>
    </xf>
    <xf numFmtId="0" fontId="20" fillId="5" borderId="75" xfId="0" applyFont="1" applyFill="1" applyBorder="1" applyAlignment="1">
      <alignment vertical="center" wrapText="1"/>
    </xf>
    <xf numFmtId="0" fontId="20" fillId="5" borderId="57" xfId="0" applyFont="1" applyFill="1" applyBorder="1" applyAlignment="1">
      <alignment vertical="center" wrapText="1"/>
    </xf>
    <xf numFmtId="0" fontId="34" fillId="0" borderId="56" xfId="0" applyFont="1" applyBorder="1" applyAlignment="1"/>
    <xf numFmtId="0" fontId="34" fillId="0" borderId="83" xfId="0" applyFont="1" applyBorder="1" applyAlignment="1"/>
    <xf numFmtId="0" fontId="20" fillId="16" borderId="75" xfId="0" applyFont="1" applyFill="1" applyBorder="1" applyAlignment="1">
      <alignment vertical="center" wrapText="1"/>
    </xf>
    <xf numFmtId="0" fontId="34" fillId="16" borderId="56" xfId="0" applyFont="1" applyFill="1" applyBorder="1" applyAlignment="1"/>
    <xf numFmtId="0" fontId="34" fillId="16" borderId="105" xfId="0" applyFont="1" applyFill="1" applyBorder="1" applyAlignment="1"/>
    <xf numFmtId="0" fontId="5" fillId="0" borderId="49" xfId="0" quotePrefix="1" applyFont="1" applyFill="1" applyBorder="1" applyAlignment="1">
      <alignment horizontal="center" vertical="center" wrapText="1"/>
    </xf>
    <xf numFmtId="0" fontId="5" fillId="0" borderId="17" xfId="0" quotePrefix="1" applyFont="1" applyFill="1" applyBorder="1" applyAlignment="1">
      <alignment horizontal="center" vertical="center" wrapText="1"/>
    </xf>
    <xf numFmtId="0" fontId="33" fillId="0" borderId="97" xfId="0" applyFont="1" applyFill="1" applyBorder="1" applyAlignment="1">
      <alignment horizontal="center" vertical="center" wrapText="1"/>
    </xf>
    <xf numFmtId="0" fontId="18" fillId="0" borderId="97" xfId="0" applyFont="1" applyBorder="1" applyAlignment="1">
      <alignment horizontal="center" wrapText="1"/>
    </xf>
    <xf numFmtId="0" fontId="18" fillId="0" borderId="87" xfId="0" applyFont="1" applyBorder="1" applyAlignment="1">
      <alignment horizont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2" fillId="0" borderId="87" xfId="0" applyFont="1" applyFill="1" applyBorder="1" applyAlignment="1">
      <alignment horizontal="center" vertical="center" wrapText="1"/>
    </xf>
    <xf numFmtId="0" fontId="32" fillId="0" borderId="88" xfId="0" applyFont="1" applyFill="1" applyBorder="1" applyAlignment="1">
      <alignment horizontal="center" vertical="center" wrapText="1"/>
    </xf>
    <xf numFmtId="0" fontId="32" fillId="0" borderId="97" xfId="0" applyFont="1" applyFill="1" applyBorder="1" applyAlignment="1">
      <alignment horizontal="center" vertical="center" wrapText="1"/>
    </xf>
    <xf numFmtId="3" fontId="25" fillId="2" borderId="64" xfId="0" applyNumberFormat="1" applyFont="1" applyFill="1" applyBorder="1" applyAlignment="1">
      <alignment horizontal="center" vertical="center"/>
    </xf>
    <xf numFmtId="3" fontId="25" fillId="2" borderId="70" xfId="0" applyNumberFormat="1" applyFont="1" applyFill="1" applyBorder="1" applyAlignment="1">
      <alignment horizontal="center" vertical="center"/>
    </xf>
    <xf numFmtId="3" fontId="15" fillId="16" borderId="66" xfId="0" applyNumberFormat="1" applyFont="1" applyFill="1" applyBorder="1" applyAlignment="1">
      <alignment horizontal="center" vertical="top"/>
    </xf>
    <xf numFmtId="3" fontId="15" fillId="16" borderId="64" xfId="0" applyNumberFormat="1" applyFont="1" applyFill="1" applyBorder="1" applyAlignment="1">
      <alignment horizontal="center" vertical="top"/>
    </xf>
    <xf numFmtId="3" fontId="15" fillId="16" borderId="70" xfId="0" applyNumberFormat="1" applyFont="1" applyFill="1" applyBorder="1" applyAlignment="1">
      <alignment horizontal="center" vertical="top"/>
    </xf>
    <xf numFmtId="3" fontId="15" fillId="5" borderId="124" xfId="0" applyNumberFormat="1" applyFont="1" applyFill="1" applyBorder="1" applyAlignment="1">
      <alignment horizontal="center" vertical="center" wrapText="1"/>
    </xf>
    <xf numFmtId="3" fontId="15" fillId="5" borderId="66" xfId="0" applyNumberFormat="1" applyFont="1" applyFill="1" applyBorder="1" applyAlignment="1">
      <alignment horizontal="center" vertical="center" wrapText="1"/>
    </xf>
    <xf numFmtId="3" fontId="15" fillId="5" borderId="8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2" fillId="0" borderId="92" xfId="0" applyFont="1" applyFill="1" applyBorder="1" applyAlignment="1">
      <alignment horizontal="center" vertical="center" wrapText="1"/>
    </xf>
    <xf numFmtId="3" fontId="20" fillId="16" borderId="65" xfId="2" applyNumberFormat="1" applyFont="1" applyFill="1" applyBorder="1" applyAlignment="1">
      <alignment horizontal="center" vertical="center" wrapText="1"/>
    </xf>
    <xf numFmtId="0" fontId="34" fillId="16" borderId="65" xfId="0" applyFont="1" applyFill="1" applyBorder="1" applyAlignment="1">
      <alignment horizontal="center" vertical="center"/>
    </xf>
    <xf numFmtId="0" fontId="34" fillId="16" borderId="71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top"/>
    </xf>
    <xf numFmtId="0" fontId="5" fillId="5" borderId="62" xfId="0" applyFont="1" applyFill="1" applyBorder="1" applyAlignment="1">
      <alignment horizontal="center" vertical="top"/>
    </xf>
    <xf numFmtId="0" fontId="5" fillId="5" borderId="68" xfId="0" applyFont="1" applyFill="1" applyBorder="1" applyAlignment="1">
      <alignment horizontal="center" vertical="top"/>
    </xf>
    <xf numFmtId="0" fontId="16" fillId="0" borderId="7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35" fillId="2" borderId="78" xfId="0" applyFont="1" applyFill="1" applyBorder="1" applyAlignment="1">
      <alignment horizontal="center" vertical="center"/>
    </xf>
    <xf numFmtId="0" fontId="35" fillId="2" borderId="64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2" fillId="0" borderId="126" xfId="0" applyFont="1" applyFill="1" applyBorder="1" applyAlignment="1">
      <alignment horizontal="center" vertical="center" wrapText="1"/>
    </xf>
    <xf numFmtId="0" fontId="32" fillId="0" borderId="130" xfId="0" applyFont="1" applyFill="1" applyBorder="1" applyAlignment="1">
      <alignment horizontal="center" vertical="center" wrapText="1"/>
    </xf>
    <xf numFmtId="0" fontId="34" fillId="0" borderId="126" xfId="0" applyFont="1" applyBorder="1" applyAlignment="1">
      <alignment horizontal="center" vertical="center" wrapText="1"/>
    </xf>
    <xf numFmtId="0" fontId="34" fillId="0" borderId="130" xfId="0" applyFont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43" fillId="0" borderId="88" xfId="0" applyFont="1" applyBorder="1" applyAlignment="1">
      <alignment vertical="center"/>
    </xf>
    <xf numFmtId="0" fontId="5" fillId="11" borderId="17" xfId="0" applyFont="1" applyFill="1" applyBorder="1" applyAlignment="1">
      <alignment vertical="top"/>
    </xf>
    <xf numFmtId="0" fontId="16" fillId="0" borderId="7" xfId="0" applyFont="1" applyBorder="1" applyAlignment="1"/>
    <xf numFmtId="0" fontId="16" fillId="0" borderId="11" xfId="0" applyFont="1" applyBorder="1" applyAlignment="1"/>
    <xf numFmtId="3" fontId="15" fillId="11" borderId="124" xfId="0" applyNumberFormat="1" applyFont="1" applyFill="1" applyBorder="1" applyAlignment="1">
      <alignment horizontal="center" vertical="center" wrapText="1"/>
    </xf>
    <xf numFmtId="3" fontId="15" fillId="11" borderId="66" xfId="0" applyNumberFormat="1" applyFont="1" applyFill="1" applyBorder="1" applyAlignment="1">
      <alignment horizontal="center" vertical="center" wrapText="1"/>
    </xf>
    <xf numFmtId="3" fontId="15" fillId="11" borderId="85" xfId="0" applyNumberFormat="1" applyFont="1" applyFill="1" applyBorder="1" applyAlignment="1">
      <alignment horizontal="center" vertical="center" wrapText="1"/>
    </xf>
    <xf numFmtId="0" fontId="20" fillId="5" borderId="64" xfId="0" applyFont="1" applyFill="1" applyBorder="1" applyAlignment="1">
      <alignment horizontal="center" vertical="center" wrapText="1"/>
    </xf>
    <xf numFmtId="0" fontId="20" fillId="5" borderId="70" xfId="0" applyFont="1" applyFill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20" fillId="2" borderId="75" xfId="2" applyFont="1" applyFill="1" applyBorder="1" applyAlignment="1">
      <alignment horizontal="center" vertical="center" wrapText="1"/>
    </xf>
    <xf numFmtId="0" fontId="34" fillId="0" borderId="105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20" fillId="2" borderId="64" xfId="2" applyFont="1" applyFill="1" applyBorder="1" applyAlignment="1">
      <alignment horizontal="center" vertical="center" wrapText="1" shrinkToFit="1"/>
    </xf>
    <xf numFmtId="0" fontId="34" fillId="2" borderId="75" xfId="0" applyFont="1" applyFill="1" applyBorder="1" applyAlignment="1">
      <alignment horizontal="center" vertical="center" wrapText="1" shrinkToFit="1"/>
    </xf>
    <xf numFmtId="0" fontId="25" fillId="0" borderId="17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17" fillId="0" borderId="4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left" vertical="top" wrapText="1"/>
    </xf>
    <xf numFmtId="0" fontId="31" fillId="2" borderId="38" xfId="0" applyFont="1" applyFill="1" applyBorder="1" applyAlignment="1">
      <alignment horizontal="left" vertical="top" wrapText="1"/>
    </xf>
    <xf numFmtId="0" fontId="43" fillId="0" borderId="50" xfId="0" applyFont="1" applyBorder="1" applyAlignment="1">
      <alignment vertical="top" wrapText="1"/>
    </xf>
    <xf numFmtId="0" fontId="15" fillId="0" borderId="5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3" fontId="20" fillId="11" borderId="131" xfId="0" applyNumberFormat="1" applyFont="1" applyFill="1" applyBorder="1" applyAlignment="1">
      <alignment horizontal="center" vertical="center" wrapText="1"/>
    </xf>
    <xf numFmtId="3" fontId="20" fillId="11" borderId="132" xfId="0" applyNumberFormat="1" applyFont="1" applyFill="1" applyBorder="1" applyAlignment="1">
      <alignment horizontal="center" vertical="center" wrapText="1"/>
    </xf>
    <xf numFmtId="3" fontId="20" fillId="11" borderId="133" xfId="0" applyNumberFormat="1" applyFont="1" applyFill="1" applyBorder="1" applyAlignment="1">
      <alignment horizontal="center" vertical="center" wrapText="1"/>
    </xf>
    <xf numFmtId="0" fontId="33" fillId="0" borderId="58" xfId="0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19" fillId="11" borderId="17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9" fillId="0" borderId="2" xfId="2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left" vertical="center" wrapText="1"/>
    </xf>
    <xf numFmtId="0" fontId="5" fillId="0" borderId="24" xfId="2" applyFont="1" applyFill="1" applyBorder="1" applyAlignment="1">
      <alignment horizontal="left" vertical="center" wrapText="1"/>
    </xf>
    <xf numFmtId="0" fontId="5" fillId="0" borderId="126" xfId="2" applyFont="1" applyFill="1" applyBorder="1" applyAlignment="1">
      <alignment horizontal="left" vertical="center" wrapText="1"/>
    </xf>
    <xf numFmtId="0" fontId="33" fillId="15" borderId="134" xfId="0" applyFont="1" applyFill="1" applyBorder="1" applyAlignment="1">
      <alignment horizontal="center" vertical="center" wrapText="1"/>
    </xf>
    <xf numFmtId="0" fontId="35" fillId="15" borderId="133" xfId="0" applyFont="1" applyFill="1" applyBorder="1" applyAlignment="1">
      <alignment horizontal="center" vertical="center" wrapText="1"/>
    </xf>
    <xf numFmtId="0" fontId="35" fillId="15" borderId="131" xfId="0" applyFont="1" applyFill="1" applyBorder="1" applyAlignment="1">
      <alignment horizontal="center" vertical="center" wrapText="1"/>
    </xf>
    <xf numFmtId="0" fontId="35" fillId="15" borderId="132" xfId="0" applyFont="1" applyFill="1" applyBorder="1" applyAlignment="1">
      <alignment horizontal="center" vertical="center" wrapText="1"/>
    </xf>
    <xf numFmtId="0" fontId="33" fillId="2" borderId="131" xfId="0" applyFont="1" applyFill="1" applyBorder="1" applyAlignment="1">
      <alignment horizontal="center" vertical="center" wrapText="1"/>
    </xf>
    <xf numFmtId="0" fontId="35" fillId="2" borderId="132" xfId="0" applyFont="1" applyFill="1" applyBorder="1" applyAlignment="1">
      <alignment horizontal="center" vertical="center" wrapText="1"/>
    </xf>
    <xf numFmtId="0" fontId="35" fillId="2" borderId="133" xfId="0" applyFont="1" applyFill="1" applyBorder="1" applyAlignment="1">
      <alignment horizontal="center" vertical="center" wrapText="1"/>
    </xf>
    <xf numFmtId="0" fontId="33" fillId="0" borderId="79" xfId="0" applyFont="1" applyFill="1" applyBorder="1" applyAlignment="1">
      <alignment horizontal="center" vertical="center"/>
    </xf>
    <xf numFmtId="0" fontId="33" fillId="0" borderId="68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5" fillId="0" borderId="43" xfId="0" applyFont="1" applyBorder="1" applyAlignment="1">
      <alignment horizontal="center" vertical="center" wrapText="1"/>
    </xf>
    <xf numFmtId="0" fontId="35" fillId="0" borderId="131" xfId="0" applyFont="1" applyBorder="1" applyAlignment="1">
      <alignment horizontal="center" vertical="center" wrapText="1"/>
    </xf>
    <xf numFmtId="0" fontId="35" fillId="0" borderId="132" xfId="0" applyFont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 wrapText="1"/>
    </xf>
    <xf numFmtId="0" fontId="33" fillId="0" borderId="58" xfId="0" quotePrefix="1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33" fillId="0" borderId="131" xfId="0" applyFont="1" applyFill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34" fillId="0" borderId="133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87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88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2" xfId="0" applyFont="1" applyBorder="1" applyAlignment="1">
      <alignment horizontal="left" vertical="center"/>
    </xf>
    <xf numFmtId="0" fontId="34" fillId="0" borderId="131" xfId="0" applyFont="1" applyBorder="1" applyAlignment="1">
      <alignment horizontal="center" vertical="center" wrapText="1"/>
    </xf>
    <xf numFmtId="0" fontId="31" fillId="2" borderId="45" xfId="0" applyFont="1" applyFill="1" applyBorder="1" applyAlignment="1">
      <alignment vertical="center" wrapText="1"/>
    </xf>
    <xf numFmtId="0" fontId="50" fillId="0" borderId="40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32" fillId="15" borderId="81" xfId="2" applyFont="1" applyFill="1" applyBorder="1" applyAlignment="1">
      <alignment horizontal="center" vertical="center" wrapText="1"/>
    </xf>
    <xf numFmtId="0" fontId="32" fillId="15" borderId="6" xfId="2" applyFont="1" applyFill="1" applyBorder="1" applyAlignment="1">
      <alignment horizontal="center" vertical="center" wrapText="1"/>
    </xf>
    <xf numFmtId="0" fontId="32" fillId="15" borderId="31" xfId="2" applyFont="1" applyFill="1" applyBorder="1" applyAlignment="1">
      <alignment horizontal="center" vertical="center" wrapText="1"/>
    </xf>
    <xf numFmtId="0" fontId="33" fillId="0" borderId="118" xfId="2" applyFont="1" applyFill="1" applyBorder="1" applyAlignment="1">
      <alignment horizontal="center" vertical="center" wrapText="1"/>
    </xf>
    <xf numFmtId="0" fontId="33" fillId="0" borderId="15" xfId="2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34" xfId="0" applyFont="1" applyFill="1" applyBorder="1" applyAlignment="1">
      <alignment horizontal="center" vertical="center" wrapText="1"/>
    </xf>
    <xf numFmtId="0" fontId="35" fillId="0" borderId="134" xfId="0" applyFont="1" applyBorder="1" applyAlignment="1">
      <alignment horizontal="center" vertical="center" wrapText="1"/>
    </xf>
    <xf numFmtId="0" fontId="20" fillId="2" borderId="95" xfId="0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 wrapText="1"/>
    </xf>
    <xf numFmtId="0" fontId="45" fillId="0" borderId="132" xfId="0" applyFont="1" applyFill="1" applyBorder="1" applyAlignment="1">
      <alignment horizontal="center" vertical="center" wrapText="1"/>
    </xf>
    <xf numFmtId="0" fontId="54" fillId="0" borderId="133" xfId="0" applyFont="1" applyBorder="1" applyAlignment="1">
      <alignment horizontal="center" vertical="center" wrapText="1"/>
    </xf>
    <xf numFmtId="0" fontId="54" fillId="0" borderId="131" xfId="0" applyFont="1" applyBorder="1" applyAlignment="1">
      <alignment horizontal="center" vertical="center" wrapText="1"/>
    </xf>
    <xf numFmtId="0" fontId="33" fillId="0" borderId="132" xfId="0" applyFont="1" applyFill="1" applyBorder="1" applyAlignment="1">
      <alignment horizontal="center" vertical="center" wrapText="1"/>
    </xf>
    <xf numFmtId="0" fontId="35" fillId="2" borderId="95" xfId="0" applyFont="1" applyFill="1" applyBorder="1" applyAlignment="1">
      <alignment horizontal="center" vertical="center" wrapText="1"/>
    </xf>
    <xf numFmtId="0" fontId="19" fillId="11" borderId="49" xfId="0" applyFont="1" applyFill="1" applyBorder="1" applyAlignment="1">
      <alignment vertical="center"/>
    </xf>
    <xf numFmtId="0" fontId="16" fillId="0" borderId="17" xfId="0" applyFont="1" applyBorder="1" applyAlignment="1">
      <alignment vertical="center"/>
    </xf>
    <xf numFmtId="3" fontId="32" fillId="11" borderId="46" xfId="0" applyNumberFormat="1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2" fillId="5" borderId="6" xfId="0" applyFont="1" applyFill="1" applyBorder="1" applyAlignment="1">
      <alignment vertical="center" wrapText="1"/>
    </xf>
    <xf numFmtId="0" fontId="34" fillId="0" borderId="6" xfId="0" applyFont="1" applyBorder="1" applyAlignment="1">
      <alignment vertical="center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0" fontId="32" fillId="0" borderId="13" xfId="2" applyFont="1" applyFill="1" applyBorder="1" applyAlignment="1">
      <alignment horizontal="center" vertical="center" wrapText="1"/>
    </xf>
    <xf numFmtId="0" fontId="29" fillId="5" borderId="65" xfId="2" applyFont="1" applyFill="1" applyBorder="1" applyAlignment="1">
      <alignment horizontal="center" vertical="center"/>
    </xf>
    <xf numFmtId="0" fontId="29" fillId="5" borderId="71" xfId="2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top"/>
    </xf>
    <xf numFmtId="0" fontId="15" fillId="0" borderId="17" xfId="0" quotePrefix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0" fontId="15" fillId="0" borderId="11" xfId="0" quotePrefix="1" applyFont="1" applyFill="1" applyBorder="1" applyAlignment="1">
      <alignment horizontal="center" vertical="center"/>
    </xf>
    <xf numFmtId="0" fontId="28" fillId="0" borderId="87" xfId="0" applyFont="1" applyFill="1" applyBorder="1" applyAlignment="1">
      <alignment horizontal="center" vertical="center" wrapText="1"/>
    </xf>
    <xf numFmtId="0" fontId="28" fillId="0" borderId="88" xfId="0" applyFont="1" applyFill="1" applyBorder="1" applyAlignment="1">
      <alignment horizontal="center" vertical="center" wrapText="1"/>
    </xf>
    <xf numFmtId="0" fontId="28" fillId="0" borderId="92" xfId="0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3" fontId="20" fillId="2" borderId="4" xfId="2" applyNumberFormat="1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15" fillId="5" borderId="7" xfId="0" applyFont="1" applyFill="1" applyBorder="1" applyAlignment="1">
      <alignment vertical="top"/>
    </xf>
    <xf numFmtId="0" fontId="34" fillId="0" borderId="71" xfId="0" applyFont="1" applyBorder="1" applyAlignment="1">
      <alignment horizontal="center" vertical="center"/>
    </xf>
    <xf numFmtId="0" fontId="15" fillId="0" borderId="58" xfId="0" quotePrefix="1" applyFont="1" applyFill="1" applyBorder="1" applyAlignment="1">
      <alignment horizontal="center" vertical="center"/>
    </xf>
    <xf numFmtId="0" fontId="15" fillId="0" borderId="62" xfId="0" quotePrefix="1" applyFont="1" applyFill="1" applyBorder="1" applyAlignment="1">
      <alignment horizontal="center" vertical="center"/>
    </xf>
    <xf numFmtId="0" fontId="15" fillId="0" borderId="68" xfId="0" quotePrefix="1" applyFont="1" applyFill="1" applyBorder="1" applyAlignment="1">
      <alignment horizontal="center" vertical="center"/>
    </xf>
    <xf numFmtId="0" fontId="34" fillId="0" borderId="102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28" fillId="2" borderId="124" xfId="0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center" vertical="center" wrapText="1"/>
    </xf>
    <xf numFmtId="0" fontId="28" fillId="2" borderId="85" xfId="0" applyFont="1" applyFill="1" applyBorder="1" applyAlignment="1">
      <alignment horizontal="center" vertical="center" wrapText="1"/>
    </xf>
    <xf numFmtId="0" fontId="34" fillId="2" borderId="65" xfId="0" applyFont="1" applyFill="1" applyBorder="1" applyAlignment="1">
      <alignment horizontal="center" vertical="center"/>
    </xf>
    <xf numFmtId="0" fontId="34" fillId="2" borderId="71" xfId="0" applyFont="1" applyFill="1" applyBorder="1" applyAlignment="1">
      <alignment horizontal="center" vertical="center"/>
    </xf>
    <xf numFmtId="0" fontId="28" fillId="0" borderId="124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28" fillId="0" borderId="85" xfId="0" applyFont="1" applyFill="1" applyBorder="1" applyAlignment="1">
      <alignment horizontal="center" vertical="center" wrapText="1"/>
    </xf>
    <xf numFmtId="0" fontId="35" fillId="2" borderId="80" xfId="0" applyFont="1" applyFill="1" applyBorder="1" applyAlignment="1">
      <alignment horizontal="center" vertical="center"/>
    </xf>
    <xf numFmtId="0" fontId="35" fillId="2" borderId="7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horizontal="center" vertical="center" wrapText="1"/>
    </xf>
    <xf numFmtId="3" fontId="20" fillId="2" borderId="80" xfId="2" applyNumberFormat="1" applyFont="1" applyFill="1" applyBorder="1" applyAlignment="1">
      <alignment horizontal="center" vertical="center" wrapText="1"/>
    </xf>
    <xf numFmtId="3" fontId="20" fillId="5" borderId="88" xfId="0" applyNumberFormat="1" applyFont="1" applyFill="1" applyBorder="1" applyAlignment="1">
      <alignment horizontal="center" vertical="center" wrapText="1"/>
    </xf>
    <xf numFmtId="3" fontId="20" fillId="5" borderId="92" xfId="0" applyNumberFormat="1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43" fillId="0" borderId="35" xfId="0" applyFont="1" applyBorder="1" applyAlignment="1">
      <alignment vertical="center" wrapText="1"/>
    </xf>
    <xf numFmtId="0" fontId="43" fillId="0" borderId="97" xfId="0" applyFont="1" applyBorder="1" applyAlignment="1">
      <alignment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105" xfId="0" applyFont="1" applyBorder="1" applyAlignment="1">
      <alignment horizontal="center" vertical="center" wrapText="1"/>
    </xf>
    <xf numFmtId="0" fontId="33" fillId="0" borderId="101" xfId="2" applyFont="1" applyFill="1" applyBorder="1" applyAlignment="1">
      <alignment horizontal="center" vertical="center"/>
    </xf>
    <xf numFmtId="0" fontId="33" fillId="0" borderId="72" xfId="2" applyFont="1" applyFill="1" applyBorder="1" applyAlignment="1">
      <alignment horizontal="center" vertical="center"/>
    </xf>
    <xf numFmtId="0" fontId="16" fillId="0" borderId="73" xfId="0" applyFont="1" applyBorder="1"/>
    <xf numFmtId="0" fontId="32" fillId="0" borderId="55" xfId="2" applyFont="1" applyFill="1" applyBorder="1" applyAlignment="1">
      <alignment horizontal="center" vertical="center" wrapText="1"/>
    </xf>
    <xf numFmtId="0" fontId="32" fillId="0" borderId="126" xfId="2" applyFont="1" applyFill="1" applyBorder="1" applyAlignment="1">
      <alignment horizontal="center" vertical="center" wrapText="1"/>
    </xf>
    <xf numFmtId="0" fontId="32" fillId="0" borderId="130" xfId="2" applyFont="1" applyFill="1" applyBorder="1" applyAlignment="1">
      <alignment horizontal="center" vertical="center" wrapText="1"/>
    </xf>
    <xf numFmtId="0" fontId="34" fillId="0" borderId="64" xfId="0" applyFont="1" applyBorder="1"/>
    <xf numFmtId="0" fontId="34" fillId="0" borderId="70" xfId="0" applyFont="1" applyBorder="1"/>
    <xf numFmtId="0" fontId="20" fillId="5" borderId="17" xfId="0" applyFont="1" applyFill="1" applyBorder="1" applyAlignment="1">
      <alignment vertical="center"/>
    </xf>
    <xf numFmtId="3" fontId="32" fillId="0" borderId="87" xfId="2" applyNumberFormat="1" applyFont="1" applyFill="1" applyBorder="1" applyAlignment="1">
      <alignment horizontal="center" vertical="center" wrapText="1"/>
    </xf>
    <xf numFmtId="0" fontId="29" fillId="5" borderId="6" xfId="2" applyFont="1" applyFill="1" applyBorder="1" applyAlignment="1">
      <alignment horizontal="left" vertical="center"/>
    </xf>
    <xf numFmtId="0" fontId="34" fillId="0" borderId="78" xfId="0" applyFont="1" applyBorder="1" applyAlignment="1"/>
    <xf numFmtId="0" fontId="28" fillId="0" borderId="45" xfId="0" applyFont="1" applyBorder="1" applyAlignment="1">
      <alignment horizontal="center" vertical="top"/>
    </xf>
    <xf numFmtId="0" fontId="28" fillId="0" borderId="37" xfId="0" applyFont="1" applyBorder="1" applyAlignment="1">
      <alignment horizontal="center" vertical="top"/>
    </xf>
    <xf numFmtId="0" fontId="33" fillId="0" borderId="58" xfId="2" applyFont="1" applyFill="1" applyBorder="1" applyAlignment="1">
      <alignment horizontal="center" vertical="center"/>
    </xf>
    <xf numFmtId="0" fontId="33" fillId="0" borderId="62" xfId="2" applyFont="1" applyFill="1" applyBorder="1" applyAlignment="1">
      <alignment horizontal="center" vertical="center"/>
    </xf>
    <xf numFmtId="0" fontId="33" fillId="0" borderId="68" xfId="2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wrapText="1" shrinkToFit="1"/>
    </xf>
    <xf numFmtId="0" fontId="34" fillId="0" borderId="91" xfId="0" applyFont="1" applyBorder="1" applyAlignment="1">
      <alignment horizontal="center" wrapText="1" shrinkToFit="1"/>
    </xf>
    <xf numFmtId="0" fontId="33" fillId="0" borderId="17" xfId="2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16" fillId="0" borderId="11" xfId="0" applyFont="1" applyBorder="1"/>
    <xf numFmtId="0" fontId="28" fillId="0" borderId="55" xfId="0" applyFont="1" applyBorder="1" applyAlignment="1">
      <alignment horizontal="center" vertical="center" wrapText="1"/>
    </xf>
    <xf numFmtId="0" fontId="28" fillId="0" borderId="126" xfId="0" applyFont="1" applyBorder="1" applyAlignment="1">
      <alignment horizontal="center" vertical="center" wrapText="1"/>
    </xf>
    <xf numFmtId="0" fontId="28" fillId="0" borderId="130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34" fillId="0" borderId="97" xfId="0" applyFont="1" applyBorder="1"/>
    <xf numFmtId="0" fontId="20" fillId="2" borderId="65" xfId="2" applyFont="1" applyFill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3" fillId="2" borderId="65" xfId="2" applyFont="1" applyFill="1" applyBorder="1" applyAlignment="1">
      <alignment horizontal="center" vertical="center" wrapText="1"/>
    </xf>
    <xf numFmtId="0" fontId="33" fillId="2" borderId="71" xfId="2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3" fillId="0" borderId="51" xfId="2" applyFont="1" applyFill="1" applyBorder="1" applyAlignment="1">
      <alignment horizontal="center" vertical="center"/>
    </xf>
    <xf numFmtId="0" fontId="33" fillId="0" borderId="21" xfId="2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wrapText="1"/>
    </xf>
    <xf numFmtId="0" fontId="34" fillId="0" borderId="70" xfId="0" applyFont="1" applyBorder="1" applyAlignment="1">
      <alignment horizontal="center" wrapText="1"/>
    </xf>
    <xf numFmtId="0" fontId="33" fillId="0" borderId="49" xfId="2" applyFont="1" applyFill="1" applyBorder="1" applyAlignment="1">
      <alignment horizontal="center" vertical="center"/>
    </xf>
    <xf numFmtId="0" fontId="16" fillId="0" borderId="68" xfId="0" applyFont="1" applyBorder="1"/>
    <xf numFmtId="0" fontId="32" fillId="0" borderId="97" xfId="2" applyFont="1" applyFill="1" applyBorder="1" applyAlignment="1">
      <alignment horizontal="center" vertical="center" wrapText="1"/>
    </xf>
    <xf numFmtId="0" fontId="33" fillId="0" borderId="79" xfId="2" applyFont="1" applyFill="1" applyBorder="1" applyAlignment="1">
      <alignment horizontal="center" vertical="center"/>
    </xf>
    <xf numFmtId="0" fontId="33" fillId="0" borderId="32" xfId="2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20" fillId="2" borderId="57" xfId="2" applyFont="1" applyFill="1" applyBorder="1" applyAlignment="1">
      <alignment horizontal="center" vertical="center" wrapText="1"/>
    </xf>
    <xf numFmtId="0" fontId="20" fillId="2" borderId="10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/>
    </xf>
    <xf numFmtId="0" fontId="20" fillId="2" borderId="56" xfId="2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3" fillId="0" borderId="26" xfId="2" applyFont="1" applyFill="1" applyBorder="1" applyAlignment="1">
      <alignment horizontal="center" vertical="center"/>
    </xf>
    <xf numFmtId="0" fontId="33" fillId="0" borderId="17" xfId="2" quotePrefix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wrapText="1" shrinkToFit="1"/>
    </xf>
    <xf numFmtId="0" fontId="34" fillId="0" borderId="56" xfId="0" applyFont="1" applyBorder="1" applyAlignment="1">
      <alignment horizontal="center" wrapText="1" shrinkToFit="1"/>
    </xf>
    <xf numFmtId="0" fontId="34" fillId="0" borderId="105" xfId="0" applyFont="1" applyBorder="1" applyAlignment="1">
      <alignment horizontal="center" wrapText="1" shrinkToFit="1"/>
    </xf>
    <xf numFmtId="0" fontId="28" fillId="0" borderId="87" xfId="2" applyFont="1" applyFill="1" applyBorder="1" applyAlignment="1">
      <alignment horizontal="center" vertical="center" wrapText="1"/>
    </xf>
    <xf numFmtId="0" fontId="28" fillId="0" borderId="88" xfId="2" applyFont="1" applyFill="1" applyBorder="1" applyAlignment="1">
      <alignment horizontal="center" vertical="center" wrapText="1"/>
    </xf>
    <xf numFmtId="0" fontId="28" fillId="0" borderId="92" xfId="2" applyFont="1" applyFill="1" applyBorder="1" applyAlignment="1">
      <alignment horizontal="center" vertical="center" wrapText="1"/>
    </xf>
    <xf numFmtId="0" fontId="34" fillId="0" borderId="65" xfId="0" applyFont="1" applyBorder="1"/>
    <xf numFmtId="0" fontId="31" fillId="2" borderId="47" xfId="0" applyFont="1" applyFill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43" fillId="0" borderId="92" xfId="0" applyFont="1" applyBorder="1" applyAlignment="1">
      <alignment vertical="center"/>
    </xf>
    <xf numFmtId="0" fontId="29" fillId="5" borderId="64" xfId="2" applyFont="1" applyFill="1" applyBorder="1" applyAlignment="1">
      <alignment horizontal="left" vertical="center"/>
    </xf>
    <xf numFmtId="0" fontId="34" fillId="0" borderId="70" xfId="0" applyFont="1" applyBorder="1" applyAlignment="1"/>
    <xf numFmtId="0" fontId="35" fillId="0" borderId="7" xfId="0" applyFont="1" applyBorder="1" applyAlignment="1">
      <alignment horizontal="center" vertical="center"/>
    </xf>
    <xf numFmtId="0" fontId="28" fillId="0" borderId="55" xfId="2" applyFont="1" applyFill="1" applyBorder="1" applyAlignment="1">
      <alignment horizontal="center" vertical="center" wrapText="1"/>
    </xf>
    <xf numFmtId="0" fontId="28" fillId="0" borderId="126" xfId="2" applyFont="1" applyFill="1" applyBorder="1" applyAlignment="1">
      <alignment horizontal="center" vertical="center" wrapText="1"/>
    </xf>
    <xf numFmtId="0" fontId="28" fillId="0" borderId="130" xfId="2" applyFont="1" applyFill="1" applyBorder="1" applyAlignment="1">
      <alignment horizontal="center" vertical="center" wrapText="1"/>
    </xf>
    <xf numFmtId="0" fontId="34" fillId="0" borderId="95" xfId="0" applyFont="1" applyBorder="1" applyAlignment="1">
      <alignment horizontal="center" wrapText="1"/>
    </xf>
    <xf numFmtId="0" fontId="28" fillId="2" borderId="87" xfId="0" quotePrefix="1" applyFont="1" applyFill="1" applyBorder="1" applyAlignment="1">
      <alignment horizontal="center" vertical="top"/>
    </xf>
    <xf numFmtId="0" fontId="28" fillId="2" borderId="88" xfId="0" quotePrefix="1" applyFont="1" applyFill="1" applyBorder="1" applyAlignment="1">
      <alignment horizontal="center" vertical="top"/>
    </xf>
    <xf numFmtId="0" fontId="28" fillId="2" borderId="92" xfId="0" quotePrefix="1" applyFont="1" applyFill="1" applyBorder="1" applyAlignment="1">
      <alignment horizontal="center" vertical="top"/>
    </xf>
    <xf numFmtId="0" fontId="35" fillId="0" borderId="17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20" fillId="2" borderId="63" xfId="2" applyFont="1" applyFill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43" fillId="0" borderId="13" xfId="0" applyFont="1" applyBorder="1" applyAlignment="1">
      <alignment vertical="top"/>
    </xf>
    <xf numFmtId="0" fontId="43" fillId="0" borderId="31" xfId="0" applyFont="1" applyBorder="1" applyAlignment="1">
      <alignment vertical="top"/>
    </xf>
    <xf numFmtId="0" fontId="20" fillId="0" borderId="5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33" fillId="5" borderId="17" xfId="2" applyFont="1" applyFill="1" applyBorder="1" applyAlignment="1">
      <alignment horizontal="center" vertical="top"/>
    </xf>
    <xf numFmtId="3" fontId="32" fillId="5" borderId="81" xfId="2" applyNumberFormat="1" applyFont="1" applyFill="1" applyBorder="1" applyAlignment="1">
      <alignment horizontal="center" vertical="center"/>
    </xf>
    <xf numFmtId="3" fontId="32" fillId="5" borderId="6" xfId="2" applyNumberFormat="1" applyFont="1" applyFill="1" applyBorder="1" applyAlignment="1">
      <alignment horizontal="center" vertical="center"/>
    </xf>
    <xf numFmtId="3" fontId="40" fillId="5" borderId="75" xfId="2" applyNumberFormat="1" applyFont="1" applyFill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9" fillId="5" borderId="75" xfId="2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20" fillId="2" borderId="95" xfId="2" applyFont="1" applyFill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3" fontId="20" fillId="5" borderId="55" xfId="0" applyNumberFormat="1" applyFont="1" applyFill="1" applyBorder="1" applyAlignment="1">
      <alignment horizontal="center" vertical="center" wrapText="1"/>
    </xf>
    <xf numFmtId="3" fontId="20" fillId="5" borderId="126" xfId="0" applyNumberFormat="1" applyFont="1" applyFill="1" applyBorder="1" applyAlignment="1">
      <alignment horizontal="center" vertical="center" wrapText="1"/>
    </xf>
    <xf numFmtId="3" fontId="20" fillId="5" borderId="130" xfId="0" applyNumberFormat="1" applyFont="1" applyFill="1" applyBorder="1" applyAlignment="1">
      <alignment horizontal="center" vertical="center" wrapText="1"/>
    </xf>
    <xf numFmtId="0" fontId="40" fillId="5" borderId="143" xfId="2" applyFont="1" applyFill="1" applyBorder="1" applyAlignment="1">
      <alignment horizontal="center" vertical="center"/>
    </xf>
    <xf numFmtId="0" fontId="40" fillId="5" borderId="144" xfId="2" applyFont="1" applyFill="1" applyBorder="1" applyAlignment="1">
      <alignment horizontal="center" vertical="center"/>
    </xf>
    <xf numFmtId="0" fontId="32" fillId="0" borderId="89" xfId="0" applyFont="1" applyFill="1" applyBorder="1" applyAlignment="1">
      <alignment horizontal="center" vertical="center" wrapText="1"/>
    </xf>
    <xf numFmtId="0" fontId="16" fillId="0" borderId="126" xfId="0" applyFont="1" applyBorder="1" applyAlignment="1">
      <alignment horizontal="center" vertical="center" wrapText="1"/>
    </xf>
    <xf numFmtId="0" fontId="16" fillId="0" borderId="130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left" vertical="center" wrapText="1"/>
    </xf>
    <xf numFmtId="0" fontId="37" fillId="2" borderId="48" xfId="0" applyFont="1" applyFill="1" applyBorder="1" applyAlignment="1">
      <alignment horizontal="left" vertical="center" wrapText="1"/>
    </xf>
    <xf numFmtId="0" fontId="37" fillId="2" borderId="88" xfId="0" applyFont="1" applyFill="1" applyBorder="1" applyAlignment="1">
      <alignment horizontal="left" vertical="center" wrapText="1"/>
    </xf>
    <xf numFmtId="0" fontId="43" fillId="0" borderId="0" xfId="0" applyFont="1" applyBorder="1" applyAlignment="1">
      <alignment vertical="center"/>
    </xf>
    <xf numFmtId="0" fontId="33" fillId="0" borderId="101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 wrapText="1"/>
    </xf>
    <xf numFmtId="0" fontId="33" fillId="0" borderId="68" xfId="0" applyFont="1" applyFill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34" fillId="0" borderId="105" xfId="0" applyFont="1" applyBorder="1" applyAlignment="1">
      <alignment horizontal="center" vertical="center"/>
    </xf>
    <xf numFmtId="3" fontId="32" fillId="5" borderId="88" xfId="2" applyNumberFormat="1" applyFont="1" applyFill="1" applyBorder="1" applyAlignment="1">
      <alignment horizontal="center" vertical="center"/>
    </xf>
    <xf numFmtId="3" fontId="32" fillId="5" borderId="92" xfId="2" applyNumberFormat="1" applyFont="1" applyFill="1" applyBorder="1" applyAlignment="1">
      <alignment horizontal="center" vertical="center"/>
    </xf>
    <xf numFmtId="0" fontId="33" fillId="5" borderId="7" xfId="2" applyFont="1" applyFill="1" applyBorder="1" applyAlignment="1">
      <alignment horizontal="center" vertical="top"/>
    </xf>
    <xf numFmtId="0" fontId="31" fillId="2" borderId="47" xfId="0" applyFont="1" applyFill="1" applyBorder="1" applyAlignment="1">
      <alignment horizontal="left" vertical="top" wrapText="1"/>
    </xf>
    <xf numFmtId="0" fontId="37" fillId="2" borderId="12" xfId="0" applyFont="1" applyFill="1" applyBorder="1" applyAlignment="1">
      <alignment horizontal="left" vertical="top" wrapText="1"/>
    </xf>
    <xf numFmtId="0" fontId="43" fillId="0" borderId="12" xfId="0" applyFont="1" applyBorder="1" applyAlignment="1">
      <alignment vertical="top"/>
    </xf>
    <xf numFmtId="0" fontId="43" fillId="0" borderId="92" xfId="0" applyFont="1" applyBorder="1" applyAlignment="1">
      <alignment vertical="top"/>
    </xf>
    <xf numFmtId="0" fontId="20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2" fillId="0" borderId="2" xfId="2" applyFont="1" applyFill="1" applyBorder="1" applyAlignment="1">
      <alignment horizontal="center" vertical="center" wrapText="1"/>
    </xf>
    <xf numFmtId="0" fontId="32" fillId="0" borderId="31" xfId="2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4"/>
    <cellStyle name="Normalny_Kopia WPI_zest_u_marszal_05_09_06_nowe" xfId="2"/>
    <cellStyle name="Normalny_WPI Drogi i Transport 2007-2010_DIN" xfId="3"/>
  </cellStyles>
  <dxfs count="0"/>
  <tableStyles count="0" defaultTableStyle="TableStyleMedium2" defaultPivotStyle="PivotStyleLight16"/>
  <colors>
    <mruColors>
      <color rgb="FFFFFF99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94</xdr:row>
      <xdr:rowOff>0</xdr:rowOff>
    </xdr:from>
    <xdr:to>
      <xdr:col>14</xdr:col>
      <xdr:colOff>0</xdr:colOff>
      <xdr:row>94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544925" y="157353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 rot="4832260">
          <a:off x="14963775" y="7858125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476"/>
  <sheetViews>
    <sheetView showGridLines="0" tabSelected="1" view="pageBreakPreview" zoomScaleNormal="100" zoomScaleSheetLayoutView="100" workbookViewId="0">
      <selection activeCell="O106" sqref="O106"/>
    </sheetView>
  </sheetViews>
  <sheetFormatPr defaultRowHeight="12.75" x14ac:dyDescent="0.2"/>
  <cols>
    <col min="1" max="1" width="4.42578125" style="2" customWidth="1"/>
    <col min="2" max="2" width="44.85546875" style="3" customWidth="1"/>
    <col min="3" max="3" width="14.28515625" style="3" customWidth="1"/>
    <col min="4" max="4" width="12.28515625" style="3" customWidth="1"/>
    <col min="5" max="5" width="13.140625" style="117" customWidth="1"/>
    <col min="6" max="6" width="12.7109375" style="4" customWidth="1"/>
    <col min="7" max="7" width="15" style="4" customWidth="1"/>
    <col min="8" max="8" width="14.5703125" style="4" customWidth="1"/>
    <col min="9" max="9" width="9.85546875" style="4" customWidth="1"/>
    <col min="10" max="10" width="12.140625" style="4" customWidth="1"/>
    <col min="11" max="11" width="12" style="4" customWidth="1"/>
    <col min="12" max="12" width="16.28515625" style="116" customWidth="1"/>
    <col min="13" max="16384" width="9.140625" style="3"/>
  </cols>
  <sheetData>
    <row r="1" spans="1:12" ht="18.75" x14ac:dyDescent="0.3">
      <c r="E1" s="4"/>
      <c r="H1" s="5"/>
      <c r="I1" s="5"/>
      <c r="J1" s="3029" t="s">
        <v>326</v>
      </c>
      <c r="K1" s="3029"/>
      <c r="L1" s="3029"/>
    </row>
    <row r="2" spans="1:12" ht="6" customHeight="1" x14ac:dyDescent="0.2">
      <c r="E2" s="4"/>
      <c r="H2" s="6"/>
      <c r="I2" s="6"/>
      <c r="J2" s="6"/>
      <c r="K2" s="6"/>
      <c r="L2" s="6"/>
    </row>
    <row r="3" spans="1:12" ht="94.5" customHeight="1" x14ac:dyDescent="0.35">
      <c r="A3" s="3034" t="s">
        <v>327</v>
      </c>
      <c r="B3" s="3034"/>
      <c r="C3" s="3034"/>
      <c r="D3" s="3034"/>
      <c r="E3" s="3034"/>
      <c r="F3" s="3034"/>
      <c r="G3" s="3034"/>
      <c r="H3" s="3034"/>
      <c r="I3" s="3034"/>
      <c r="J3" s="3034"/>
      <c r="K3" s="3034"/>
      <c r="L3" s="3034"/>
    </row>
    <row r="4" spans="1:12" ht="9.75" customHeight="1" x14ac:dyDescent="0.2">
      <c r="A4" s="1533"/>
      <c r="B4" s="1533"/>
      <c r="C4" s="1533"/>
      <c r="D4" s="1533"/>
      <c r="E4" s="1533"/>
      <c r="F4" s="1533"/>
      <c r="G4" s="1533"/>
      <c r="H4" s="1533"/>
      <c r="I4" s="1533"/>
      <c r="J4" s="1533"/>
      <c r="K4" s="1533"/>
      <c r="L4" s="1533"/>
    </row>
    <row r="5" spans="1:12" ht="38.25" customHeight="1" thickBot="1" x14ac:dyDescent="0.25">
      <c r="A5" s="3033" t="s">
        <v>294</v>
      </c>
      <c r="B5" s="3033"/>
      <c r="C5" s="3033"/>
      <c r="D5" s="3033"/>
      <c r="E5" s="3033"/>
      <c r="F5" s="3033"/>
      <c r="G5" s="3033"/>
      <c r="H5" s="3033"/>
      <c r="I5" s="3033"/>
      <c r="J5" s="3033"/>
      <c r="K5" s="3033"/>
      <c r="L5" s="3033"/>
    </row>
    <row r="6" spans="1:12" s="4" customFormat="1" ht="41.25" customHeight="1" x14ac:dyDescent="0.2">
      <c r="A6" s="7"/>
      <c r="B6" s="93"/>
      <c r="C6" s="3026" t="s">
        <v>338</v>
      </c>
      <c r="D6" s="3027"/>
      <c r="E6" s="3027"/>
      <c r="F6" s="3027"/>
      <c r="G6" s="3028"/>
      <c r="H6" s="3026" t="s">
        <v>316</v>
      </c>
      <c r="I6" s="3027"/>
      <c r="J6" s="3027"/>
      <c r="K6" s="3028"/>
      <c r="L6" s="2983" t="s">
        <v>341</v>
      </c>
    </row>
    <row r="7" spans="1:12" ht="32.25" customHeight="1" x14ac:dyDescent="0.2">
      <c r="A7" s="8" t="s">
        <v>1</v>
      </c>
      <c r="B7" s="902" t="s">
        <v>2</v>
      </c>
      <c r="C7" s="3011" t="s">
        <v>0</v>
      </c>
      <c r="D7" s="3014" t="s">
        <v>188</v>
      </c>
      <c r="E7" s="3017" t="s">
        <v>332</v>
      </c>
      <c r="F7" s="3020" t="s">
        <v>292</v>
      </c>
      <c r="G7" s="3021"/>
      <c r="H7" s="3002" t="s">
        <v>302</v>
      </c>
      <c r="I7" s="2999" t="s">
        <v>303</v>
      </c>
      <c r="J7" s="3000"/>
      <c r="K7" s="3001"/>
      <c r="L7" s="2984"/>
    </row>
    <row r="8" spans="1:12" ht="33" customHeight="1" x14ac:dyDescent="0.2">
      <c r="A8" s="8"/>
      <c r="B8" s="902"/>
      <c r="C8" s="3012"/>
      <c r="D8" s="3015"/>
      <c r="E8" s="3018"/>
      <c r="F8" s="3022" t="s">
        <v>301</v>
      </c>
      <c r="G8" s="3024" t="s">
        <v>251</v>
      </c>
      <c r="H8" s="3003"/>
      <c r="I8" s="3005" t="s">
        <v>339</v>
      </c>
      <c r="J8" s="3007" t="s">
        <v>304</v>
      </c>
      <c r="K8" s="3009" t="s">
        <v>340</v>
      </c>
      <c r="L8" s="2984"/>
    </row>
    <row r="9" spans="1:12" ht="54" customHeight="1" thickBot="1" x14ac:dyDescent="0.25">
      <c r="A9" s="8"/>
      <c r="B9" s="903"/>
      <c r="C9" s="3013"/>
      <c r="D9" s="3016"/>
      <c r="E9" s="3019"/>
      <c r="F9" s="3023"/>
      <c r="G9" s="3025"/>
      <c r="H9" s="3004"/>
      <c r="I9" s="3006"/>
      <c r="J9" s="3008"/>
      <c r="K9" s="3010"/>
      <c r="L9" s="2985"/>
    </row>
    <row r="10" spans="1:12" ht="13.5" customHeight="1" thickBot="1" x14ac:dyDescent="0.25">
      <c r="A10" s="9">
        <v>1</v>
      </c>
      <c r="B10" s="904">
        <v>2</v>
      </c>
      <c r="C10" s="904">
        <v>3</v>
      </c>
      <c r="D10" s="12">
        <v>4</v>
      </c>
      <c r="E10" s="10">
        <v>5</v>
      </c>
      <c r="F10" s="11">
        <v>6</v>
      </c>
      <c r="G10" s="905">
        <v>7</v>
      </c>
      <c r="H10" s="13">
        <v>8</v>
      </c>
      <c r="I10" s="14">
        <v>9</v>
      </c>
      <c r="J10" s="14">
        <v>10</v>
      </c>
      <c r="K10" s="15">
        <v>11</v>
      </c>
      <c r="L10" s="16">
        <v>12</v>
      </c>
    </row>
    <row r="11" spans="1:12" ht="16.5" customHeight="1" thickBot="1" x14ac:dyDescent="0.25">
      <c r="A11" s="17"/>
      <c r="B11" s="18" t="s">
        <v>189</v>
      </c>
      <c r="C11" s="20">
        <f t="shared" ref="C11" si="0">C12+C13</f>
        <v>1328314338.1599998</v>
      </c>
      <c r="D11" s="21">
        <f t="shared" ref="D11:G11" si="1">D12+D13</f>
        <v>475917365</v>
      </c>
      <c r="E11" s="21">
        <f t="shared" si="1"/>
        <v>274291278.16000003</v>
      </c>
      <c r="F11" s="21">
        <f t="shared" si="1"/>
        <v>287000674</v>
      </c>
      <c r="G11" s="912">
        <f t="shared" si="1"/>
        <v>291026204</v>
      </c>
      <c r="H11" s="23">
        <f>H12+H13</f>
        <v>794221530.93000007</v>
      </c>
      <c r="I11" s="24">
        <f t="shared" ref="I11:I38" si="2">H11/C11*100</f>
        <v>59.791685455279143</v>
      </c>
      <c r="J11" s="19">
        <f t="shared" ref="J11:L11" si="3">J12+J13</f>
        <v>44012886.769999996</v>
      </c>
      <c r="K11" s="25">
        <f t="shared" ref="K11:K18" si="4">J11/F11*100</f>
        <v>15.335464602428075</v>
      </c>
      <c r="L11" s="22">
        <f t="shared" si="3"/>
        <v>-99487450.230000019</v>
      </c>
    </row>
    <row r="12" spans="1:12" ht="15.75" customHeight="1" thickTop="1" x14ac:dyDescent="0.2">
      <c r="A12" s="17"/>
      <c r="B12" s="26" t="s">
        <v>190</v>
      </c>
      <c r="C12" s="28">
        <f>Drogi!D12+'Polityka społeczna i rozwój prz'!D10+Oświata!D11+Administracja!D11+'Rolnictwo i Ochrona środowiska'!D10+'Kultura fizyczna i turystyka'!D12+'Planowanie przestrzenne'!D12</f>
        <v>320120869.50999999</v>
      </c>
      <c r="D12" s="29">
        <f>Drogi!E12+'Polityka społeczna i rozwój prz'!E10+Oświata!E11+Administracja!E11+'Rolnictwo i Ochrona środowiska'!E10+'Kultura fizyczna i turystyka'!E12+'Planowanie przestrzenne'!E12</f>
        <v>120249466</v>
      </c>
      <c r="E12" s="29">
        <f>Drogi!F12+'Polityka społeczna i rozwój prz'!F10+Oświata!F11+Administracja!F11+'Rolnictwo i Ochrona środowiska'!F10+'Kultura fizyczna i turystyka'!F12+'Planowanie przestrzenne'!F12</f>
        <v>46793831.509999998</v>
      </c>
      <c r="F12" s="29">
        <f>Drogi!G12+'Polityka społeczna i rozwój prz'!G10+Oświata!G11+Administracja!G11+'Rolnictwo i Ochrona środowiska'!G10+'Kultura fizyczna i turystyka'!G12+'Planowanie przestrzenne'!G12</f>
        <v>61711531</v>
      </c>
      <c r="G12" s="651">
        <f>Drogi!H12+'Polityka społeczna i rozwój prz'!H10+Oświata!H11+Administracja!H11+'Rolnictwo i Ochrona środowiska'!H10+'Kultura fizyczna i turystyka'!H12+'Planowanie przestrzenne'!H12</f>
        <v>91287224</v>
      </c>
      <c r="H12" s="31">
        <f>Drogi!I12+'Polityka społeczna i rozwój prz'!I10+Oświata!I11+Administracja!I11+'Rolnictwo i Ochrona środowiska'!I10+'Kultura fizyczna i turystyka'!I12+'Planowanie przestrzenne'!I12</f>
        <v>188613446.48000002</v>
      </c>
      <c r="I12" s="32">
        <f t="shared" si="2"/>
        <v>58.919447135297773</v>
      </c>
      <c r="J12" s="27">
        <f>Drogi!K12+'Polityka społeczna i rozwój prz'!K10+Oświata!K11+Administracja!K11+'Rolnictwo i Ochrona środowiska'!K10+'Kultura fizyczna i turystyka'!K12+'Planowanie przestrzenne'!K12</f>
        <v>21570147.969999999</v>
      </c>
      <c r="K12" s="33">
        <f t="shared" si="4"/>
        <v>34.953188845695628</v>
      </c>
      <c r="L12" s="30">
        <f>Drogi!M12+'Polityka społeczna i rozwój prz'!M10+Oświata!M11+Administracja!M11+'Rolnictwo i Ochrona środowiska'!M10+'Kultura fizyczna i turystyka'!M12+'Planowanie przestrzenne'!M12</f>
        <v>-9285617.5300000012</v>
      </c>
    </row>
    <row r="13" spans="1:12" ht="13.5" customHeight="1" thickBot="1" x14ac:dyDescent="0.25">
      <c r="A13" s="17"/>
      <c r="B13" s="34" t="s">
        <v>191</v>
      </c>
      <c r="C13" s="909">
        <f>Drogi!D13+'Polityka społeczna i rozwój prz'!D11+Oświata!D12+Administracja!D12+'Rolnictwo i Ochrona środowiska'!D11+'Kultura fizyczna i turystyka'!D13+'Planowanie przestrzenne'!D13</f>
        <v>1008193468.6499999</v>
      </c>
      <c r="D13" s="35">
        <f>Drogi!E13+'Polityka społeczna i rozwój prz'!E11+Oświata!E12+Administracja!E12+'Rolnictwo i Ochrona środowiska'!E11+'Kultura fizyczna i turystyka'!E13+'Planowanie przestrzenne'!E13</f>
        <v>355667899</v>
      </c>
      <c r="E13" s="35">
        <f>Drogi!F13+'Polityka społeczna i rozwój prz'!F11+Oświata!F12+Administracja!F12+'Rolnictwo i Ochrona środowiska'!F11+'Kultura fizyczna i turystyka'!F13+'Planowanie przestrzenne'!F13</f>
        <v>227497446.65000001</v>
      </c>
      <c r="F13" s="35">
        <f>Drogi!G13+'Polityka społeczna i rozwój prz'!G11+Oświata!G12+Administracja!G12+'Rolnictwo i Ochrona środowiska'!G11+'Kultura fizyczna i turystyka'!G13+'Planowanie przestrzenne'!G13</f>
        <v>225289143</v>
      </c>
      <c r="G13" s="913">
        <f>Drogi!H13+'Polityka społeczna i rozwój prz'!H11+Oświata!H12+Administracja!H12+'Rolnictwo i Ochrona środowiska'!H11+'Kultura fizyczna i turystyka'!H13+'Planowanie przestrzenne'!H13</f>
        <v>199738980</v>
      </c>
      <c r="H13" s="36">
        <f>Drogi!I13+'Polityka społeczna i rozwój prz'!I11+Oświata!I12+Administracja!I12+'Rolnictwo i Ochrona środowiska'!I11+'Kultura fizyczna i turystyka'!I13+'Planowanie przestrzenne'!I13</f>
        <v>605608084.45000005</v>
      </c>
      <c r="I13" s="37">
        <f t="shared" si="2"/>
        <v>60.068637943164497</v>
      </c>
      <c r="J13" s="35">
        <f>Drogi!K13+'Polityka społeczna i rozwój prz'!K11+Oświata!K12+Administracja!K12+'Rolnictwo i Ochrona środowiska'!K11+'Kultura fizyczna i turystyka'!K13+'Planowanie przestrzenne'!K13</f>
        <v>22442738.799999997</v>
      </c>
      <c r="K13" s="38">
        <f t="shared" si="4"/>
        <v>9.9617489334583684</v>
      </c>
      <c r="L13" s="934">
        <f>Drogi!M13+'Polityka społeczna i rozwój prz'!M11+Oświata!M12+Administracja!M12+'Rolnictwo i Ochrona środowiska'!M11+'Kultura fizyczna i turystyka'!M13+'Planowanie przestrzenne'!M13</f>
        <v>-90201832.700000018</v>
      </c>
    </row>
    <row r="14" spans="1:12" s="44" customFormat="1" ht="15" customHeight="1" x14ac:dyDescent="0.2">
      <c r="A14" s="2992"/>
      <c r="B14" s="39" t="s">
        <v>3</v>
      </c>
      <c r="C14" s="910">
        <f>+C15+C22</f>
        <v>1328314338.1600001</v>
      </c>
      <c r="D14" s="40">
        <f t="shared" ref="D14:H14" si="5">+D15+D22</f>
        <v>475917365</v>
      </c>
      <c r="E14" s="40">
        <f t="shared" si="5"/>
        <v>274291278.15999997</v>
      </c>
      <c r="F14" s="40">
        <f t="shared" si="5"/>
        <v>287000674</v>
      </c>
      <c r="G14" s="906">
        <f t="shared" si="5"/>
        <v>291026204</v>
      </c>
      <c r="H14" s="41">
        <f t="shared" si="5"/>
        <v>794221530.92999995</v>
      </c>
      <c r="I14" s="42">
        <f t="shared" si="2"/>
        <v>59.791685455279122</v>
      </c>
      <c r="J14" s="40">
        <f>+J15+J22</f>
        <v>44012887.769999996</v>
      </c>
      <c r="K14" s="43">
        <f t="shared" si="4"/>
        <v>15.335464950859311</v>
      </c>
      <c r="L14" s="935">
        <f>+L15+L22</f>
        <v>-99487449.230000019</v>
      </c>
    </row>
    <row r="15" spans="1:12" s="51" customFormat="1" ht="15" customHeight="1" x14ac:dyDescent="0.2">
      <c r="A15" s="2992"/>
      <c r="B15" s="45" t="s">
        <v>4</v>
      </c>
      <c r="C15" s="911">
        <f>SUM(C16:C21)</f>
        <v>419751053.41000003</v>
      </c>
      <c r="D15" s="46">
        <f t="shared" ref="D15:G15" si="6">SUM(D16:D21)</f>
        <v>168729380</v>
      </c>
      <c r="E15" s="46">
        <f t="shared" si="6"/>
        <v>71128813.409999996</v>
      </c>
      <c r="F15" s="46">
        <f t="shared" si="6"/>
        <v>93924520</v>
      </c>
      <c r="G15" s="50">
        <f t="shared" si="6"/>
        <v>85962139</v>
      </c>
      <c r="H15" s="47">
        <f t="shared" ref="H15" si="7">SUM(H16:H21)</f>
        <v>249491102.86000001</v>
      </c>
      <c r="I15" s="48">
        <f t="shared" si="2"/>
        <v>59.437874147823692</v>
      </c>
      <c r="J15" s="46">
        <f t="shared" ref="J15:L15" si="8">SUM(J16:J21)</f>
        <v>9632909.4500000011</v>
      </c>
      <c r="K15" s="49">
        <f t="shared" si="4"/>
        <v>10.256011369555045</v>
      </c>
      <c r="L15" s="936">
        <f t="shared" si="8"/>
        <v>-37329350.550000004</v>
      </c>
    </row>
    <row r="16" spans="1:12" s="59" customFormat="1" ht="15.75" customHeight="1" x14ac:dyDescent="0.2">
      <c r="A16" s="2992"/>
      <c r="B16" s="52" t="s">
        <v>5</v>
      </c>
      <c r="C16" s="100">
        <f>Drogi!D16+'Polityka społeczna i rozwój prz'!D14+Oświata!D15+Administracja!D15+'Rolnictwo i Ochrona środowiska'!D14+'Kultura fizyczna i turystyka'!D16+'Planowanie przestrzenne'!D16</f>
        <v>159296869.72000003</v>
      </c>
      <c r="D16" s="53">
        <f>Drogi!E16+'Polityka społeczna i rozwój prz'!E14+Oświata!E15+Administracja!E15+'Rolnictwo i Ochrona środowiska'!E14+'Kultura fizyczna i turystyka'!E16+'Planowanie przestrzenne'!E16</f>
        <v>47232411</v>
      </c>
      <c r="E16" s="53">
        <f>Drogi!F16+'Polityka społeczna i rozwój prz'!F14+Oświata!F15+Administracja!F15+'Rolnictwo i Ochrona środowiska'!F14+'Kultura fizyczna i turystyka'!F16+'Planowanie przestrzenne'!F16</f>
        <v>25577542.719999999</v>
      </c>
      <c r="F16" s="53">
        <f>Drogi!G16+'Polityka społeczna i rozwój prz'!G14+Oświata!G15+Administracja!G15+'Rolnictwo i Ochrona środowiska'!G14+'Kultura fizyczna i turystyka'!G16+'Planowanie przestrzenne'!G16</f>
        <v>53214251</v>
      </c>
      <c r="G16" s="56">
        <f>Drogi!H16+'Polityka społeczna i rozwój prz'!H14+Oświata!H15+Administracja!H15+'Rolnictwo i Ochrona środowiska'!H14+'Kultura fizyczna i turystyka'!H16+'Planowanie przestrzenne'!H16</f>
        <v>33272665</v>
      </c>
      <c r="H16" s="55">
        <f>Drogi!I16+'Polityka społeczna i rozwój prz'!I14+Oświata!I15+Administracja!I15+'Rolnictwo i Ochrona środowiska'!I14+'Kultura fizyczna i turystyka'!I16+'Planowanie przestrzenne'!I16</f>
        <v>77123752.810000017</v>
      </c>
      <c r="I16" s="57">
        <f t="shared" si="2"/>
        <v>48.415108812597701</v>
      </c>
      <c r="J16" s="54">
        <f>Drogi!K16+'Polityka społeczna i rozwój prz'!K14+Oświata!K15+Administracja!K15+'Rolnictwo i Ochrona środowiska'!K14+'Kultura fizyczna i turystyka'!K16+'Planowanie przestrzenne'!K16</f>
        <v>4313799.09</v>
      </c>
      <c r="K16" s="58">
        <f t="shared" si="4"/>
        <v>8.1064733768403503</v>
      </c>
      <c r="L16" s="56">
        <f t="shared" ref="L16:L21" si="9">+J16-F16/2</f>
        <v>-22293326.41</v>
      </c>
    </row>
    <row r="17" spans="1:12" s="59" customFormat="1" ht="15.75" customHeight="1" x14ac:dyDescent="0.2">
      <c r="A17" s="2992"/>
      <c r="B17" s="60" t="s">
        <v>8</v>
      </c>
      <c r="C17" s="100">
        <f>Drogi!D17+'Polityka społeczna i rozwój prz'!D15+Administracja!D16+'Rolnictwo i Ochrona środowiska'!D15</f>
        <v>54498009.859999999</v>
      </c>
      <c r="D17" s="53">
        <f>Drogi!E17+'Polityka społeczna i rozwój prz'!E15+Administracja!E16+'Rolnictwo i Ochrona środowiska'!E15</f>
        <v>22663481</v>
      </c>
      <c r="E17" s="53">
        <f>Drogi!F17+'Polityka społeczna i rozwój prz'!F15+Administracja!F16+'Rolnictwo i Ochrona środowiska'!F15</f>
        <v>10176895.859999999</v>
      </c>
      <c r="F17" s="53">
        <f>Drogi!G17+'Polityka społeczna i rozwój prz'!G15+Administracja!G16+'Rolnictwo i Ochrona środowiska'!G15</f>
        <v>5405313</v>
      </c>
      <c r="G17" s="56">
        <f>Drogi!H17+'Polityka społeczna i rozwój prz'!H15+Administracja!H16+'Rolnictwo i Ochrona środowiska'!H15</f>
        <v>16246119</v>
      </c>
      <c r="H17" s="55">
        <f>Drogi!I17+'Polityka społeczna i rozwój prz'!I15+Administracja!I16+'Rolnictwo i Ochrona środowiska'!I15</f>
        <v>34278307.109999999</v>
      </c>
      <c r="I17" s="57">
        <f t="shared" si="2"/>
        <v>62.898273162740402</v>
      </c>
      <c r="J17" s="54">
        <f>Drogi!K17+'Polityka społeczna i rozwój prz'!K15+Administracja!K16+'Rolnictwo i Ochrona środowiska'!K15</f>
        <v>1437930.25</v>
      </c>
      <c r="K17" s="58">
        <f t="shared" si="4"/>
        <v>26.602164389000233</v>
      </c>
      <c r="L17" s="56">
        <f t="shared" si="9"/>
        <v>-1264726.25</v>
      </c>
    </row>
    <row r="18" spans="1:12" s="59" customFormat="1" ht="16.5" customHeight="1" x14ac:dyDescent="0.2">
      <c r="A18" s="2992"/>
      <c r="B18" s="60" t="s">
        <v>9</v>
      </c>
      <c r="C18" s="100">
        <f>+'Rolnictwo i Ochrona środowiska'!D16</f>
        <v>58470602.890000001</v>
      </c>
      <c r="D18" s="53">
        <f>+'Rolnictwo i Ochrona środowiska'!E16</f>
        <v>29017479</v>
      </c>
      <c r="E18" s="53">
        <f>+'Rolnictwo i Ochrona środowiska'!F16</f>
        <v>12744810.890000001</v>
      </c>
      <c r="F18" s="53">
        <f>+'Rolnictwo i Ochrona środowiska'!G16</f>
        <v>8452000</v>
      </c>
      <c r="G18" s="56">
        <f>+'Rolnictwo i Ochrona środowiska'!H16</f>
        <v>8256313</v>
      </c>
      <c r="H18" s="55">
        <f>+'Rolnictwo i Ochrona środowiska'!I16</f>
        <v>45385702.700000003</v>
      </c>
      <c r="I18" s="57">
        <f t="shared" si="2"/>
        <v>77.62140367422505</v>
      </c>
      <c r="J18" s="54">
        <f>'Rolnictwo i Ochrona środowiska'!K16</f>
        <v>3623412.81</v>
      </c>
      <c r="K18" s="58">
        <f t="shared" si="4"/>
        <v>42.870478111689543</v>
      </c>
      <c r="L18" s="56">
        <f t="shared" si="9"/>
        <v>-602587.18999999994</v>
      </c>
    </row>
    <row r="19" spans="1:12" s="59" customFormat="1" ht="15.75" customHeight="1" x14ac:dyDescent="0.2">
      <c r="A19" s="2992"/>
      <c r="B19" s="60" t="s">
        <v>10</v>
      </c>
      <c r="C19" s="65">
        <f>Drogi!D18</f>
        <v>16413791.07</v>
      </c>
      <c r="D19" s="62">
        <f>Drogi!E18</f>
        <v>12750783</v>
      </c>
      <c r="E19" s="62">
        <f>Drogi!F18</f>
        <v>3663008.07</v>
      </c>
      <c r="F19" s="62">
        <f>Drogi!G18</f>
        <v>0</v>
      </c>
      <c r="G19" s="82">
        <f>Drogi!H18</f>
        <v>0</v>
      </c>
      <c r="H19" s="65">
        <f>Drogi!I18</f>
        <v>16413791.07</v>
      </c>
      <c r="I19" s="57">
        <f t="shared" si="2"/>
        <v>100</v>
      </c>
      <c r="J19" s="64">
        <f>Drogi!K18</f>
        <v>0</v>
      </c>
      <c r="K19" s="66">
        <v>0</v>
      </c>
      <c r="L19" s="56">
        <f t="shared" si="9"/>
        <v>0</v>
      </c>
    </row>
    <row r="20" spans="1:12" s="59" customFormat="1" ht="15.75" customHeight="1" x14ac:dyDescent="0.2">
      <c r="A20" s="2992"/>
      <c r="B20" s="60" t="s">
        <v>11</v>
      </c>
      <c r="C20" s="65">
        <f>Drogi!D19+'Rolnictwo i Ochrona środowiska'!D17</f>
        <v>56040779.859999999</v>
      </c>
      <c r="D20" s="62">
        <f>Drogi!E19+'Rolnictwo i Ochrona środowiska'!E17</f>
        <v>0</v>
      </c>
      <c r="E20" s="62">
        <f>Drogi!F19+'Rolnictwo i Ochrona środowiska'!F17</f>
        <v>3801776.86</v>
      </c>
      <c r="F20" s="62">
        <f>Drogi!G19+'Rolnictwo i Ochrona środowiska'!G17</f>
        <v>25036040</v>
      </c>
      <c r="G20" s="82">
        <f>Drogi!H19+'Rolnictwo i Ochrona środowiska'!H17</f>
        <v>27202963</v>
      </c>
      <c r="H20" s="63">
        <f>Drogi!I19+'Rolnictwo i Ochrona środowiska'!I17</f>
        <v>3952438.86</v>
      </c>
      <c r="I20" s="57">
        <f t="shared" si="2"/>
        <v>7.0527906104695672</v>
      </c>
      <c r="J20" s="62">
        <f>Drogi!K19+'Rolnictwo i Ochrona środowiska'!K17</f>
        <v>150662</v>
      </c>
      <c r="K20" s="58">
        <f>J20/F20*100</f>
        <v>0.60178047326973438</v>
      </c>
      <c r="L20" s="56">
        <f t="shared" si="9"/>
        <v>-12367358</v>
      </c>
    </row>
    <row r="21" spans="1:12" s="59" customFormat="1" ht="15.75" customHeight="1" x14ac:dyDescent="0.2">
      <c r="A21" s="2992"/>
      <c r="B21" s="60" t="s">
        <v>12</v>
      </c>
      <c r="C21" s="65">
        <f>Drogi!D39</f>
        <v>75031000.010000005</v>
      </c>
      <c r="D21" s="62">
        <f>Drogi!E39</f>
        <v>57065226</v>
      </c>
      <c r="E21" s="62">
        <f>Drogi!F39</f>
        <v>15164779.01</v>
      </c>
      <c r="F21" s="62">
        <f>Drogi!G39</f>
        <v>1816916</v>
      </c>
      <c r="G21" s="82">
        <f>Drogi!H39</f>
        <v>984079</v>
      </c>
      <c r="H21" s="63">
        <f>Drogi!I39</f>
        <v>72337110.310000002</v>
      </c>
      <c r="I21" s="57">
        <f t="shared" si="2"/>
        <v>96.409631086296372</v>
      </c>
      <c r="J21" s="62">
        <f>Drogi!K39</f>
        <v>107105.3</v>
      </c>
      <c r="K21" s="58">
        <f>J21/F21*100</f>
        <v>5.8948955262653859</v>
      </c>
      <c r="L21" s="56">
        <f t="shared" si="9"/>
        <v>-801352.7</v>
      </c>
    </row>
    <row r="22" spans="1:12" s="59" customFormat="1" ht="13.5" customHeight="1" x14ac:dyDescent="0.2">
      <c r="A22" s="2992"/>
      <c r="B22" s="68" t="s">
        <v>13</v>
      </c>
      <c r="C22" s="101">
        <f>SUM(C23:C26)</f>
        <v>908563284.75000012</v>
      </c>
      <c r="D22" s="69">
        <f t="shared" ref="D22:H22" si="10">SUM(D23:D26)</f>
        <v>307187985</v>
      </c>
      <c r="E22" s="69">
        <f t="shared" si="10"/>
        <v>203162464.75</v>
      </c>
      <c r="F22" s="69">
        <f t="shared" si="10"/>
        <v>193076154</v>
      </c>
      <c r="G22" s="908">
        <f t="shared" si="10"/>
        <v>205064065</v>
      </c>
      <c r="H22" s="70">
        <f t="shared" si="10"/>
        <v>544730428.06999993</v>
      </c>
      <c r="I22" s="71">
        <f t="shared" si="2"/>
        <v>59.955144260522012</v>
      </c>
      <c r="J22" s="69">
        <f>SUM(J23:J26)</f>
        <v>34379978.319999993</v>
      </c>
      <c r="K22" s="72">
        <f>J22/F22*100</f>
        <v>17.806434201087303</v>
      </c>
      <c r="L22" s="937">
        <f>SUM(L23:L26)</f>
        <v>-62158098.680000007</v>
      </c>
    </row>
    <row r="23" spans="1:12" s="59" customFormat="1" ht="13.5" customHeight="1" x14ac:dyDescent="0.2">
      <c r="A23" s="2992"/>
      <c r="B23" s="60" t="s">
        <v>5</v>
      </c>
      <c r="C23" s="65">
        <f>'Rolnictwo i Ochrona środowiska'!D19</f>
        <v>4156816</v>
      </c>
      <c r="D23" s="62">
        <f>'Rolnictwo i Ochrona środowiska'!E19</f>
        <v>4156816</v>
      </c>
      <c r="E23" s="62">
        <f>'Rolnictwo i Ochrona środowiska'!F19</f>
        <v>0</v>
      </c>
      <c r="F23" s="62">
        <f>'Rolnictwo i Ochrona środowiska'!G19</f>
        <v>0</v>
      </c>
      <c r="G23" s="82">
        <f>'Rolnictwo i Ochrona środowiska'!H19</f>
        <v>0</v>
      </c>
      <c r="H23" s="63">
        <f>'Rolnictwo i Ochrona środowiska'!I19</f>
        <v>4156816</v>
      </c>
      <c r="I23" s="57">
        <f t="shared" si="2"/>
        <v>100</v>
      </c>
      <c r="J23" s="67">
        <f>'Rolnictwo i Ochrona środowiska'!K19</f>
        <v>0</v>
      </c>
      <c r="K23" s="66">
        <v>0</v>
      </c>
      <c r="L23" s="56">
        <f>+J23-F23/2</f>
        <v>0</v>
      </c>
    </row>
    <row r="24" spans="1:12" s="59" customFormat="1" ht="16.5" customHeight="1" x14ac:dyDescent="0.2">
      <c r="A24" s="2992"/>
      <c r="B24" s="60" t="s">
        <v>14</v>
      </c>
      <c r="C24" s="65">
        <f>Drogi!D23+Oświata!D17+'Rolnictwo i Ochrona środowiska'!D22</f>
        <v>34768558.960000001</v>
      </c>
      <c r="D24" s="62">
        <f>Drogi!E23+Oświata!E17+'Rolnictwo i Ochrona środowiska'!E22</f>
        <v>7581844</v>
      </c>
      <c r="E24" s="62">
        <f>Drogi!F23+Oświata!F17+'Rolnictwo i Ochrona środowiska'!F22</f>
        <v>11170739.960000001</v>
      </c>
      <c r="F24" s="62">
        <f>Drogi!G23+Oświata!G17+'Rolnictwo i Ochrona środowiska'!G22</f>
        <v>1362962</v>
      </c>
      <c r="G24" s="82">
        <f>Drogi!H23+Oświata!H17+'Rolnictwo i Ochrona środowiska'!H22</f>
        <v>14653013</v>
      </c>
      <c r="H24" s="63">
        <f>Drogi!I23+Oświata!I17+'Rolnictwo i Ochrona środowiska'!I22</f>
        <v>18958590.940000001</v>
      </c>
      <c r="I24" s="57">
        <f t="shared" si="2"/>
        <v>54.527974431759432</v>
      </c>
      <c r="J24" s="62">
        <f>Drogi!K23+Oświata!K17+'Rolnictwo i Ochrona środowiska'!K22</f>
        <v>206006.97999999998</v>
      </c>
      <c r="K24" s="58">
        <f t="shared" ref="K24:K32" si="11">J24/F24*100</f>
        <v>15.114653233178913</v>
      </c>
      <c r="L24" s="56">
        <f>+J24-F24/2</f>
        <v>-475474.02</v>
      </c>
    </row>
    <row r="25" spans="1:12" s="59" customFormat="1" ht="16.5" customHeight="1" x14ac:dyDescent="0.2">
      <c r="A25" s="2992"/>
      <c r="B25" s="60" t="s">
        <v>9</v>
      </c>
      <c r="C25" s="65">
        <f>+'Rolnictwo i Ochrona środowiska'!D21</f>
        <v>47227515</v>
      </c>
      <c r="D25" s="62">
        <f>+'Rolnictwo i Ochrona środowiska'!E21</f>
        <v>31284995</v>
      </c>
      <c r="E25" s="62">
        <f>+'Rolnictwo i Ochrona środowiska'!F21</f>
        <v>3753212</v>
      </c>
      <c r="F25" s="62">
        <f>+'Rolnictwo i Ochrona środowiska'!G21</f>
        <v>5700000</v>
      </c>
      <c r="G25" s="82">
        <f>+'Rolnictwo i Ochrona środowiska'!H21</f>
        <v>6489308</v>
      </c>
      <c r="H25" s="63">
        <f>+'Rolnictwo i Ochrona środowiska'!I21</f>
        <v>36852567</v>
      </c>
      <c r="I25" s="57">
        <f t="shared" si="2"/>
        <v>78.031984109263419</v>
      </c>
      <c r="J25" s="62">
        <f>+'Rolnictwo i Ochrona środowiska'!K21</f>
        <v>1814360</v>
      </c>
      <c r="K25" s="58">
        <f t="shared" si="11"/>
        <v>31.830877192982456</v>
      </c>
      <c r="L25" s="56">
        <f>+J25-F25/2</f>
        <v>-1035640</v>
      </c>
    </row>
    <row r="26" spans="1:12" s="59" customFormat="1" ht="16.5" customHeight="1" x14ac:dyDescent="0.2">
      <c r="A26" s="2992"/>
      <c r="B26" s="60" t="s">
        <v>15</v>
      </c>
      <c r="C26" s="65">
        <f>Drogi!D24+'Polityka społeczna i rozwój prz'!D17+Administracja!D18+'Rolnictwo i Ochrona środowiska'!D20+'Kultura fizyczna i turystyka'!D18+'Planowanie przestrzenne'!D18</f>
        <v>822410394.79000008</v>
      </c>
      <c r="D26" s="62">
        <f>Drogi!E24+'Polityka społeczna i rozwój prz'!E17+Administracja!E18+'Rolnictwo i Ochrona środowiska'!E20+'Kultura fizyczna i turystyka'!E18+'Planowanie przestrzenne'!E18</f>
        <v>264164330</v>
      </c>
      <c r="E26" s="62">
        <f>Drogi!F24+'Polityka społeczna i rozwój prz'!F17+Administracja!F18+'Rolnictwo i Ochrona środowiska'!F20+'Kultura fizyczna i turystyka'!F18+'Planowanie przestrzenne'!F18</f>
        <v>188238512.78999999</v>
      </c>
      <c r="F26" s="62">
        <f>Drogi!G24+'Polityka społeczna i rozwój prz'!G17+Administracja!G18+'Rolnictwo i Ochrona środowiska'!G20+'Kultura fizyczna i turystyka'!G18+'Planowanie przestrzenne'!G18</f>
        <v>186013192</v>
      </c>
      <c r="G26" s="82">
        <f>Drogi!H24+'Polityka społeczna i rozwój prz'!H17+Administracja!H18+'Rolnictwo i Ochrona środowiska'!H20+'Kultura fizyczna i turystyka'!H18+'Planowanie przestrzenne'!H18</f>
        <v>183921744</v>
      </c>
      <c r="H26" s="63">
        <f>Drogi!I24+'Polityka społeczna i rozwój prz'!I17+Administracja!I18+'Rolnictwo i Ochrona środowiska'!I20+'Kultura fizyczna i turystyka'!I18+'Planowanie przestrzenne'!I18</f>
        <v>484762454.13</v>
      </c>
      <c r="I26" s="57">
        <f t="shared" si="2"/>
        <v>58.944105911232135</v>
      </c>
      <c r="J26" s="62">
        <f>Drogi!K24+'Polityka społeczna i rozwój prz'!K17+Administracja!K18+'Rolnictwo i Ochrona środowiska'!K20+'Kultura fizyczna i turystyka'!K18+'Planowanie przestrzenne'!K18</f>
        <v>32359611.339999996</v>
      </c>
      <c r="K26" s="58">
        <f t="shared" si="11"/>
        <v>17.39640666990973</v>
      </c>
      <c r="L26" s="56">
        <f>+J26-F26/2</f>
        <v>-60646984.660000004</v>
      </c>
    </row>
    <row r="27" spans="1:12" s="78" customFormat="1" ht="15.75" customHeight="1" x14ac:dyDescent="0.2">
      <c r="A27" s="2992"/>
      <c r="B27" s="73" t="s">
        <v>17</v>
      </c>
      <c r="C27" s="104">
        <f>+C28+C35</f>
        <v>1171191829.6599998</v>
      </c>
      <c r="D27" s="74">
        <f t="shared" ref="D27:H27" si="12">+D28+D35</f>
        <v>389426634</v>
      </c>
      <c r="E27" s="74">
        <f t="shared" si="12"/>
        <v>270451548.65999997</v>
      </c>
      <c r="F27" s="74">
        <f t="shared" si="12"/>
        <v>257859204</v>
      </c>
      <c r="G27" s="907">
        <f t="shared" si="12"/>
        <v>253422981</v>
      </c>
      <c r="H27" s="75">
        <f t="shared" si="12"/>
        <v>697844342.66000009</v>
      </c>
      <c r="I27" s="76">
        <f t="shared" si="2"/>
        <v>59.584119781862398</v>
      </c>
      <c r="J27" s="74">
        <f>+J28+J35</f>
        <v>37966160</v>
      </c>
      <c r="K27" s="77">
        <f t="shared" si="11"/>
        <v>14.723600868635273</v>
      </c>
      <c r="L27" s="938">
        <f>+L28+L35</f>
        <v>-90963442</v>
      </c>
    </row>
    <row r="28" spans="1:12" s="59" customFormat="1" ht="15" customHeight="1" x14ac:dyDescent="0.2">
      <c r="A28" s="2992"/>
      <c r="B28" s="68" t="s">
        <v>18</v>
      </c>
      <c r="C28" s="101">
        <f>SUM(C29:C34)</f>
        <v>262575523.24000001</v>
      </c>
      <c r="D28" s="69">
        <f t="shared" ref="D28:F28" si="13">SUM(D29:D34)</f>
        <v>125513731</v>
      </c>
      <c r="E28" s="69">
        <f t="shared" si="13"/>
        <v>57998746.239999995</v>
      </c>
      <c r="F28" s="69">
        <f t="shared" si="13"/>
        <v>32656210</v>
      </c>
      <c r="G28" s="908">
        <f>SUM(G29:G34)</f>
        <v>46403188</v>
      </c>
      <c r="H28" s="70">
        <f t="shared" ref="H28:J28" si="14">SUM(H29:H34)</f>
        <v>190244563.13999999</v>
      </c>
      <c r="I28" s="48">
        <f t="shared" si="2"/>
        <v>72.453273935252568</v>
      </c>
      <c r="J28" s="69">
        <f t="shared" si="14"/>
        <v>6732085.9000000004</v>
      </c>
      <c r="K28" s="49">
        <f t="shared" si="11"/>
        <v>20.615025136107345</v>
      </c>
      <c r="L28" s="937">
        <f t="shared" ref="L28" si="15">SUM(L29:L34)</f>
        <v>-9596019.0999999996</v>
      </c>
    </row>
    <row r="29" spans="1:12" s="59" customFormat="1" ht="15" customHeight="1" x14ac:dyDescent="0.2">
      <c r="A29" s="2992"/>
      <c r="B29" s="60" t="s">
        <v>8</v>
      </c>
      <c r="C29" s="100">
        <f>Drogi!D27+'Polityka społeczna i rozwój prz'!D20+Administracja!D21+'Rolnictwo i Ochrona środowiska'!D25</f>
        <v>54498009.399999999</v>
      </c>
      <c r="D29" s="53">
        <f>Drogi!E27+'Polityka społeczna i rozwój prz'!E20+Administracja!E21+'Rolnictwo i Ochrona środowiska'!E25</f>
        <v>23576683</v>
      </c>
      <c r="E29" s="53">
        <f>Drogi!F27+'Polityka społeczna i rozwój prz'!F20+Administracja!F21+'Rolnictwo i Ochrona środowiska'!F25</f>
        <v>9255316.4000000004</v>
      </c>
      <c r="F29" s="53">
        <f>Drogi!G27+'Polityka społeczna i rozwój prz'!G20+Administracja!G21+'Rolnictwo i Ochrona środowiska'!G25</f>
        <v>5405313</v>
      </c>
      <c r="G29" s="56">
        <f>Drogi!H27+'Polityka społeczna i rozwój prz'!H20+Administracja!H21+'Rolnictwo i Ochrona środowiska'!H25</f>
        <v>16257049</v>
      </c>
      <c r="H29" s="55">
        <f>Drogi!I27+'Polityka społeczna i rozwój prz'!I20+Administracja!I21+'Rolnictwo i Ochrona środowiska'!I25</f>
        <v>34428971.299999997</v>
      </c>
      <c r="I29" s="57">
        <f t="shared" si="2"/>
        <v>63.174731846260791</v>
      </c>
      <c r="J29" s="53">
        <f>Drogi!K27+'Polityka społeczna i rozwój prz'!K20+Administracja!K21+'Rolnictwo i Ochrona środowiska'!K25</f>
        <v>1596971.9</v>
      </c>
      <c r="K29" s="58">
        <f t="shared" si="11"/>
        <v>29.544485212974713</v>
      </c>
      <c r="L29" s="56">
        <f t="shared" ref="L29:L34" si="16">+J29-F29/2</f>
        <v>-1105684.6000000001</v>
      </c>
    </row>
    <row r="30" spans="1:12" s="59" customFormat="1" ht="17.25" customHeight="1" x14ac:dyDescent="0.2">
      <c r="A30" s="2992"/>
      <c r="B30" s="60" t="s">
        <v>9</v>
      </c>
      <c r="C30" s="100">
        <f>+'Rolnictwo i Ochrona środowiska'!D26</f>
        <v>58470602.890000001</v>
      </c>
      <c r="D30" s="53">
        <f>+'Rolnictwo i Ochrona środowiska'!E26</f>
        <v>29017479</v>
      </c>
      <c r="E30" s="53">
        <f>+'Rolnictwo i Ochrona środowiska'!F26</f>
        <v>12744810.890000001</v>
      </c>
      <c r="F30" s="53">
        <f>+'Rolnictwo i Ochrona środowiska'!G26</f>
        <v>8452000</v>
      </c>
      <c r="G30" s="56">
        <f>+'Rolnictwo i Ochrona środowiska'!H26</f>
        <v>8256313</v>
      </c>
      <c r="H30" s="55">
        <f>+'Rolnictwo i Ochrona środowiska'!I26</f>
        <v>45580912.890000001</v>
      </c>
      <c r="I30" s="57">
        <f t="shared" si="2"/>
        <v>77.955264076463848</v>
      </c>
      <c r="J30" s="53">
        <f>+'Rolnictwo i Ochrona środowiska'!K26</f>
        <v>3818623</v>
      </c>
      <c r="K30" s="58">
        <f t="shared" si="11"/>
        <v>45.180111216280174</v>
      </c>
      <c r="L30" s="56">
        <f t="shared" si="16"/>
        <v>-407377</v>
      </c>
    </row>
    <row r="31" spans="1:12" s="59" customFormat="1" ht="16.5" customHeight="1" x14ac:dyDescent="0.2">
      <c r="A31" s="2992"/>
      <c r="B31" s="60" t="s">
        <v>10</v>
      </c>
      <c r="C31" s="100">
        <f>+Drogi!D28</f>
        <v>17213791</v>
      </c>
      <c r="D31" s="53">
        <f>+Drogi!E28</f>
        <v>12750783</v>
      </c>
      <c r="E31" s="53">
        <f>+Drogi!F28</f>
        <v>3663008</v>
      </c>
      <c r="F31" s="53">
        <f>+Drogi!G28</f>
        <v>800000</v>
      </c>
      <c r="G31" s="56">
        <f>+Drogi!H28</f>
        <v>0</v>
      </c>
      <c r="H31" s="55">
        <f>+Drogi!I28</f>
        <v>16413791</v>
      </c>
      <c r="I31" s="57">
        <f t="shared" si="2"/>
        <v>95.352563534668221</v>
      </c>
      <c r="J31" s="53">
        <f>+Drogi!K28</f>
        <v>0</v>
      </c>
      <c r="K31" s="58">
        <f t="shared" si="11"/>
        <v>0</v>
      </c>
      <c r="L31" s="56">
        <f t="shared" si="16"/>
        <v>-400000</v>
      </c>
    </row>
    <row r="32" spans="1:12" s="59" customFormat="1" ht="15" customHeight="1" x14ac:dyDescent="0.2">
      <c r="A32" s="2992"/>
      <c r="B32" s="60" t="s">
        <v>11</v>
      </c>
      <c r="C32" s="65">
        <f>+Drogi!D29+'Rolnictwo i Ochrona środowiska'!D27</f>
        <v>56040780</v>
      </c>
      <c r="D32" s="62">
        <f>+Drogi!E29+'Rolnictwo i Ochrona środowiska'!E27</f>
        <v>14488536</v>
      </c>
      <c r="E32" s="62">
        <f>+Drogi!F29+'Rolnictwo i Ochrona środowiska'!F27</f>
        <v>10051777</v>
      </c>
      <c r="F32" s="62">
        <f>+Drogi!G29+'Rolnictwo i Ochrona środowiska'!G27</f>
        <v>11286040</v>
      </c>
      <c r="G32" s="82">
        <f>+Drogi!H29+'Rolnictwo i Ochrona środowiska'!H27</f>
        <v>20214427</v>
      </c>
      <c r="H32" s="63">
        <f>+Drogi!I29+'Rolnictwo i Ochrona środowiska'!I27</f>
        <v>24690975</v>
      </c>
      <c r="I32" s="57">
        <f t="shared" si="2"/>
        <v>44.058942434420075</v>
      </c>
      <c r="J32" s="62">
        <f>+Drogi!K29+'Rolnictwo i Ochrona środowiska'!K27</f>
        <v>150662</v>
      </c>
      <c r="K32" s="58">
        <f t="shared" si="11"/>
        <v>1.3349412194179713</v>
      </c>
      <c r="L32" s="56">
        <f t="shared" si="16"/>
        <v>-5492358</v>
      </c>
    </row>
    <row r="33" spans="1:12" s="59" customFormat="1" ht="15" customHeight="1" thickBot="1" x14ac:dyDescent="0.25">
      <c r="A33" s="2992"/>
      <c r="B33" s="950" t="s">
        <v>21</v>
      </c>
      <c r="C33" s="951">
        <f>+'Rolnictwo i Ochrona środowiska'!D28</f>
        <v>1321340</v>
      </c>
      <c r="D33" s="952">
        <f>+'Rolnictwo i Ochrona środowiska'!E28</f>
        <v>1023666</v>
      </c>
      <c r="E33" s="952">
        <f>+'Rolnictwo i Ochrona środowiska'!F28</f>
        <v>297674</v>
      </c>
      <c r="F33" s="952">
        <f>+'Rolnictwo i Ochrona środowiska'!G28</f>
        <v>0</v>
      </c>
      <c r="G33" s="953">
        <f>+'Rolnictwo i Ochrona środowiska'!H28</f>
        <v>0</v>
      </c>
      <c r="H33" s="954">
        <f>+'Rolnictwo i Ochrona środowiska'!I28</f>
        <v>1697333</v>
      </c>
      <c r="I33" s="955">
        <f t="shared" si="2"/>
        <v>128.45543160730773</v>
      </c>
      <c r="J33" s="952">
        <f>+'Rolnictwo i Ochrona środowiska'!K28</f>
        <v>375993</v>
      </c>
      <c r="K33" s="956">
        <v>0</v>
      </c>
      <c r="L33" s="957">
        <f t="shared" si="16"/>
        <v>375993</v>
      </c>
    </row>
    <row r="34" spans="1:12" s="59" customFormat="1" ht="15" customHeight="1" x14ac:dyDescent="0.2">
      <c r="A34" s="3030"/>
      <c r="B34" s="1292" t="s">
        <v>12</v>
      </c>
      <c r="C34" s="1293">
        <f>Drogi!D46</f>
        <v>75030999.950000003</v>
      </c>
      <c r="D34" s="1294">
        <f>Drogi!E46</f>
        <v>44656584</v>
      </c>
      <c r="E34" s="1294">
        <f>Drogi!F46</f>
        <v>21986159.949999999</v>
      </c>
      <c r="F34" s="1294">
        <f>Drogi!G46</f>
        <v>6712857</v>
      </c>
      <c r="G34" s="1295">
        <f>Drogi!H46</f>
        <v>1675399</v>
      </c>
      <c r="H34" s="1296">
        <f>Drogi!I46</f>
        <v>67432579.950000003</v>
      </c>
      <c r="I34" s="1297">
        <f t="shared" si="2"/>
        <v>89.872959170124986</v>
      </c>
      <c r="J34" s="1294">
        <f>Drogi!K46</f>
        <v>789836</v>
      </c>
      <c r="K34" s="1298">
        <f>J34/F34*100</f>
        <v>11.766018552160428</v>
      </c>
      <c r="L34" s="1295">
        <f t="shared" si="16"/>
        <v>-2566592.5</v>
      </c>
    </row>
    <row r="35" spans="1:12" s="59" customFormat="1" ht="14.25" customHeight="1" x14ac:dyDescent="0.2">
      <c r="A35" s="2992"/>
      <c r="B35" s="1281" t="s">
        <v>13</v>
      </c>
      <c r="C35" s="1282">
        <f t="shared" ref="C35:H35" si="17">SUM(C36:C38)</f>
        <v>908616306.41999996</v>
      </c>
      <c r="D35" s="1283">
        <f t="shared" si="17"/>
        <v>263912903</v>
      </c>
      <c r="E35" s="1283">
        <f t="shared" si="17"/>
        <v>212452802.41999999</v>
      </c>
      <c r="F35" s="1283">
        <f t="shared" si="17"/>
        <v>225202994</v>
      </c>
      <c r="G35" s="1285">
        <f t="shared" si="17"/>
        <v>207019793</v>
      </c>
      <c r="H35" s="1299">
        <f t="shared" si="17"/>
        <v>507599779.52000004</v>
      </c>
      <c r="I35" s="1272">
        <f t="shared" si="2"/>
        <v>55.865140866772698</v>
      </c>
      <c r="J35" s="1283">
        <f>SUM(J36:J38)</f>
        <v>31234074.100000001</v>
      </c>
      <c r="K35" s="1273">
        <f>J35/F35*100</f>
        <v>13.869297892194099</v>
      </c>
      <c r="L35" s="1287">
        <f>SUM(L36:L38)</f>
        <v>-81367422.900000006</v>
      </c>
    </row>
    <row r="36" spans="1:12" s="59" customFormat="1" ht="15.75" customHeight="1" thickBot="1" x14ac:dyDescent="0.25">
      <c r="A36" s="2992"/>
      <c r="B36" s="1275" t="s">
        <v>9</v>
      </c>
      <c r="C36" s="1276">
        <f>+'Rolnictwo i Ochrona środowiska'!D31</f>
        <v>47227515</v>
      </c>
      <c r="D36" s="1051">
        <f>+'Rolnictwo i Ochrona środowiska'!E31</f>
        <v>31284995</v>
      </c>
      <c r="E36" s="1051">
        <f>+'Rolnictwo i Ochrona środowiska'!F31</f>
        <v>3753212</v>
      </c>
      <c r="F36" s="1051">
        <f>+'Rolnictwo i Ochrona środowiska'!G31</f>
        <v>5700000</v>
      </c>
      <c r="G36" s="1278">
        <f>+'Rolnictwo i Ochrona środowiska'!H31</f>
        <v>6489308</v>
      </c>
      <c r="H36" s="1300">
        <f>+'Rolnictwo i Ochrona środowiska'!I31</f>
        <v>37438207</v>
      </c>
      <c r="I36" s="1050">
        <f t="shared" si="2"/>
        <v>79.272023946210169</v>
      </c>
      <c r="J36" s="1051">
        <f>+'Rolnictwo i Ochrona środowiska'!K31</f>
        <v>2400000</v>
      </c>
      <c r="K36" s="1280">
        <f>J36/F36*100</f>
        <v>42.105263157894733</v>
      </c>
      <c r="L36" s="1278">
        <f>+J36-F36/2</f>
        <v>-450000</v>
      </c>
    </row>
    <row r="37" spans="1:12" s="59" customFormat="1" ht="15.75" customHeight="1" x14ac:dyDescent="0.2">
      <c r="A37" s="3030"/>
      <c r="B37" s="1275" t="s">
        <v>14</v>
      </c>
      <c r="C37" s="1276">
        <f>Drogi!D32+Oświata!D20+'Rolnictwo i Ochrona środowiska'!D32</f>
        <v>38978397</v>
      </c>
      <c r="D37" s="1051">
        <f>Drogi!E32+Oświata!E20+'Rolnictwo i Ochrona środowiska'!E32</f>
        <v>7965092</v>
      </c>
      <c r="E37" s="1051">
        <f>Drogi!F32+Oświata!F20+'Rolnictwo i Ochrona środowiska'!F32</f>
        <v>7752775</v>
      </c>
      <c r="F37" s="1051">
        <f>Drogi!G32+Oświata!G20+'Rolnictwo i Ochrona środowiska'!G32</f>
        <v>12480236</v>
      </c>
      <c r="G37" s="1278">
        <f>Drogi!H32+Oświata!H20+'Rolnictwo i Ochrona środowiska'!H32</f>
        <v>10780294</v>
      </c>
      <c r="H37" s="1300">
        <f>Drogi!I32+Oświata!I20+'Rolnictwo i Ochrona środowiska'!I32</f>
        <v>16022425</v>
      </c>
      <c r="I37" s="1050">
        <f t="shared" si="2"/>
        <v>41.105910538086007</v>
      </c>
      <c r="J37" s="1301">
        <f>Drogi!K32+Oświata!K20+'Rolnictwo i Ochrona środowiska'!K32</f>
        <v>304558</v>
      </c>
      <c r="K37" s="1280">
        <f>J37/F37*100</f>
        <v>2.4403224426204759</v>
      </c>
      <c r="L37" s="1278">
        <f>+J37-F37/2</f>
        <v>-5935560</v>
      </c>
    </row>
    <row r="38" spans="1:12" s="59" customFormat="1" ht="15.75" customHeight="1" thickBot="1" x14ac:dyDescent="0.25">
      <c r="A38" s="3031"/>
      <c r="B38" s="1311" t="s">
        <v>15</v>
      </c>
      <c r="C38" s="1288">
        <f>Drogi!D33+'Polityka społeczna i rozwój prz'!D22+Administracja!D23+'Rolnictwo i Ochrona środowiska'!D30+'Kultura fizyczna i turystyka'!D21+'Planowanie przestrzenne'!D21</f>
        <v>822410394.41999996</v>
      </c>
      <c r="D38" s="1312">
        <f>Drogi!E33+'Polityka społeczna i rozwój prz'!E22+Administracja!E23+'Rolnictwo i Ochrona środowiska'!E30+'Kultura fizyczna i turystyka'!E21+'Planowanie przestrzenne'!E21</f>
        <v>224662816</v>
      </c>
      <c r="E38" s="1312">
        <f>Drogi!F33+'Polityka społeczna i rozwój prz'!F22+Administracja!F23+'Rolnictwo i Ochrona środowiska'!F30+'Kultura fizyczna i turystyka'!F21+'Planowanie przestrzenne'!F21</f>
        <v>200946815.41999999</v>
      </c>
      <c r="F38" s="1312">
        <f>Drogi!G33+'Polityka społeczna i rozwój prz'!G22+Administracja!G23+'Rolnictwo i Ochrona środowiska'!G30+'Kultura fizyczna i turystyka'!G21+'Planowanie przestrzenne'!G21</f>
        <v>207022758</v>
      </c>
      <c r="G38" s="1313">
        <f>Drogi!H33+'Polityka społeczna i rozwój prz'!H22+Administracja!H23+'Rolnictwo i Ochrona środowiska'!H30+'Kultura fizyczna i turystyka'!H21+'Planowanie przestrzenne'!H21</f>
        <v>189750191</v>
      </c>
      <c r="H38" s="1458">
        <f>Drogi!I33+'Polityka społeczna i rozwój prz'!I22+Administracja!I23+'Rolnictwo i Ochrona środowiska'!I30+'Kultura fizyczna i turystyka'!I21+'Planowanie przestrzenne'!I21</f>
        <v>454139147.52000004</v>
      </c>
      <c r="I38" s="1314">
        <f t="shared" si="2"/>
        <v>55.220501905290121</v>
      </c>
      <c r="J38" s="1459">
        <f>Drogi!K33+'Polityka społeczna i rozwój prz'!K22+Administracja!K23+'Rolnictwo i Ochrona środowiska'!K30+'Kultura fizyczna i turystyka'!K21+'Planowanie przestrzenne'!K21</f>
        <v>28529516.100000001</v>
      </c>
      <c r="K38" s="1315">
        <f>J38/F38*100</f>
        <v>13.780859831845154</v>
      </c>
      <c r="L38" s="1460">
        <f>+J38-F38/2</f>
        <v>-74981862.900000006</v>
      </c>
    </row>
    <row r="39" spans="1:12" s="59" customFormat="1" ht="6" customHeight="1" thickBot="1" x14ac:dyDescent="0.25">
      <c r="A39" s="963"/>
      <c r="B39" s="83"/>
      <c r="C39" s="84"/>
      <c r="D39" s="61"/>
      <c r="E39" s="85"/>
      <c r="F39" s="61"/>
      <c r="G39" s="61"/>
      <c r="H39" s="61"/>
      <c r="I39" s="61"/>
      <c r="J39" s="61"/>
      <c r="K39" s="61"/>
      <c r="L39" s="86"/>
    </row>
    <row r="40" spans="1:12" s="78" customFormat="1" ht="18" customHeight="1" thickBot="1" x14ac:dyDescent="0.25">
      <c r="A40" s="2993" t="s">
        <v>19</v>
      </c>
      <c r="B40" s="3032"/>
      <c r="C40" s="87">
        <f>C14</f>
        <v>1328314338.1600001</v>
      </c>
      <c r="D40" s="87">
        <f t="shared" ref="D40:H40" si="18">D14</f>
        <v>475917365</v>
      </c>
      <c r="E40" s="87">
        <f t="shared" si="18"/>
        <v>274291278.15999997</v>
      </c>
      <c r="F40" s="87">
        <f t="shared" si="18"/>
        <v>287000674</v>
      </c>
      <c r="G40" s="88">
        <f t="shared" si="18"/>
        <v>291026204</v>
      </c>
      <c r="H40" s="89">
        <f t="shared" si="18"/>
        <v>794221530.92999995</v>
      </c>
      <c r="I40" s="90">
        <f>H40/C40*100</f>
        <v>59.791685455279122</v>
      </c>
      <c r="J40" s="87">
        <f t="shared" ref="J40" si="19">J14</f>
        <v>44012887.769999996</v>
      </c>
      <c r="K40" s="90">
        <f>J40/F40*100</f>
        <v>15.335464950859311</v>
      </c>
      <c r="L40" s="91">
        <f t="shared" ref="L40" si="20">L14</f>
        <v>-99487449.230000019</v>
      </c>
    </row>
    <row r="41" spans="1:12" s="78" customFormat="1" ht="18" customHeight="1" thickBot="1" x14ac:dyDescent="0.25">
      <c r="A41" s="2993" t="s">
        <v>20</v>
      </c>
      <c r="B41" s="3032"/>
      <c r="C41" s="87">
        <f>+C27</f>
        <v>1171191829.6599998</v>
      </c>
      <c r="D41" s="87">
        <f t="shared" ref="D41:H41" si="21">+D27</f>
        <v>389426634</v>
      </c>
      <c r="E41" s="87">
        <f t="shared" si="21"/>
        <v>270451548.65999997</v>
      </c>
      <c r="F41" s="87">
        <f t="shared" si="21"/>
        <v>257859204</v>
      </c>
      <c r="G41" s="88">
        <f t="shared" si="21"/>
        <v>253422981</v>
      </c>
      <c r="H41" s="89">
        <f t="shared" si="21"/>
        <v>697844342.66000009</v>
      </c>
      <c r="I41" s="90">
        <f>H41/C41*100</f>
        <v>59.584119781862398</v>
      </c>
      <c r="J41" s="87">
        <f t="shared" ref="J41" si="22">+J27</f>
        <v>37966160</v>
      </c>
      <c r="K41" s="90">
        <f>J41/F41*100</f>
        <v>14.723600868635273</v>
      </c>
      <c r="L41" s="91">
        <f t="shared" ref="L41" si="23">+L27</f>
        <v>-90963442</v>
      </c>
    </row>
    <row r="42" spans="1:12" s="59" customFormat="1" ht="22.5" customHeight="1" x14ac:dyDescent="0.2">
      <c r="A42" s="1532"/>
      <c r="B42" s="1330"/>
      <c r="C42" s="1331"/>
      <c r="D42" s="1331"/>
      <c r="E42" s="1331"/>
      <c r="F42" s="1331"/>
      <c r="G42" s="1331"/>
      <c r="H42" s="1331"/>
      <c r="I42" s="1331"/>
      <c r="J42" s="1331"/>
      <c r="K42" s="1331"/>
      <c r="L42" s="92"/>
    </row>
    <row r="43" spans="1:12" ht="44.25" customHeight="1" thickBot="1" x14ac:dyDescent="0.25">
      <c r="A43" s="3033" t="s">
        <v>295</v>
      </c>
      <c r="B43" s="3033"/>
      <c r="C43" s="3033"/>
      <c r="D43" s="3033"/>
      <c r="E43" s="3033"/>
      <c r="F43" s="3033"/>
      <c r="G43" s="3033"/>
      <c r="H43" s="3033"/>
      <c r="I43" s="3033"/>
      <c r="J43" s="3033"/>
      <c r="K43" s="3033"/>
      <c r="L43" s="3033"/>
    </row>
    <row r="44" spans="1:12" s="4" customFormat="1" ht="43.5" customHeight="1" x14ac:dyDescent="0.2">
      <c r="A44" s="7"/>
      <c r="B44" s="93"/>
      <c r="C44" s="3026" t="s">
        <v>338</v>
      </c>
      <c r="D44" s="3027"/>
      <c r="E44" s="3027"/>
      <c r="F44" s="3027"/>
      <c r="G44" s="3028"/>
      <c r="H44" s="3026" t="s">
        <v>316</v>
      </c>
      <c r="I44" s="3027"/>
      <c r="J44" s="3027"/>
      <c r="K44" s="3028"/>
      <c r="L44" s="2983" t="s">
        <v>341</v>
      </c>
    </row>
    <row r="45" spans="1:12" ht="24" customHeight="1" x14ac:dyDescent="0.2">
      <c r="A45" s="8" t="s">
        <v>1</v>
      </c>
      <c r="B45" s="902" t="s">
        <v>2</v>
      </c>
      <c r="C45" s="3011" t="s">
        <v>0</v>
      </c>
      <c r="D45" s="3014" t="s">
        <v>188</v>
      </c>
      <c r="E45" s="3017" t="s">
        <v>332</v>
      </c>
      <c r="F45" s="3020" t="s">
        <v>292</v>
      </c>
      <c r="G45" s="3021"/>
      <c r="H45" s="3002" t="s">
        <v>302</v>
      </c>
      <c r="I45" s="2999" t="s">
        <v>303</v>
      </c>
      <c r="J45" s="3000"/>
      <c r="K45" s="3001"/>
      <c r="L45" s="2984"/>
    </row>
    <row r="46" spans="1:12" ht="35.25" customHeight="1" x14ac:dyDescent="0.2">
      <c r="A46" s="8"/>
      <c r="B46" s="902"/>
      <c r="C46" s="3012"/>
      <c r="D46" s="3015"/>
      <c r="E46" s="3018"/>
      <c r="F46" s="3022" t="s">
        <v>301</v>
      </c>
      <c r="G46" s="3024" t="s">
        <v>251</v>
      </c>
      <c r="H46" s="3003"/>
      <c r="I46" s="3005" t="s">
        <v>339</v>
      </c>
      <c r="J46" s="3007" t="s">
        <v>304</v>
      </c>
      <c r="K46" s="3009" t="s">
        <v>340</v>
      </c>
      <c r="L46" s="2984"/>
    </row>
    <row r="47" spans="1:12" ht="60" customHeight="1" thickBot="1" x14ac:dyDescent="0.25">
      <c r="A47" s="1227"/>
      <c r="B47" s="903"/>
      <c r="C47" s="3013"/>
      <c r="D47" s="3016"/>
      <c r="E47" s="3019"/>
      <c r="F47" s="3023"/>
      <c r="G47" s="3025"/>
      <c r="H47" s="3004"/>
      <c r="I47" s="3006"/>
      <c r="J47" s="3008"/>
      <c r="K47" s="3010"/>
      <c r="L47" s="2985"/>
    </row>
    <row r="48" spans="1:12" ht="13.5" customHeight="1" x14ac:dyDescent="0.2">
      <c r="A48" s="1226">
        <v>1</v>
      </c>
      <c r="B48" s="1465">
        <v>2</v>
      </c>
      <c r="C48" s="904">
        <v>3</v>
      </c>
      <c r="D48" s="12">
        <v>4</v>
      </c>
      <c r="E48" s="10">
        <v>5</v>
      </c>
      <c r="F48" s="11">
        <v>6</v>
      </c>
      <c r="G48" s="905">
        <v>7</v>
      </c>
      <c r="H48" s="13">
        <v>8</v>
      </c>
      <c r="I48" s="14">
        <v>9</v>
      </c>
      <c r="J48" s="14">
        <v>10</v>
      </c>
      <c r="K48" s="15">
        <v>11</v>
      </c>
      <c r="L48" s="16">
        <v>12</v>
      </c>
    </row>
    <row r="49" spans="1:12" ht="16.5" customHeight="1" thickBot="1" x14ac:dyDescent="0.25">
      <c r="A49" s="964"/>
      <c r="B49" s="1302" t="s">
        <v>189</v>
      </c>
      <c r="C49" s="1303">
        <f t="shared" ref="C49:G49" si="24">C50+C51</f>
        <v>828800993.03250003</v>
      </c>
      <c r="D49" s="1304">
        <f t="shared" si="24"/>
        <v>171328655.0325</v>
      </c>
      <c r="E49" s="1305">
        <f t="shared" si="24"/>
        <v>96289115</v>
      </c>
      <c r="F49" s="1304">
        <f t="shared" si="24"/>
        <v>184384914</v>
      </c>
      <c r="G49" s="1306">
        <f t="shared" si="24"/>
        <v>372108264</v>
      </c>
      <c r="H49" s="1303">
        <f t="shared" ref="H49" si="25">H50+H51</f>
        <v>340860489.46249998</v>
      </c>
      <c r="I49" s="1307">
        <f t="shared" ref="I49:I72" si="26">H49/C49*100</f>
        <v>41.126940282169002</v>
      </c>
      <c r="J49" s="1308">
        <f t="shared" ref="J49" si="27">J50+J51</f>
        <v>73242719.430000007</v>
      </c>
      <c r="K49" s="1309">
        <f t="shared" ref="K49:K72" si="28">J49/F49*100</f>
        <v>39.722728850799591</v>
      </c>
      <c r="L49" s="1310">
        <f t="shared" ref="L49" si="29">L50+L51</f>
        <v>-18949737.57</v>
      </c>
    </row>
    <row r="50" spans="1:12" ht="15.75" customHeight="1" x14ac:dyDescent="0.2">
      <c r="A50" s="946"/>
      <c r="B50" s="1244" t="s">
        <v>190</v>
      </c>
      <c r="C50" s="1245">
        <f>Drogi!D468+'Ochrona zdrowia'!D10+Oświata!D41+Administracja!D108+Kultura!D10+'Rolnictwo i Ochrona środowiska'!D230+'Kultura fizyczna i turystyka'!D63</f>
        <v>457296957</v>
      </c>
      <c r="D50" s="1246">
        <f>Drogi!E468+'Ochrona zdrowia'!E10+Oświata!E41+Administracja!E108+Kultura!E10+'Rolnictwo i Ochrona środowiska'!E230+'Kultura fizyczna i turystyka'!E63</f>
        <v>15514140</v>
      </c>
      <c r="E50" s="1247">
        <f>Drogi!F468+'Ochrona zdrowia'!F10+Oświata!F41+Administracja!F108+Kultura!F10+'Rolnictwo i Ochrona środowiska'!F230+'Kultura fizyczna i turystyka'!F63</f>
        <v>17282641</v>
      </c>
      <c r="F50" s="1246">
        <f>Drogi!G468+'Ochrona zdrowia'!G10+Oświata!G41+Administracja!G108+Kultura!G10+'Rolnictwo i Ochrona środowiska'!G230+'Kultura fizyczna i turystyka'!G63</f>
        <v>109168779</v>
      </c>
      <c r="G50" s="1248">
        <f>Drogi!H468+'Ochrona zdrowia'!H10+Oświata!H41+Administracja!H108+Kultura!H10+'Rolnictwo i Ochrona środowiska'!H230+'Kultura fizyczna i turystyka'!H63</f>
        <v>315331397</v>
      </c>
      <c r="H50" s="1245">
        <f>Drogi!I468+'Ochrona zdrowia'!I10+Oświata!I41+Administracja!I108+Kultura!I10+'Rolnictwo i Ochrona środowiska'!I230+'Kultura fizyczna i turystyka'!I63</f>
        <v>92272248.430000007</v>
      </c>
      <c r="I50" s="1249">
        <f t="shared" si="26"/>
        <v>20.177752556092344</v>
      </c>
      <c r="J50" s="1250">
        <f>Drogi!K468+'Ochrona zdrowia'!K10+Oświata!K41+Administracja!K108+Kultura!K10+'Rolnictwo i Ochrona środowiska'!K230+'Kultura fizyczna i turystyka'!K63</f>
        <v>59475467.43</v>
      </c>
      <c r="K50" s="1251">
        <f t="shared" si="28"/>
        <v>54.480290037868798</v>
      </c>
      <c r="L50" s="1252">
        <f>Drogi!M468+'Ochrona zdrowia'!M10+Oświata!M41+Administracja!M108+Kultura!M10+'Rolnictwo i Ochrona środowiska'!M230+'Kultura fizyczna i turystyka'!M63</f>
        <v>4891077.93</v>
      </c>
    </row>
    <row r="51" spans="1:12" ht="13.5" customHeight="1" x14ac:dyDescent="0.2">
      <c r="A51" s="17"/>
      <c r="B51" s="1253" t="s">
        <v>191</v>
      </c>
      <c r="C51" s="1240">
        <f>Drogi!D469+'Ochrona zdrowia'!D11+Oświata!D42+Administracja!D109+Kultura!D11+'Rolnictwo i Ochrona środowiska'!D231+'Kultura fizyczna i turystyka'!D64</f>
        <v>371504036.03250003</v>
      </c>
      <c r="D51" s="1241">
        <f>Drogi!E469+'Ochrona zdrowia'!E11+Oświata!E42+Administracja!E109+Kultura!E11+'Rolnictwo i Ochrona środowiska'!E231+'Kultura fizyczna i turystyka'!E64</f>
        <v>155814515.0325</v>
      </c>
      <c r="E51" s="1254">
        <f>Drogi!F469+'Ochrona zdrowia'!F11+Oświata!F42+Administracja!F109+Kultura!F11+'Rolnictwo i Ochrona środowiska'!F231+'Kultura fizyczna i turystyka'!F64</f>
        <v>79006474</v>
      </c>
      <c r="F51" s="1241">
        <f>Drogi!G469+'Ochrona zdrowia'!G11+Oświata!G42+Administracja!G109+Kultura!G11+'Rolnictwo i Ochrona środowiska'!G231+'Kultura fizyczna i turystyka'!G64</f>
        <v>75216135</v>
      </c>
      <c r="G51" s="1255">
        <f>Drogi!H469+'Ochrona zdrowia'!H11+Oświata!H42+Administracja!H109+Kultura!H11+'Rolnictwo i Ochrona środowiska'!H231+'Kultura fizyczna i turystyka'!H64</f>
        <v>56776867</v>
      </c>
      <c r="H51" s="1240">
        <f>Drogi!I469+'Ochrona zdrowia'!I11+Oświata!I42+Administracja!I109+Kultura!I11+'Rolnictwo i Ochrona środowiska'!I231+'Kultura fizyczna i turystyka'!I64</f>
        <v>248588241.0325</v>
      </c>
      <c r="I51" s="1256">
        <f t="shared" si="26"/>
        <v>66.914008172646859</v>
      </c>
      <c r="J51" s="1241">
        <f>Drogi!K469+'Ochrona zdrowia'!K11+Oświata!K42+Administracja!K109+Kultura!K11+'Rolnictwo i Ochrona środowiska'!K231+'Kultura fizyczna i turystyka'!K64</f>
        <v>13767252</v>
      </c>
      <c r="K51" s="1257">
        <f t="shared" si="28"/>
        <v>18.303588718032373</v>
      </c>
      <c r="L51" s="1258">
        <f>Drogi!M469+'Ochrona zdrowia'!M11+Oświata!M42+Administracja!M109+Kultura!M11+'Rolnictwo i Ochrona środowiska'!M231+'Kultura fizyczna i turystyka'!M64</f>
        <v>-23840815.5</v>
      </c>
    </row>
    <row r="52" spans="1:12" s="44" customFormat="1" ht="18" customHeight="1" x14ac:dyDescent="0.2">
      <c r="A52" s="2992"/>
      <c r="B52" s="1259" t="s">
        <v>3</v>
      </c>
      <c r="C52" s="1260">
        <f t="shared" ref="C52:H52" si="30">+C53+C62</f>
        <v>1028104793.0325</v>
      </c>
      <c r="D52" s="1261">
        <f t="shared" si="30"/>
        <v>258309573.0325</v>
      </c>
      <c r="E52" s="1262">
        <f t="shared" si="30"/>
        <v>115630858</v>
      </c>
      <c r="F52" s="1261">
        <f t="shared" si="30"/>
        <v>238002991</v>
      </c>
      <c r="G52" s="1263">
        <f t="shared" si="30"/>
        <v>409586671</v>
      </c>
      <c r="H52" s="1260">
        <f t="shared" si="30"/>
        <v>455736075.46249998</v>
      </c>
      <c r="I52" s="1264">
        <f t="shared" si="26"/>
        <v>44.327784341736205</v>
      </c>
      <c r="J52" s="1261">
        <f>+J53+J62</f>
        <v>82298482.430000007</v>
      </c>
      <c r="K52" s="1265">
        <f t="shared" si="28"/>
        <v>34.578759739200088</v>
      </c>
      <c r="L52" s="1266">
        <f>+L53+L62</f>
        <v>-36703013.07</v>
      </c>
    </row>
    <row r="53" spans="1:12" s="51" customFormat="1" ht="18" customHeight="1" x14ac:dyDescent="0.2">
      <c r="A53" s="2992"/>
      <c r="B53" s="1267" t="s">
        <v>4</v>
      </c>
      <c r="C53" s="1268">
        <f t="shared" ref="C53:H53" si="31">SUM(C54:C61)</f>
        <v>885748521.03250003</v>
      </c>
      <c r="D53" s="1269">
        <f t="shared" si="31"/>
        <v>210828992.0325</v>
      </c>
      <c r="E53" s="1270">
        <f t="shared" si="31"/>
        <v>98797422</v>
      </c>
      <c r="F53" s="1269">
        <f t="shared" si="31"/>
        <v>195631927</v>
      </c>
      <c r="G53" s="1271">
        <f t="shared" si="31"/>
        <v>373915480</v>
      </c>
      <c r="H53" s="1268">
        <f t="shared" si="31"/>
        <v>386649010.46249998</v>
      </c>
      <c r="I53" s="1272">
        <f t="shared" si="26"/>
        <v>43.652233255980001</v>
      </c>
      <c r="J53" s="1269">
        <f>SUM(J54:J61)</f>
        <v>77525434.430000007</v>
      </c>
      <c r="K53" s="1273">
        <f t="shared" si="28"/>
        <v>39.628211825567718</v>
      </c>
      <c r="L53" s="1274">
        <f>SUM(L54:L61)</f>
        <v>-20290529.07</v>
      </c>
    </row>
    <row r="54" spans="1:12" s="59" customFormat="1" ht="15.75" customHeight="1" x14ac:dyDescent="0.2">
      <c r="A54" s="2992"/>
      <c r="B54" s="1275" t="s">
        <v>293</v>
      </c>
      <c r="C54" s="1276">
        <f>Drogi!D472+'Ochrona zdrowia'!D14+Oświata!D47+Administracja!D112+'Kultura fizyczna i turystyka'!D67</f>
        <v>652245394</v>
      </c>
      <c r="D54" s="1051">
        <f>Drogi!E472+'Ochrona zdrowia'!E14+Oświata!E47+Administracja!E112+'Kultura fizyczna i turystyka'!E67</f>
        <v>120622801</v>
      </c>
      <c r="E54" s="1277">
        <f>Drogi!F472+'Ochrona zdrowia'!F14+Oświata!F47+Administracja!F112+'Kultura fizyczna i turystyka'!F67</f>
        <v>61644534</v>
      </c>
      <c r="F54" s="1051">
        <f>Drogi!G472+'Ochrona zdrowia'!G14+Oświata!G47+Administracja!G112+'Kultura fizyczna i turystyka'!G67</f>
        <v>118150183</v>
      </c>
      <c r="G54" s="1278">
        <f>Drogi!H472+'Ochrona zdrowia'!H14+Oświata!H47+Administracja!H112+'Kultura fizyczna i turystyka'!H67</f>
        <v>351412714</v>
      </c>
      <c r="H54" s="1276">
        <f>Drogi!I472+'Ochrona zdrowia'!I14+Oświata!I47+Administracja!I112+'Kultura fizyczna i turystyka'!I67</f>
        <v>246420234.43000001</v>
      </c>
      <c r="I54" s="1050">
        <f t="shared" si="26"/>
        <v>37.780295069435169</v>
      </c>
      <c r="J54" s="1279">
        <f>Drogi!K472+'Ochrona zdrowia'!K14+Oświata!K47+Administracja!K112+'Kultura fizyczna i turystyka'!K67</f>
        <v>63737737.43</v>
      </c>
      <c r="K54" s="1280">
        <f t="shared" si="28"/>
        <v>53.946372160930125</v>
      </c>
      <c r="L54" s="1278">
        <f t="shared" ref="L54:L61" si="32">+J54-F54/2</f>
        <v>4662645.93</v>
      </c>
    </row>
    <row r="55" spans="1:12" s="59" customFormat="1" ht="15.75" customHeight="1" x14ac:dyDescent="0.2">
      <c r="A55" s="2992"/>
      <c r="B55" s="1275" t="s">
        <v>30</v>
      </c>
      <c r="C55" s="1276">
        <f>Drogi!D475+'Rolnictwo i Ochrona środowiska'!D236</f>
        <v>14976755</v>
      </c>
      <c r="D55" s="1051">
        <f>Drogi!E475+'Rolnictwo i Ochrona środowiska'!E236</f>
        <v>10018546</v>
      </c>
      <c r="E55" s="1277">
        <f>Drogi!F475+'Rolnictwo i Ochrona środowiska'!F236</f>
        <v>3318635</v>
      </c>
      <c r="F55" s="1051">
        <f>Drogi!G475+'Rolnictwo i Ochrona środowiska'!G236</f>
        <v>1639574</v>
      </c>
      <c r="G55" s="1278">
        <f>Drogi!H475+'Rolnictwo i Ochrona środowiska'!H236</f>
        <v>0</v>
      </c>
      <c r="H55" s="1276">
        <f>Drogi!I475+'Rolnictwo i Ochrona środowiska'!I236</f>
        <v>13337181</v>
      </c>
      <c r="I55" s="1050">
        <f t="shared" si="26"/>
        <v>89.052541755540503</v>
      </c>
      <c r="J55" s="1051">
        <f>Drogi!K475+'Rolnictwo i Ochrona środowiska'!K236</f>
        <v>0</v>
      </c>
      <c r="K55" s="1280">
        <f t="shared" si="28"/>
        <v>0</v>
      </c>
      <c r="L55" s="1278">
        <f t="shared" si="32"/>
        <v>-819787</v>
      </c>
    </row>
    <row r="56" spans="1:12" s="59" customFormat="1" ht="15.75" customHeight="1" x14ac:dyDescent="0.2">
      <c r="A56" s="2992"/>
      <c r="B56" s="1275" t="s">
        <v>7</v>
      </c>
      <c r="C56" s="1276">
        <f>'Ochrona zdrowia'!D15+Kultura!D14</f>
        <v>53293848</v>
      </c>
      <c r="D56" s="1051">
        <f>'Ochrona zdrowia'!E15+Kultura!E14</f>
        <v>39500337</v>
      </c>
      <c r="E56" s="1277">
        <f>'Ochrona zdrowia'!F15+Kultura!F14</f>
        <v>2918469</v>
      </c>
      <c r="F56" s="1051">
        <f>'Ochrona zdrowia'!G15+Kultura!G14</f>
        <v>9164549</v>
      </c>
      <c r="G56" s="1278">
        <f>'Ochrona zdrowia'!H15+Kultura!H14</f>
        <v>241000</v>
      </c>
      <c r="H56" s="1276">
        <f>'Ochrona zdrowia'!I15+Kultura!I14</f>
        <v>45783521</v>
      </c>
      <c r="I56" s="1050">
        <f t="shared" si="26"/>
        <v>85.907703643392381</v>
      </c>
      <c r="J56" s="1051">
        <f>'Ochrona zdrowia'!K15+Kultura!K14</f>
        <v>4282715</v>
      </c>
      <c r="K56" s="1280">
        <f t="shared" si="28"/>
        <v>46.731323058014098</v>
      </c>
      <c r="L56" s="1278">
        <f t="shared" si="32"/>
        <v>-299559.5</v>
      </c>
    </row>
    <row r="57" spans="1:12" s="59" customFormat="1" ht="15.75" customHeight="1" x14ac:dyDescent="0.2">
      <c r="A57" s="2992"/>
      <c r="B57" s="1275" t="s">
        <v>264</v>
      </c>
      <c r="C57" s="1276">
        <f>'Ochrona zdrowia'!D16+Oświata!D46+Kultura!D15</f>
        <v>99772878.032499999</v>
      </c>
      <c r="D57" s="1051">
        <f>'Ochrona zdrowia'!E16+Oświata!E46+Kultura!E15</f>
        <v>27703028.032499999</v>
      </c>
      <c r="E57" s="1277">
        <f>'Ochrona zdrowia'!F16+Oświata!F46+Kultura!F15</f>
        <v>18583120</v>
      </c>
      <c r="F57" s="1051">
        <f>'Ochrona zdrowia'!G16+Oświata!G46+Kultura!G15</f>
        <v>37273180</v>
      </c>
      <c r="G57" s="1278">
        <f>'Ochrona zdrowia'!H16+Oświata!H46+Kultura!H15</f>
        <v>16213550</v>
      </c>
      <c r="H57" s="1276">
        <f>'Ochrona zdrowia'!I16+Oświata!I46+Kultura!I15</f>
        <v>55791130.032499999</v>
      </c>
      <c r="I57" s="1050">
        <f t="shared" si="26"/>
        <v>55.918132394984745</v>
      </c>
      <c r="J57" s="1051">
        <f>'Ochrona zdrowia'!K16+Oświata!K46+Kultura!K15</f>
        <v>9504982</v>
      </c>
      <c r="K57" s="1280">
        <f t="shared" si="28"/>
        <v>25.500861477341079</v>
      </c>
      <c r="L57" s="1278">
        <f t="shared" si="32"/>
        <v>-9131608</v>
      </c>
    </row>
    <row r="58" spans="1:12" s="59" customFormat="1" ht="15.75" customHeight="1" x14ac:dyDescent="0.2">
      <c r="A58" s="2992"/>
      <c r="B58" s="1275" t="s">
        <v>10</v>
      </c>
      <c r="C58" s="1276">
        <f>Drogi!D474+'Ochrona zdrowia'!D18</f>
        <v>11857105</v>
      </c>
      <c r="D58" s="1051">
        <f>Drogi!E474+'Ochrona zdrowia'!E18</f>
        <v>4919280</v>
      </c>
      <c r="E58" s="1277">
        <f>Drogi!F474+'Ochrona zdrowia'!F18</f>
        <v>2717825</v>
      </c>
      <c r="F58" s="1051">
        <f>Drogi!G474+'Ochrona zdrowia'!G18</f>
        <v>2220000</v>
      </c>
      <c r="G58" s="1278">
        <f>Drogi!H474+'Ochrona zdrowia'!H18</f>
        <v>2000000</v>
      </c>
      <c r="H58" s="1276">
        <f>Drogi!I474+'Ochrona zdrowia'!I18</f>
        <v>7637105</v>
      </c>
      <c r="I58" s="1050">
        <f t="shared" si="26"/>
        <v>64.409524921977152</v>
      </c>
      <c r="J58" s="1051">
        <f>Drogi!K474+'Ochrona zdrowia'!K18</f>
        <v>0</v>
      </c>
      <c r="K58" s="1280">
        <f t="shared" si="28"/>
        <v>0</v>
      </c>
      <c r="L58" s="1278">
        <f t="shared" si="32"/>
        <v>-1110000</v>
      </c>
    </row>
    <row r="59" spans="1:12" s="59" customFormat="1" ht="15.75" customHeight="1" thickBot="1" x14ac:dyDescent="0.25">
      <c r="A59" s="2992"/>
      <c r="B59" s="1311" t="s">
        <v>8</v>
      </c>
      <c r="C59" s="2699">
        <f>Drogi!D485+'Ochrona zdrowia'!D17</f>
        <v>49274500</v>
      </c>
      <c r="D59" s="2700">
        <f>Drogi!E485+'Ochrona zdrowia'!E17</f>
        <v>8065000</v>
      </c>
      <c r="E59" s="2701">
        <f>Drogi!F485+'Ochrona zdrowia'!F17</f>
        <v>9148705</v>
      </c>
      <c r="F59" s="2700">
        <f>Drogi!G485+'Ochrona zdrowia'!G17</f>
        <v>24888750</v>
      </c>
      <c r="G59" s="2702">
        <f>Drogi!H485+'Ochrona zdrowia'!H17</f>
        <v>2482000</v>
      </c>
      <c r="H59" s="1288">
        <f>Drogi!I485+'Ochrona zdrowia'!I17</f>
        <v>17213705</v>
      </c>
      <c r="I59" s="1314">
        <f t="shared" si="26"/>
        <v>34.934306791545325</v>
      </c>
      <c r="J59" s="1312">
        <f>Drogi!K485+'Ochrona zdrowia'!K17</f>
        <v>0</v>
      </c>
      <c r="K59" s="1315">
        <f t="shared" si="28"/>
        <v>0</v>
      </c>
      <c r="L59" s="1313">
        <f t="shared" si="32"/>
        <v>-12444375</v>
      </c>
    </row>
    <row r="60" spans="1:12" s="59" customFormat="1" ht="15.75" customHeight="1" x14ac:dyDescent="0.2">
      <c r="A60" s="2992"/>
      <c r="B60" s="1317" t="s">
        <v>265</v>
      </c>
      <c r="C60" s="1293">
        <f>Oświata!D45</f>
        <v>3653680</v>
      </c>
      <c r="D60" s="1294">
        <f>Oświata!E45</f>
        <v>0</v>
      </c>
      <c r="E60" s="1318">
        <f>Oświata!F45</f>
        <v>5000</v>
      </c>
      <c r="F60" s="1294">
        <f>Oświata!G45</f>
        <v>2082464</v>
      </c>
      <c r="G60" s="1295">
        <f>Oświata!H45</f>
        <v>1566216</v>
      </c>
      <c r="H60" s="1318">
        <f>Oświata!I45</f>
        <v>5000</v>
      </c>
      <c r="I60" s="1297">
        <f t="shared" si="26"/>
        <v>0.13684832826082197</v>
      </c>
      <c r="J60" s="1294">
        <f>Oświata!K45</f>
        <v>0</v>
      </c>
      <c r="K60" s="1298">
        <f t="shared" si="28"/>
        <v>0</v>
      </c>
      <c r="L60" s="1295">
        <f t="shared" si="32"/>
        <v>-1041232</v>
      </c>
    </row>
    <row r="61" spans="1:12" s="59" customFormat="1" ht="13.5" customHeight="1" x14ac:dyDescent="0.2">
      <c r="A61" s="2992"/>
      <c r="B61" s="1275" t="s">
        <v>9</v>
      </c>
      <c r="C61" s="1276">
        <f>'Rolnictwo i Ochrona środowiska'!D235</f>
        <v>674361</v>
      </c>
      <c r="D61" s="1051">
        <f>'Rolnictwo i Ochrona środowiska'!E235</f>
        <v>0</v>
      </c>
      <c r="E61" s="1277">
        <f>'Rolnictwo i Ochrona środowiska'!F235</f>
        <v>461134</v>
      </c>
      <c r="F61" s="1051">
        <f>'Rolnictwo i Ochrona środowiska'!G235</f>
        <v>213227</v>
      </c>
      <c r="G61" s="1278">
        <f>'Rolnictwo i Ochrona środowiska'!H235</f>
        <v>0</v>
      </c>
      <c r="H61" s="1277">
        <f>'Rolnictwo i Ochrona środowiska'!I235</f>
        <v>461134</v>
      </c>
      <c r="I61" s="1050">
        <f t="shared" si="26"/>
        <v>68.380882049821977</v>
      </c>
      <c r="J61" s="1051">
        <f>'Rolnictwo i Ochrona środowiska'!K235</f>
        <v>0</v>
      </c>
      <c r="K61" s="1280">
        <f t="shared" si="28"/>
        <v>0</v>
      </c>
      <c r="L61" s="1278">
        <f t="shared" si="32"/>
        <v>-106613.5</v>
      </c>
    </row>
    <row r="62" spans="1:12" s="59" customFormat="1" ht="18" customHeight="1" x14ac:dyDescent="0.2">
      <c r="A62" s="2992"/>
      <c r="B62" s="1281" t="s">
        <v>13</v>
      </c>
      <c r="C62" s="1282">
        <f t="shared" ref="C62:H62" si="33">SUM(C63:C63)</f>
        <v>142356272</v>
      </c>
      <c r="D62" s="1283">
        <f t="shared" si="33"/>
        <v>47480581</v>
      </c>
      <c r="E62" s="1284">
        <f t="shared" si="33"/>
        <v>16833436</v>
      </c>
      <c r="F62" s="1283">
        <f t="shared" si="33"/>
        <v>42371064</v>
      </c>
      <c r="G62" s="1285">
        <f t="shared" si="33"/>
        <v>35671191</v>
      </c>
      <c r="H62" s="1284">
        <f t="shared" si="33"/>
        <v>69087065</v>
      </c>
      <c r="I62" s="1286">
        <f t="shared" si="26"/>
        <v>48.531100196273755</v>
      </c>
      <c r="J62" s="1283">
        <f>SUM(J63:J63)</f>
        <v>4773048</v>
      </c>
      <c r="K62" s="2687">
        <f t="shared" si="28"/>
        <v>11.264876426043962</v>
      </c>
      <c r="L62" s="1285">
        <f>SUM(L63:L63)</f>
        <v>-16412484</v>
      </c>
    </row>
    <row r="63" spans="1:12" s="59" customFormat="1" ht="15.75" customHeight="1" x14ac:dyDescent="0.2">
      <c r="A63" s="2992"/>
      <c r="B63" s="1275" t="s">
        <v>16</v>
      </c>
      <c r="C63" s="2660">
        <f>'Ochrona zdrowia'!D20+Oświata!D49+Kultura!D17</f>
        <v>142356272</v>
      </c>
      <c r="D63" s="1051">
        <f>'Ochrona zdrowia'!E20+Oświata!E49+Kultura!E17</f>
        <v>47480581</v>
      </c>
      <c r="E63" s="1051">
        <f>'Ochrona zdrowia'!F20+Oświata!F49+Kultura!F17</f>
        <v>16833436</v>
      </c>
      <c r="F63" s="1051">
        <f>'Ochrona zdrowia'!G20+Oświata!G49+Kultura!G17</f>
        <v>42371064</v>
      </c>
      <c r="G63" s="1052">
        <f>'Ochrona zdrowia'!H20+Oświata!H49+Kultura!H17</f>
        <v>35671191</v>
      </c>
      <c r="H63" s="1277">
        <f>'Ochrona zdrowia'!I20+Oświata!I49+Kultura!I17</f>
        <v>69087065</v>
      </c>
      <c r="I63" s="1050">
        <f t="shared" si="26"/>
        <v>48.531100196273755</v>
      </c>
      <c r="J63" s="1051">
        <f>'Ochrona zdrowia'!K20+Oświata!K49+Kultura!K17</f>
        <v>4773048</v>
      </c>
      <c r="K63" s="1280">
        <f t="shared" si="28"/>
        <v>11.264876426043962</v>
      </c>
      <c r="L63" s="1278">
        <f>+J63-F63/2</f>
        <v>-16412484</v>
      </c>
    </row>
    <row r="64" spans="1:12" s="78" customFormat="1" ht="18" customHeight="1" x14ac:dyDescent="0.2">
      <c r="A64" s="2992"/>
      <c r="B64" s="1044" t="s">
        <v>17</v>
      </c>
      <c r="C64" s="945">
        <f>+C65+C71</f>
        <v>244416240</v>
      </c>
      <c r="D64" s="1045">
        <f>+D65+D71</f>
        <v>70753681</v>
      </c>
      <c r="E64" s="1045">
        <f>+E65+E71</f>
        <v>36333198</v>
      </c>
      <c r="F64" s="1045">
        <f>+F65+F71</f>
        <v>78785708</v>
      </c>
      <c r="G64" s="1054">
        <f>+G65+G71</f>
        <v>53853608</v>
      </c>
      <c r="H64" s="2691">
        <f t="shared" ref="H64" si="34">+H65+H71</f>
        <v>111456715</v>
      </c>
      <c r="I64" s="1053">
        <f t="shared" si="26"/>
        <v>45.601190411897342</v>
      </c>
      <c r="J64" s="1045">
        <f>+J65+J71</f>
        <v>4369836</v>
      </c>
      <c r="K64" s="2688">
        <f t="shared" si="28"/>
        <v>5.5464831261020082</v>
      </c>
      <c r="L64" s="2661">
        <f>+L65+L71</f>
        <v>-35023018</v>
      </c>
    </row>
    <row r="65" spans="1:12" s="59" customFormat="1" ht="15" customHeight="1" x14ac:dyDescent="0.2">
      <c r="A65" s="2992"/>
      <c r="B65" s="68" t="s">
        <v>18</v>
      </c>
      <c r="C65" s="101">
        <f>SUM(C66:C70)</f>
        <v>102059968</v>
      </c>
      <c r="D65" s="69">
        <f>SUM(D66:D70)</f>
        <v>24037593</v>
      </c>
      <c r="E65" s="81">
        <f>SUM(E66:E70)</f>
        <v>16991353</v>
      </c>
      <c r="F65" s="69">
        <f>SUM(F66:F70)</f>
        <v>38158560</v>
      </c>
      <c r="G65" s="908">
        <f>SUM(G66:G70)</f>
        <v>18182417</v>
      </c>
      <c r="H65" s="81">
        <f t="shared" ref="H65" si="35">SUM(H66:H70)</f>
        <v>42121042</v>
      </c>
      <c r="I65" s="102">
        <f t="shared" si="26"/>
        <v>41.270875178012986</v>
      </c>
      <c r="J65" s="69">
        <f>SUM(J66:J70)</f>
        <v>1092096</v>
      </c>
      <c r="K65" s="103">
        <f t="shared" si="28"/>
        <v>2.8619947922563114</v>
      </c>
      <c r="L65" s="908">
        <f>SUM(L66:L70)</f>
        <v>-17987184</v>
      </c>
    </row>
    <row r="66" spans="1:12" s="59" customFormat="1" ht="15" customHeight="1" x14ac:dyDescent="0.2">
      <c r="A66" s="2992"/>
      <c r="B66" s="60" t="s">
        <v>8</v>
      </c>
      <c r="C66" s="105">
        <f>Drogi!D478+'Ochrona zdrowia'!D23</f>
        <v>49274500</v>
      </c>
      <c r="D66" s="79">
        <f>Drogi!E478+'Ochrona zdrowia'!E23</f>
        <v>8065000</v>
      </c>
      <c r="E66" s="80">
        <f>Drogi!F478+'Ochrona zdrowia'!F23</f>
        <v>9148705</v>
      </c>
      <c r="F66" s="79">
        <f>Drogi!G478+'Ochrona zdrowia'!G23</f>
        <v>24888750</v>
      </c>
      <c r="G66" s="915">
        <f>Drogi!H478+'Ochrona zdrowia'!H23</f>
        <v>2482000</v>
      </c>
      <c r="H66" s="80">
        <f>Drogi!I478+'Ochrona zdrowia'!I23</f>
        <v>17213705</v>
      </c>
      <c r="I66" s="57">
        <f t="shared" si="26"/>
        <v>34.934306791545325</v>
      </c>
      <c r="J66" s="79">
        <f>Drogi!K478+'Ochrona zdrowia'!K23</f>
        <v>0</v>
      </c>
      <c r="K66" s="58">
        <f t="shared" si="28"/>
        <v>0</v>
      </c>
      <c r="L66" s="56">
        <f t="shared" ref="L66:L70" si="36">+J66-F66/2</f>
        <v>-12444375</v>
      </c>
    </row>
    <row r="67" spans="1:12" s="59" customFormat="1" ht="15" customHeight="1" x14ac:dyDescent="0.2">
      <c r="A67" s="2992"/>
      <c r="B67" s="60" t="s">
        <v>10</v>
      </c>
      <c r="C67" s="105">
        <f>Drogi!D479+'Ochrona zdrowia'!D24</f>
        <v>11857105</v>
      </c>
      <c r="D67" s="79">
        <f>Drogi!E479+'Ochrona zdrowia'!E24</f>
        <v>4919280</v>
      </c>
      <c r="E67" s="80">
        <f>Drogi!F479+'Ochrona zdrowia'!F24</f>
        <v>2717825</v>
      </c>
      <c r="F67" s="79">
        <f>Drogi!G479+'Ochrona zdrowia'!G24</f>
        <v>2220000</v>
      </c>
      <c r="G67" s="915">
        <f>Drogi!H479+'Ochrona zdrowia'!H24</f>
        <v>2000000</v>
      </c>
      <c r="H67" s="80">
        <f>Drogi!I479+'Ochrona zdrowia'!I24</f>
        <v>7637105</v>
      </c>
      <c r="I67" s="57">
        <f t="shared" si="26"/>
        <v>64.409524921977152</v>
      </c>
      <c r="J67" s="79">
        <f>Drogi!K479+'Ochrona zdrowia'!K24</f>
        <v>0</v>
      </c>
      <c r="K67" s="58">
        <f t="shared" si="28"/>
        <v>0</v>
      </c>
      <c r="L67" s="56">
        <f t="shared" si="36"/>
        <v>-1110000</v>
      </c>
    </row>
    <row r="68" spans="1:12" s="59" customFormat="1" ht="15" customHeight="1" x14ac:dyDescent="0.2">
      <c r="A68" s="2992"/>
      <c r="B68" s="60" t="s">
        <v>30</v>
      </c>
      <c r="C68" s="105">
        <f>Drogi!D480+'Rolnictwo i Ochrona środowiska'!D240</f>
        <v>14976756</v>
      </c>
      <c r="D68" s="79">
        <f>Drogi!E480+'Rolnictwo i Ochrona środowiska'!E240</f>
        <v>10731046</v>
      </c>
      <c r="E68" s="80">
        <f>Drogi!F480+'Rolnictwo i Ochrona środowiska'!F240</f>
        <v>3318636</v>
      </c>
      <c r="F68" s="79">
        <f>Drogi!G480+'Rolnictwo i Ochrona środowiska'!G240</f>
        <v>927074</v>
      </c>
      <c r="G68" s="915">
        <f>Drogi!H480+'Rolnictwo i Ochrona środowiska'!H240</f>
        <v>0</v>
      </c>
      <c r="H68" s="80">
        <f>Drogi!I480+'Rolnictwo i Ochrona środowiska'!I240</f>
        <v>14049682</v>
      </c>
      <c r="I68" s="57">
        <f t="shared" si="26"/>
        <v>93.80991451019166</v>
      </c>
      <c r="J68" s="79">
        <f>Drogi!K480+'Rolnictwo i Ochrona środowiska'!K240</f>
        <v>0</v>
      </c>
      <c r="K68" s="58">
        <f t="shared" si="28"/>
        <v>0</v>
      </c>
      <c r="L68" s="56">
        <f t="shared" si="36"/>
        <v>-463537</v>
      </c>
    </row>
    <row r="69" spans="1:12" s="59" customFormat="1" ht="15" customHeight="1" x14ac:dyDescent="0.2">
      <c r="A69" s="2992"/>
      <c r="B69" s="914" t="s">
        <v>266</v>
      </c>
      <c r="C69" s="105">
        <f>Kultura!D20+Oświata!D53</f>
        <v>25277246</v>
      </c>
      <c r="D69" s="79">
        <f>Kultura!E20+Oświata!E53</f>
        <v>322267</v>
      </c>
      <c r="E69" s="80">
        <f>Kultura!F20+Oświata!F53</f>
        <v>1345053</v>
      </c>
      <c r="F69" s="79">
        <f>Kultura!G20+Oświata!G53</f>
        <v>9909509</v>
      </c>
      <c r="G69" s="915">
        <f>Kultura!H20+Oświata!H53</f>
        <v>13700417</v>
      </c>
      <c r="H69" s="80">
        <f>Kultura!I20+Oświata!I53</f>
        <v>2759416</v>
      </c>
      <c r="I69" s="57">
        <f t="shared" si="26"/>
        <v>10.916600645497535</v>
      </c>
      <c r="J69" s="79">
        <f>Kultura!K20+Oświata!K53</f>
        <v>1092096</v>
      </c>
      <c r="K69" s="58">
        <f t="shared" si="28"/>
        <v>11.020687301459638</v>
      </c>
      <c r="L69" s="56">
        <f t="shared" si="36"/>
        <v>-3862658.5</v>
      </c>
    </row>
    <row r="70" spans="1:12" s="59" customFormat="1" ht="18" customHeight="1" x14ac:dyDescent="0.2">
      <c r="A70" s="2992"/>
      <c r="B70" s="60" t="s">
        <v>9</v>
      </c>
      <c r="C70" s="105">
        <f>'Rolnictwo i Ochrona środowiska'!D239</f>
        <v>674361</v>
      </c>
      <c r="D70" s="79">
        <f>'Rolnictwo i Ochrona środowiska'!E239</f>
        <v>0</v>
      </c>
      <c r="E70" s="80">
        <f>'Rolnictwo i Ochrona środowiska'!F239</f>
        <v>461134</v>
      </c>
      <c r="F70" s="79">
        <f>'Rolnictwo i Ochrona środowiska'!G239</f>
        <v>213227</v>
      </c>
      <c r="G70" s="915">
        <f>'Rolnictwo i Ochrona środowiska'!H239</f>
        <v>0</v>
      </c>
      <c r="H70" s="80">
        <f>'Rolnictwo i Ochrona środowiska'!I239</f>
        <v>461134</v>
      </c>
      <c r="I70" s="57">
        <f t="shared" si="26"/>
        <v>68.380882049821977</v>
      </c>
      <c r="J70" s="79">
        <f>'Rolnictwo i Ochrona środowiska'!K239</f>
        <v>0</v>
      </c>
      <c r="K70" s="58">
        <f t="shared" si="28"/>
        <v>0</v>
      </c>
      <c r="L70" s="56">
        <f t="shared" si="36"/>
        <v>-106613.5</v>
      </c>
    </row>
    <row r="71" spans="1:12" s="59" customFormat="1" ht="14.25" customHeight="1" thickBot="1" x14ac:dyDescent="0.25">
      <c r="A71" s="2992"/>
      <c r="B71" s="1319" t="s">
        <v>13</v>
      </c>
      <c r="C71" s="1320">
        <f t="shared" ref="C71:H71" si="37">SUM(C72:C72)</f>
        <v>142356272</v>
      </c>
      <c r="D71" s="1321">
        <f t="shared" si="37"/>
        <v>46716088</v>
      </c>
      <c r="E71" s="1322">
        <f t="shared" si="37"/>
        <v>19341845</v>
      </c>
      <c r="F71" s="1321">
        <f t="shared" si="37"/>
        <v>40627148</v>
      </c>
      <c r="G71" s="1323">
        <f t="shared" si="37"/>
        <v>35671191</v>
      </c>
      <c r="H71" s="1322">
        <f t="shared" si="37"/>
        <v>69335673</v>
      </c>
      <c r="I71" s="1324">
        <f t="shared" si="26"/>
        <v>48.705738093506689</v>
      </c>
      <c r="J71" s="1321">
        <f>SUM(J72:J72)</f>
        <v>3277740</v>
      </c>
      <c r="K71" s="1325">
        <f t="shared" si="28"/>
        <v>8.0678564983197933</v>
      </c>
      <c r="L71" s="1326">
        <f>SUM(L72:L72)</f>
        <v>-17035834</v>
      </c>
    </row>
    <row r="72" spans="1:12" s="59" customFormat="1" ht="15.75" customHeight="1" thickBot="1" x14ac:dyDescent="0.25">
      <c r="A72" s="2992"/>
      <c r="B72" s="959" t="s">
        <v>16</v>
      </c>
      <c r="C72" s="2711">
        <f>'Ochrona zdrowia'!D26+Oświata!D55+Kultura!D22</f>
        <v>142356272</v>
      </c>
      <c r="D72" s="79">
        <f>'Ochrona zdrowia'!E26+Oświata!E55+Kultura!E22</f>
        <v>46716088</v>
      </c>
      <c r="E72" s="80">
        <f>'Ochrona zdrowia'!F26+Oświata!F55+Kultura!F22</f>
        <v>19341845</v>
      </c>
      <c r="F72" s="79">
        <f>'Ochrona zdrowia'!G26+Oświata!G55+Kultura!G22</f>
        <v>40627148</v>
      </c>
      <c r="G72" s="915">
        <f>'Ochrona zdrowia'!H26+Oświata!H55+Kultura!H22</f>
        <v>35671191</v>
      </c>
      <c r="H72" s="1329">
        <f>'Ochrona zdrowia'!I26+Oświata!I55+Kultura!I22</f>
        <v>69335673</v>
      </c>
      <c r="I72" s="961">
        <f t="shared" si="26"/>
        <v>48.705738093506689</v>
      </c>
      <c r="J72" s="1329">
        <f>'Ochrona zdrowia'!K26+Oświata!K55+Kultura!K22</f>
        <v>3277740</v>
      </c>
      <c r="K72" s="962">
        <f t="shared" si="28"/>
        <v>8.0678564983197933</v>
      </c>
      <c r="L72" s="960">
        <f>+J72-F72/2</f>
        <v>-17035834</v>
      </c>
    </row>
    <row r="73" spans="1:12" s="59" customFormat="1" ht="9.75" customHeight="1" thickBot="1" x14ac:dyDescent="0.25">
      <c r="A73" s="963"/>
      <c r="B73" s="1462"/>
      <c r="C73" s="1042"/>
      <c r="D73" s="79"/>
      <c r="E73" s="80"/>
      <c r="F73" s="79"/>
      <c r="G73" s="915"/>
      <c r="H73" s="105"/>
      <c r="I73" s="57"/>
      <c r="J73" s="79"/>
      <c r="K73" s="58"/>
      <c r="L73" s="56"/>
    </row>
    <row r="74" spans="1:12" s="78" customFormat="1" ht="18" customHeight="1" thickBot="1" x14ac:dyDescent="0.25">
      <c r="A74" s="2993" t="s">
        <v>19</v>
      </c>
      <c r="B74" s="2994"/>
      <c r="C74" s="916">
        <f>C54+C55+C57+C58+C59+C61</f>
        <v>828800993.03250003</v>
      </c>
      <c r="D74" s="87">
        <f t="shared" ref="D74:G74" si="38">D54+D55+D57+D58+D59+D61</f>
        <v>171328655.0325</v>
      </c>
      <c r="E74" s="87">
        <f t="shared" si="38"/>
        <v>95873953</v>
      </c>
      <c r="F74" s="87">
        <f t="shared" si="38"/>
        <v>184384914</v>
      </c>
      <c r="G74" s="88">
        <f t="shared" si="38"/>
        <v>372108264</v>
      </c>
      <c r="H74" s="107">
        <f t="shared" ref="H74" si="39">H54+H55+H57+H58+H59+H61</f>
        <v>340860489.46249998</v>
      </c>
      <c r="I74" s="90">
        <f>H74/C74*100</f>
        <v>41.126940282169002</v>
      </c>
      <c r="J74" s="87">
        <f t="shared" ref="J74:L74" si="40">J54+J55+J57+J58+J59+J61</f>
        <v>73242719.430000007</v>
      </c>
      <c r="K74" s="918">
        <f>J74/F74*100</f>
        <v>39.722728850799591</v>
      </c>
      <c r="L74" s="1535">
        <f t="shared" si="40"/>
        <v>-18949737.57</v>
      </c>
    </row>
    <row r="75" spans="1:12" s="78" customFormat="1" ht="18" customHeight="1" thickBot="1" x14ac:dyDescent="0.25">
      <c r="A75" s="2986" t="s">
        <v>22</v>
      </c>
      <c r="B75" s="2987"/>
      <c r="C75" s="917">
        <f>C66+C67+C68+C70+C69</f>
        <v>102059968</v>
      </c>
      <c r="D75" s="108">
        <f t="shared" ref="D75:G75" si="41">D66+D67+D68+D70+D69</f>
        <v>24037593</v>
      </c>
      <c r="E75" s="108">
        <f t="shared" si="41"/>
        <v>16991353</v>
      </c>
      <c r="F75" s="108">
        <f t="shared" si="41"/>
        <v>38158560</v>
      </c>
      <c r="G75" s="109">
        <f t="shared" si="41"/>
        <v>18182417</v>
      </c>
      <c r="H75" s="110">
        <f t="shared" ref="H75" si="42">H66+H67+H68+H70+H69</f>
        <v>42121042</v>
      </c>
      <c r="I75" s="111">
        <f>H75/C75*100</f>
        <v>41.270875178012986</v>
      </c>
      <c r="J75" s="108">
        <f t="shared" ref="J75:L75" si="43">J66+J67+J68+J70+J69</f>
        <v>1092096</v>
      </c>
      <c r="K75" s="919">
        <f>J75/F75*100</f>
        <v>2.8619947922563114</v>
      </c>
      <c r="L75" s="1536">
        <f t="shared" si="43"/>
        <v>-17987184</v>
      </c>
    </row>
    <row r="76" spans="1:12" s="59" customFormat="1" ht="10.5" customHeight="1" thickBot="1" x14ac:dyDescent="0.25">
      <c r="A76" s="963"/>
      <c r="B76" s="83"/>
      <c r="C76" s="83"/>
      <c r="D76" s="61"/>
      <c r="E76" s="61"/>
      <c r="F76" s="61"/>
      <c r="G76" s="61"/>
      <c r="H76" s="61"/>
      <c r="I76" s="85"/>
      <c r="J76" s="61"/>
      <c r="K76" s="85"/>
      <c r="L76" s="61"/>
    </row>
    <row r="77" spans="1:12" s="78" customFormat="1" ht="18" customHeight="1" thickBot="1" x14ac:dyDescent="0.25">
      <c r="A77" s="2988" t="s">
        <v>331</v>
      </c>
      <c r="B77" s="2989"/>
      <c r="C77" s="112">
        <f>+C74+C40-0.7</f>
        <v>2157115330.4925003</v>
      </c>
      <c r="D77" s="112">
        <f t="shared" ref="D77:H77" si="44">+D74+D40</f>
        <v>647246020.03250003</v>
      </c>
      <c r="E77" s="112">
        <f t="shared" si="44"/>
        <v>370165231.15999997</v>
      </c>
      <c r="F77" s="112">
        <f t="shared" si="44"/>
        <v>471385588</v>
      </c>
      <c r="G77" s="113">
        <f t="shared" si="44"/>
        <v>663134468</v>
      </c>
      <c r="H77" s="114">
        <f t="shared" si="44"/>
        <v>1135082020.3924999</v>
      </c>
      <c r="I77" s="115">
        <f>H77/C77*100</f>
        <v>52.620367782252252</v>
      </c>
      <c r="J77" s="112">
        <f>+J74+J40</f>
        <v>117255607.2</v>
      </c>
      <c r="K77" s="921">
        <f>J77/F77*100</f>
        <v>24.874669524262163</v>
      </c>
      <c r="L77" s="1534">
        <f>+L74+L40</f>
        <v>-118437186.80000001</v>
      </c>
    </row>
    <row r="78" spans="1:12" s="78" customFormat="1" ht="18" customHeight="1" thickBot="1" x14ac:dyDescent="0.25">
      <c r="A78" s="2995" t="s">
        <v>190</v>
      </c>
      <c r="B78" s="2996"/>
      <c r="C78" s="1463">
        <f t="shared" ref="C78:H79" si="45">+C12+C50</f>
        <v>777417826.50999999</v>
      </c>
      <c r="D78" s="926">
        <f t="shared" si="45"/>
        <v>135763606</v>
      </c>
      <c r="E78" s="926">
        <f t="shared" si="45"/>
        <v>64076472.509999998</v>
      </c>
      <c r="F78" s="926">
        <f t="shared" si="45"/>
        <v>170880310</v>
      </c>
      <c r="G78" s="924">
        <f t="shared" si="45"/>
        <v>406618621</v>
      </c>
      <c r="H78" s="925">
        <f t="shared" si="45"/>
        <v>280885694.91000003</v>
      </c>
      <c r="I78" s="928">
        <f t="shared" ref="I78:I79" si="46">H78/C78*100</f>
        <v>36.130596100549667</v>
      </c>
      <c r="J78" s="926">
        <f>+J12+J50</f>
        <v>81045615.400000006</v>
      </c>
      <c r="K78" s="927">
        <f>J78/F78*100</f>
        <v>47.42829375719181</v>
      </c>
      <c r="L78" s="923">
        <f>+L12+L50</f>
        <v>-4394539.6000000015</v>
      </c>
    </row>
    <row r="79" spans="1:12" s="78" customFormat="1" ht="18" customHeight="1" thickBot="1" x14ac:dyDescent="0.25">
      <c r="A79" s="2997" t="s">
        <v>191</v>
      </c>
      <c r="B79" s="2998"/>
      <c r="C79" s="1464">
        <f t="shared" si="45"/>
        <v>1379697504.6824999</v>
      </c>
      <c r="D79" s="966">
        <f t="shared" si="45"/>
        <v>511482414.03250003</v>
      </c>
      <c r="E79" s="966">
        <f t="shared" si="45"/>
        <v>306503920.64999998</v>
      </c>
      <c r="F79" s="966">
        <f t="shared" si="45"/>
        <v>300505278</v>
      </c>
      <c r="G79" s="967">
        <f t="shared" si="45"/>
        <v>256515847</v>
      </c>
      <c r="H79" s="965">
        <f t="shared" si="45"/>
        <v>854196325.48250008</v>
      </c>
      <c r="I79" s="968">
        <f t="shared" si="46"/>
        <v>61.911855503360528</v>
      </c>
      <c r="J79" s="966">
        <f>+J13+J51</f>
        <v>36209990.799999997</v>
      </c>
      <c r="K79" s="969">
        <f>J79/F79*100</f>
        <v>12.049702102070899</v>
      </c>
      <c r="L79" s="970">
        <f>+L13+L51</f>
        <v>-114042648.20000002</v>
      </c>
    </row>
    <row r="80" spans="1:12" s="78" customFormat="1" ht="18" customHeight="1" thickBot="1" x14ac:dyDescent="0.25">
      <c r="A80" s="2990" t="s">
        <v>23</v>
      </c>
      <c r="B80" s="2991"/>
      <c r="C80" s="920">
        <f>+C41+C75-0.6</f>
        <v>1273251797.0599999</v>
      </c>
      <c r="D80" s="112">
        <f t="shared" ref="D80:H80" si="47">+D41+D75</f>
        <v>413464227</v>
      </c>
      <c r="E80" s="112">
        <f t="shared" si="47"/>
        <v>287442901.65999997</v>
      </c>
      <c r="F80" s="112">
        <f t="shared" si="47"/>
        <v>296017764</v>
      </c>
      <c r="G80" s="113">
        <f t="shared" si="47"/>
        <v>271605398</v>
      </c>
      <c r="H80" s="114">
        <f t="shared" si="47"/>
        <v>739965384.66000009</v>
      </c>
      <c r="I80" s="115">
        <f>H80/C80*100</f>
        <v>58.116186159612418</v>
      </c>
      <c r="J80" s="112">
        <f>+J41+J75</f>
        <v>39058256</v>
      </c>
      <c r="K80" s="921">
        <f>J80/F80*100</f>
        <v>13.194564904557552</v>
      </c>
      <c r="L80" s="1534">
        <f>+L41+L75</f>
        <v>-108950626</v>
      </c>
    </row>
    <row r="81" spans="1:12" s="59" customFormat="1" ht="15.75" customHeight="1" x14ac:dyDescent="0.2">
      <c r="A81" s="963"/>
      <c r="B81" s="83"/>
      <c r="C81" s="83"/>
      <c r="D81" s="61"/>
      <c r="E81" s="61"/>
      <c r="F81" s="61"/>
      <c r="G81" s="61"/>
      <c r="H81" s="61"/>
      <c r="I81" s="61"/>
      <c r="J81" s="61"/>
      <c r="K81" s="61"/>
      <c r="L81" s="106"/>
    </row>
    <row r="82" spans="1:12" s="59" customFormat="1" ht="15.75" customHeight="1" x14ac:dyDescent="0.2">
      <c r="A82" s="963"/>
      <c r="B82" s="83"/>
      <c r="C82" s="83"/>
      <c r="D82" s="61"/>
      <c r="E82" s="61"/>
      <c r="F82" s="61"/>
      <c r="G82" s="61"/>
      <c r="H82" s="61"/>
      <c r="I82" s="61"/>
      <c r="J82" s="61"/>
      <c r="K82" s="61"/>
      <c r="L82" s="106"/>
    </row>
    <row r="83" spans="1:12" s="59" customFormat="1" ht="15.75" customHeight="1" x14ac:dyDescent="0.2">
      <c r="A83" s="963"/>
      <c r="B83" s="83"/>
      <c r="C83" s="83"/>
      <c r="D83" s="61"/>
      <c r="E83" s="61"/>
      <c r="F83" s="61"/>
      <c r="G83" s="61"/>
      <c r="H83" s="61"/>
      <c r="I83" s="61"/>
      <c r="J83" s="61"/>
      <c r="K83" s="61"/>
      <c r="L83" s="106"/>
    </row>
    <row r="84" spans="1:12" s="59" customFormat="1" ht="15.75" customHeight="1" x14ac:dyDescent="0.2">
      <c r="A84" s="963"/>
      <c r="B84" s="83"/>
      <c r="C84" s="83"/>
      <c r="D84" s="61"/>
      <c r="E84" s="61"/>
      <c r="F84" s="61"/>
      <c r="G84" s="61"/>
      <c r="H84" s="61"/>
      <c r="I84" s="61"/>
      <c r="J84" s="61"/>
      <c r="K84" s="61"/>
      <c r="L84" s="106"/>
    </row>
    <row r="85" spans="1:12" s="59" customFormat="1" ht="15.75" customHeight="1" x14ac:dyDescent="0.2">
      <c r="A85" s="963"/>
      <c r="B85" s="83"/>
      <c r="C85" s="83"/>
      <c r="D85" s="61"/>
      <c r="E85" s="61"/>
      <c r="F85" s="61"/>
      <c r="G85" s="61"/>
      <c r="H85" s="61"/>
      <c r="I85" s="61"/>
      <c r="J85" s="61"/>
      <c r="K85" s="61"/>
      <c r="L85" s="106"/>
    </row>
    <row r="86" spans="1:12" s="59" customFormat="1" ht="15.75" customHeight="1" x14ac:dyDescent="0.2">
      <c r="A86" s="963"/>
      <c r="B86" s="83"/>
      <c r="C86" s="83"/>
      <c r="D86" s="61"/>
      <c r="E86" s="61"/>
      <c r="F86" s="61"/>
      <c r="G86" s="61"/>
      <c r="H86" s="61"/>
      <c r="I86" s="61"/>
      <c r="J86" s="61"/>
      <c r="K86" s="61"/>
      <c r="L86" s="106"/>
    </row>
    <row r="87" spans="1:12" s="59" customFormat="1" ht="15.75" customHeight="1" x14ac:dyDescent="0.2">
      <c r="A87" s="963"/>
      <c r="B87" s="83"/>
      <c r="C87" s="83"/>
      <c r="D87" s="61"/>
      <c r="E87" s="61"/>
      <c r="F87" s="61"/>
      <c r="G87" s="61"/>
      <c r="H87" s="61"/>
      <c r="I87" s="61"/>
      <c r="J87" s="61"/>
      <c r="K87" s="61"/>
      <c r="L87" s="106"/>
    </row>
    <row r="88" spans="1:12" s="59" customFormat="1" ht="15.75" customHeight="1" x14ac:dyDescent="0.2">
      <c r="A88" s="963"/>
      <c r="B88" s="83"/>
      <c r="C88" s="83"/>
      <c r="D88" s="61"/>
      <c r="E88" s="61"/>
      <c r="F88" s="61"/>
      <c r="G88" s="61"/>
      <c r="H88" s="61"/>
      <c r="I88" s="61"/>
      <c r="J88" s="61"/>
      <c r="K88" s="61"/>
      <c r="L88" s="106"/>
    </row>
    <row r="89" spans="1:12" s="59" customFormat="1" ht="15.75" customHeight="1" x14ac:dyDescent="0.2">
      <c r="A89" s="963"/>
      <c r="B89" s="83"/>
      <c r="C89" s="83"/>
      <c r="D89" s="61"/>
      <c r="E89" s="61"/>
      <c r="F89" s="61"/>
      <c r="G89" s="61"/>
      <c r="H89" s="61"/>
      <c r="I89" s="61"/>
      <c r="J89" s="61"/>
      <c r="K89" s="61"/>
      <c r="L89" s="106"/>
    </row>
    <row r="90" spans="1:12" s="59" customFormat="1" ht="15.75" customHeight="1" x14ac:dyDescent="0.2">
      <c r="A90" s="963"/>
      <c r="B90" s="83"/>
      <c r="C90" s="83"/>
      <c r="D90" s="61"/>
      <c r="E90" s="61"/>
      <c r="F90" s="61"/>
      <c r="G90" s="61"/>
      <c r="H90" s="61"/>
      <c r="I90" s="61"/>
      <c r="J90" s="61"/>
      <c r="K90" s="61"/>
      <c r="L90" s="106"/>
    </row>
    <row r="91" spans="1:12" s="59" customFormat="1" ht="15.75" customHeight="1" x14ac:dyDescent="0.2">
      <c r="A91" s="963"/>
      <c r="B91" s="83"/>
      <c r="C91" s="83"/>
      <c r="D91" s="61"/>
      <c r="E91" s="61"/>
      <c r="F91" s="61"/>
      <c r="G91" s="61"/>
      <c r="H91" s="61"/>
      <c r="I91" s="61"/>
      <c r="J91" s="61"/>
      <c r="K91" s="61"/>
      <c r="L91" s="106"/>
    </row>
    <row r="92" spans="1:12" s="59" customFormat="1" ht="15.75" customHeight="1" x14ac:dyDescent="0.2">
      <c r="A92" s="963"/>
      <c r="B92" s="83"/>
      <c r="C92" s="83"/>
      <c r="D92" s="61"/>
      <c r="E92" s="61"/>
      <c r="F92" s="61"/>
      <c r="G92" s="61"/>
      <c r="H92" s="61"/>
      <c r="I92" s="61"/>
      <c r="J92" s="61"/>
      <c r="K92" s="61"/>
      <c r="L92" s="106"/>
    </row>
    <row r="93" spans="1:12" s="59" customFormat="1" ht="15.75" customHeight="1" x14ac:dyDescent="0.2">
      <c r="A93" s="963"/>
      <c r="B93" s="83"/>
      <c r="C93" s="83"/>
      <c r="D93" s="61"/>
      <c r="E93" s="61"/>
      <c r="F93" s="61"/>
      <c r="G93" s="61"/>
      <c r="H93" s="61"/>
      <c r="I93" s="61"/>
      <c r="J93" s="61"/>
      <c r="K93" s="61"/>
      <c r="L93" s="106"/>
    </row>
    <row r="94" spans="1:12" s="59" customFormat="1" ht="15.75" customHeight="1" x14ac:dyDescent="0.2">
      <c r="A94" s="963"/>
      <c r="B94" s="83"/>
      <c r="C94" s="83"/>
      <c r="D94" s="61"/>
      <c r="E94" s="61"/>
      <c r="F94" s="61"/>
      <c r="G94" s="61"/>
      <c r="H94" s="61"/>
      <c r="I94" s="61"/>
      <c r="J94" s="61"/>
      <c r="K94" s="61"/>
      <c r="L94" s="106"/>
    </row>
    <row r="95" spans="1:12" s="59" customFormat="1" ht="15.75" customHeight="1" x14ac:dyDescent="0.2">
      <c r="A95" s="963"/>
      <c r="B95" s="83"/>
      <c r="C95" s="83"/>
      <c r="D95" s="61"/>
      <c r="E95" s="61"/>
      <c r="F95" s="61"/>
      <c r="G95" s="61"/>
      <c r="H95" s="61"/>
      <c r="I95" s="61"/>
      <c r="J95" s="61"/>
      <c r="K95" s="61"/>
      <c r="L95" s="106"/>
    </row>
    <row r="96" spans="1:12" s="59" customFormat="1" ht="15.75" customHeight="1" x14ac:dyDescent="0.2">
      <c r="A96" s="963"/>
      <c r="B96" s="83"/>
      <c r="C96" s="83"/>
      <c r="D96" s="61"/>
      <c r="E96" s="61"/>
      <c r="F96" s="61"/>
      <c r="G96" s="61"/>
      <c r="H96" s="61"/>
      <c r="I96" s="61"/>
      <c r="J96" s="61"/>
      <c r="K96" s="61"/>
      <c r="L96" s="106"/>
    </row>
    <row r="97" spans="1:12" s="59" customFormat="1" ht="15.75" customHeight="1" x14ac:dyDescent="0.2">
      <c r="A97" s="963"/>
      <c r="B97" s="83"/>
      <c r="C97" s="83"/>
      <c r="D97" s="61"/>
      <c r="E97" s="61"/>
      <c r="F97" s="61"/>
      <c r="G97" s="61"/>
      <c r="H97" s="61"/>
      <c r="I97" s="61"/>
      <c r="J97" s="61"/>
      <c r="K97" s="61"/>
      <c r="L97" s="106"/>
    </row>
    <row r="98" spans="1:12" s="59" customFormat="1" ht="15.75" customHeight="1" x14ac:dyDescent="0.2">
      <c r="A98" s="963"/>
      <c r="B98" s="83"/>
      <c r="C98" s="83"/>
      <c r="D98" s="61"/>
      <c r="E98" s="61"/>
      <c r="F98" s="61"/>
      <c r="G98" s="61"/>
      <c r="H98" s="61"/>
      <c r="I98" s="61"/>
      <c r="J98" s="61"/>
      <c r="K98" s="61"/>
      <c r="L98" s="106"/>
    </row>
    <row r="99" spans="1:12" s="59" customFormat="1" ht="15.75" customHeight="1" x14ac:dyDescent="0.2">
      <c r="A99" s="963"/>
      <c r="B99" s="83"/>
      <c r="C99" s="83"/>
      <c r="D99" s="61"/>
      <c r="E99" s="61"/>
      <c r="F99" s="61"/>
      <c r="G99" s="61"/>
      <c r="H99" s="61"/>
      <c r="I99" s="61"/>
      <c r="J99" s="61"/>
      <c r="K99" s="61"/>
      <c r="L99" s="106"/>
    </row>
    <row r="100" spans="1:12" s="59" customFormat="1" ht="15.75" customHeight="1" x14ac:dyDescent="0.2">
      <c r="A100" s="963"/>
      <c r="B100" s="83"/>
      <c r="C100" s="83"/>
      <c r="D100" s="61"/>
      <c r="E100" s="61"/>
      <c r="F100" s="61"/>
      <c r="G100" s="61"/>
      <c r="H100" s="61"/>
      <c r="I100" s="61"/>
      <c r="J100" s="61"/>
      <c r="K100" s="61"/>
      <c r="L100" s="106"/>
    </row>
    <row r="101" spans="1:12" s="59" customFormat="1" ht="15.75" customHeight="1" x14ac:dyDescent="0.2">
      <c r="A101" s="963"/>
      <c r="B101" s="83"/>
      <c r="C101" s="83"/>
      <c r="D101" s="61"/>
      <c r="E101" s="61"/>
      <c r="F101" s="61"/>
      <c r="G101" s="61"/>
      <c r="H101" s="61"/>
      <c r="I101" s="61"/>
      <c r="J101" s="61"/>
      <c r="K101" s="61"/>
      <c r="L101" s="106"/>
    </row>
    <row r="102" spans="1:12" x14ac:dyDescent="0.2">
      <c r="B102" s="4"/>
      <c r="C102" s="4"/>
      <c r="D102" s="4"/>
      <c r="E102" s="4"/>
    </row>
    <row r="103" spans="1:12" x14ac:dyDescent="0.2">
      <c r="B103" s="4"/>
      <c r="C103" s="4"/>
      <c r="D103" s="4"/>
      <c r="E103" s="4"/>
    </row>
    <row r="104" spans="1:12" x14ac:dyDescent="0.2">
      <c r="B104" s="4"/>
      <c r="C104" s="4"/>
      <c r="D104" s="4"/>
      <c r="E104" s="4"/>
    </row>
    <row r="105" spans="1:12" x14ac:dyDescent="0.2">
      <c r="B105" s="4"/>
      <c r="C105" s="4"/>
      <c r="D105" s="4"/>
      <c r="E105" s="4"/>
    </row>
    <row r="106" spans="1:12" x14ac:dyDescent="0.2">
      <c r="B106" s="4"/>
      <c r="C106" s="4"/>
      <c r="D106" s="4"/>
      <c r="E106" s="4"/>
    </row>
    <row r="107" spans="1:12" x14ac:dyDescent="0.2">
      <c r="B107" s="4"/>
      <c r="C107" s="4"/>
      <c r="D107" s="4"/>
      <c r="E107" s="4"/>
    </row>
    <row r="108" spans="1:12" x14ac:dyDescent="0.2">
      <c r="B108" s="4"/>
      <c r="C108" s="4"/>
      <c r="D108" s="4"/>
      <c r="E108" s="4"/>
    </row>
    <row r="109" spans="1:12" x14ac:dyDescent="0.2">
      <c r="B109" s="4"/>
      <c r="C109" s="4"/>
      <c r="D109" s="4"/>
      <c r="E109" s="4"/>
    </row>
    <row r="110" spans="1:12" x14ac:dyDescent="0.2">
      <c r="B110" s="4"/>
      <c r="C110" s="4"/>
      <c r="D110" s="4"/>
      <c r="E110" s="4"/>
    </row>
    <row r="111" spans="1:12" x14ac:dyDescent="0.2">
      <c r="B111" s="4"/>
      <c r="C111" s="4"/>
      <c r="D111" s="4"/>
      <c r="E111" s="4"/>
    </row>
    <row r="112" spans="1:12" x14ac:dyDescent="0.2">
      <c r="B112" s="4"/>
      <c r="C112" s="4"/>
      <c r="D112" s="4"/>
      <c r="E112" s="4"/>
    </row>
    <row r="113" spans="2:5" x14ac:dyDescent="0.2">
      <c r="B113" s="4"/>
      <c r="C113" s="4"/>
      <c r="D113" s="4"/>
      <c r="E113" s="4"/>
    </row>
    <row r="114" spans="2:5" x14ac:dyDescent="0.2">
      <c r="B114" s="4"/>
      <c r="C114" s="4"/>
      <c r="D114" s="4"/>
      <c r="E114" s="4"/>
    </row>
    <row r="115" spans="2:5" x14ac:dyDescent="0.2">
      <c r="B115" s="4"/>
      <c r="C115" s="4"/>
      <c r="D115" s="4"/>
      <c r="E115" s="4"/>
    </row>
    <row r="116" spans="2:5" x14ac:dyDescent="0.2">
      <c r="B116" s="4"/>
      <c r="C116" s="4"/>
      <c r="D116" s="4"/>
      <c r="E116" s="4"/>
    </row>
    <row r="117" spans="2:5" x14ac:dyDescent="0.2">
      <c r="B117" s="4"/>
      <c r="C117" s="4"/>
      <c r="D117" s="4"/>
      <c r="E117" s="4"/>
    </row>
    <row r="118" spans="2:5" x14ac:dyDescent="0.2">
      <c r="B118" s="4"/>
      <c r="C118" s="4"/>
      <c r="D118" s="4"/>
      <c r="E118" s="4"/>
    </row>
    <row r="119" spans="2:5" x14ac:dyDescent="0.2">
      <c r="B119" s="4"/>
      <c r="C119" s="4"/>
      <c r="D119" s="4"/>
      <c r="E119" s="4"/>
    </row>
    <row r="120" spans="2:5" x14ac:dyDescent="0.2">
      <c r="B120" s="4"/>
      <c r="C120" s="4"/>
      <c r="D120" s="4"/>
      <c r="E120" s="4"/>
    </row>
    <row r="121" spans="2:5" x14ac:dyDescent="0.2">
      <c r="B121" s="4"/>
      <c r="C121" s="4"/>
      <c r="D121" s="4"/>
      <c r="E121" s="4"/>
    </row>
    <row r="122" spans="2:5" x14ac:dyDescent="0.2">
      <c r="B122" s="4"/>
      <c r="C122" s="4"/>
      <c r="D122" s="4"/>
      <c r="E122" s="4"/>
    </row>
    <row r="123" spans="2:5" x14ac:dyDescent="0.2">
      <c r="B123" s="4"/>
      <c r="C123" s="4"/>
      <c r="D123" s="4"/>
      <c r="E123" s="4"/>
    </row>
    <row r="124" spans="2:5" x14ac:dyDescent="0.2">
      <c r="B124" s="4"/>
      <c r="C124" s="4"/>
      <c r="D124" s="4"/>
      <c r="E124" s="4"/>
    </row>
    <row r="125" spans="2:5" x14ac:dyDescent="0.2">
      <c r="B125" s="4"/>
      <c r="C125" s="4"/>
      <c r="D125" s="4"/>
      <c r="E125" s="4"/>
    </row>
    <row r="126" spans="2:5" x14ac:dyDescent="0.2">
      <c r="B126" s="4"/>
      <c r="C126" s="4"/>
      <c r="D126" s="4"/>
      <c r="E126" s="4"/>
    </row>
    <row r="127" spans="2:5" x14ac:dyDescent="0.2">
      <c r="B127" s="4"/>
      <c r="C127" s="4"/>
      <c r="D127" s="4"/>
      <c r="E127" s="4"/>
    </row>
    <row r="128" spans="2:5" x14ac:dyDescent="0.2">
      <c r="B128" s="4"/>
      <c r="C128" s="4"/>
      <c r="D128" s="4"/>
      <c r="E128" s="4"/>
    </row>
    <row r="129" spans="2:5" x14ac:dyDescent="0.2">
      <c r="B129" s="4"/>
      <c r="C129" s="4"/>
      <c r="D129" s="4"/>
      <c r="E129" s="4"/>
    </row>
    <row r="130" spans="2:5" x14ac:dyDescent="0.2">
      <c r="B130" s="4"/>
      <c r="C130" s="4"/>
      <c r="D130" s="4"/>
      <c r="E130" s="4"/>
    </row>
    <row r="131" spans="2:5" x14ac:dyDescent="0.2">
      <c r="B131" s="4"/>
      <c r="C131" s="4"/>
      <c r="D131" s="4"/>
      <c r="E131" s="4"/>
    </row>
    <row r="132" spans="2:5" x14ac:dyDescent="0.2">
      <c r="B132" s="4"/>
      <c r="C132" s="4"/>
      <c r="D132" s="4"/>
      <c r="E132" s="4"/>
    </row>
    <row r="133" spans="2:5" x14ac:dyDescent="0.2">
      <c r="B133" s="4"/>
      <c r="C133" s="4"/>
      <c r="D133" s="4"/>
      <c r="E133" s="4"/>
    </row>
    <row r="134" spans="2:5" x14ac:dyDescent="0.2">
      <c r="B134" s="4"/>
      <c r="C134" s="4"/>
      <c r="D134" s="4"/>
      <c r="E134" s="4"/>
    </row>
    <row r="135" spans="2:5" x14ac:dyDescent="0.2">
      <c r="B135" s="4"/>
      <c r="C135" s="4"/>
      <c r="D135" s="4"/>
      <c r="E135" s="4"/>
    </row>
    <row r="136" spans="2:5" x14ac:dyDescent="0.2">
      <c r="B136" s="4"/>
      <c r="C136" s="4"/>
      <c r="D136" s="4"/>
      <c r="E136" s="4"/>
    </row>
    <row r="137" spans="2:5" x14ac:dyDescent="0.2">
      <c r="B137" s="4"/>
      <c r="C137" s="4"/>
      <c r="D137" s="4"/>
      <c r="E137" s="4"/>
    </row>
    <row r="138" spans="2:5" x14ac:dyDescent="0.2">
      <c r="B138" s="4"/>
      <c r="C138" s="4"/>
      <c r="D138" s="4"/>
      <c r="E138" s="4"/>
    </row>
    <row r="139" spans="2:5" x14ac:dyDescent="0.2">
      <c r="B139" s="4"/>
      <c r="C139" s="4"/>
      <c r="D139" s="4"/>
      <c r="E139" s="4"/>
    </row>
    <row r="140" spans="2:5" x14ac:dyDescent="0.2">
      <c r="B140" s="4"/>
      <c r="C140" s="4"/>
      <c r="D140" s="4"/>
      <c r="E140" s="4"/>
    </row>
    <row r="141" spans="2:5" x14ac:dyDescent="0.2">
      <c r="B141" s="4"/>
      <c r="C141" s="4"/>
      <c r="D141" s="4"/>
      <c r="E141" s="4"/>
    </row>
    <row r="142" spans="2:5" x14ac:dyDescent="0.2">
      <c r="B142" s="4"/>
      <c r="C142" s="4"/>
      <c r="D142" s="4"/>
      <c r="E142" s="4"/>
    </row>
    <row r="143" spans="2:5" x14ac:dyDescent="0.2">
      <c r="B143" s="4"/>
      <c r="C143" s="4"/>
      <c r="D143" s="4"/>
      <c r="E143" s="4"/>
    </row>
    <row r="144" spans="2:5" x14ac:dyDescent="0.2">
      <c r="B144" s="4"/>
      <c r="C144" s="4"/>
      <c r="D144" s="4"/>
      <c r="E144" s="4"/>
    </row>
    <row r="145" spans="2:5" x14ac:dyDescent="0.2">
      <c r="B145" s="4"/>
      <c r="C145" s="4"/>
      <c r="D145" s="4"/>
      <c r="E145" s="4"/>
    </row>
    <row r="146" spans="2:5" x14ac:dyDescent="0.2">
      <c r="B146" s="4"/>
      <c r="C146" s="4"/>
      <c r="D146" s="4"/>
      <c r="E146" s="4"/>
    </row>
    <row r="147" spans="2:5" x14ac:dyDescent="0.2">
      <c r="B147" s="4"/>
      <c r="C147" s="4"/>
      <c r="D147" s="4"/>
      <c r="E147" s="4"/>
    </row>
    <row r="148" spans="2:5" x14ac:dyDescent="0.2">
      <c r="B148" s="4"/>
      <c r="C148" s="4"/>
      <c r="D148" s="4"/>
      <c r="E148" s="4"/>
    </row>
    <row r="149" spans="2:5" x14ac:dyDescent="0.2">
      <c r="B149" s="4"/>
      <c r="C149" s="4"/>
      <c r="D149" s="4"/>
      <c r="E149" s="4"/>
    </row>
    <row r="150" spans="2:5" x14ac:dyDescent="0.2">
      <c r="B150" s="4"/>
      <c r="C150" s="4"/>
      <c r="D150" s="4"/>
      <c r="E150" s="4"/>
    </row>
    <row r="151" spans="2:5" x14ac:dyDescent="0.2">
      <c r="B151" s="4"/>
      <c r="C151" s="4"/>
      <c r="D151" s="4"/>
      <c r="E151" s="4"/>
    </row>
    <row r="152" spans="2:5" x14ac:dyDescent="0.2">
      <c r="B152" s="4"/>
      <c r="C152" s="4"/>
      <c r="D152" s="4"/>
      <c r="E152" s="4"/>
    </row>
    <row r="153" spans="2:5" x14ac:dyDescent="0.2">
      <c r="B153" s="4"/>
      <c r="C153" s="4"/>
      <c r="D153" s="4"/>
      <c r="E153" s="4"/>
    </row>
    <row r="154" spans="2:5" x14ac:dyDescent="0.2">
      <c r="B154" s="4"/>
      <c r="C154" s="4"/>
      <c r="D154" s="4"/>
      <c r="E154" s="4"/>
    </row>
    <row r="155" spans="2:5" x14ac:dyDescent="0.2">
      <c r="B155" s="4"/>
      <c r="C155" s="4"/>
      <c r="D155" s="4"/>
      <c r="E155" s="4"/>
    </row>
    <row r="156" spans="2:5" x14ac:dyDescent="0.2">
      <c r="B156" s="4"/>
      <c r="C156" s="4"/>
      <c r="D156" s="4"/>
      <c r="E156" s="4"/>
    </row>
    <row r="157" spans="2:5" x14ac:dyDescent="0.2">
      <c r="B157" s="4"/>
      <c r="C157" s="4"/>
      <c r="D157" s="4"/>
      <c r="E157" s="4"/>
    </row>
    <row r="158" spans="2:5" x14ac:dyDescent="0.2">
      <c r="B158" s="4"/>
      <c r="C158" s="4"/>
      <c r="D158" s="4"/>
      <c r="E158" s="4"/>
    </row>
    <row r="159" spans="2:5" x14ac:dyDescent="0.2">
      <c r="B159" s="4"/>
      <c r="C159" s="4"/>
      <c r="D159" s="4"/>
      <c r="E159" s="4"/>
    </row>
    <row r="160" spans="2:5" x14ac:dyDescent="0.2">
      <c r="B160" s="4"/>
      <c r="C160" s="4"/>
      <c r="D160" s="4"/>
      <c r="E160" s="4"/>
    </row>
    <row r="161" spans="2:5" x14ac:dyDescent="0.2">
      <c r="B161" s="4"/>
      <c r="C161" s="4"/>
      <c r="D161" s="4"/>
      <c r="E161" s="4"/>
    </row>
    <row r="162" spans="2:5" x14ac:dyDescent="0.2">
      <c r="B162" s="4"/>
      <c r="C162" s="4"/>
      <c r="D162" s="4"/>
      <c r="E162" s="4"/>
    </row>
    <row r="163" spans="2:5" x14ac:dyDescent="0.2">
      <c r="B163" s="4"/>
      <c r="C163" s="4"/>
      <c r="D163" s="4"/>
      <c r="E163" s="4"/>
    </row>
    <row r="164" spans="2:5" x14ac:dyDescent="0.2">
      <c r="B164" s="4"/>
      <c r="C164" s="4"/>
      <c r="D164" s="4"/>
      <c r="E164" s="4"/>
    </row>
    <row r="165" spans="2:5" x14ac:dyDescent="0.2">
      <c r="B165" s="4"/>
      <c r="C165" s="4"/>
      <c r="D165" s="4"/>
      <c r="E165" s="4"/>
    </row>
    <row r="166" spans="2:5" x14ac:dyDescent="0.2">
      <c r="B166" s="4"/>
      <c r="C166" s="4"/>
      <c r="D166" s="4"/>
      <c r="E166" s="4"/>
    </row>
    <row r="167" spans="2:5" x14ac:dyDescent="0.2">
      <c r="B167" s="4"/>
      <c r="C167" s="4"/>
      <c r="D167" s="4"/>
      <c r="E167" s="4"/>
    </row>
    <row r="168" spans="2:5" x14ac:dyDescent="0.2">
      <c r="B168" s="4"/>
      <c r="C168" s="4"/>
      <c r="D168" s="4"/>
      <c r="E168" s="4"/>
    </row>
    <row r="169" spans="2:5" x14ac:dyDescent="0.2">
      <c r="B169" s="4"/>
      <c r="C169" s="4"/>
      <c r="D169" s="4"/>
      <c r="E169" s="4"/>
    </row>
    <row r="170" spans="2:5" x14ac:dyDescent="0.2">
      <c r="B170" s="4"/>
      <c r="C170" s="4"/>
      <c r="D170" s="4"/>
      <c r="E170" s="4"/>
    </row>
    <row r="171" spans="2:5" x14ac:dyDescent="0.2">
      <c r="B171" s="4"/>
      <c r="C171" s="4"/>
      <c r="D171" s="4"/>
      <c r="E171" s="4"/>
    </row>
    <row r="172" spans="2:5" x14ac:dyDescent="0.2">
      <c r="B172" s="4"/>
      <c r="C172" s="4"/>
      <c r="D172" s="4"/>
      <c r="E172" s="4"/>
    </row>
    <row r="173" spans="2:5" x14ac:dyDescent="0.2">
      <c r="B173" s="4"/>
      <c r="C173" s="4"/>
      <c r="D173" s="4"/>
      <c r="E173" s="4"/>
    </row>
    <row r="174" spans="2:5" x14ac:dyDescent="0.2">
      <c r="B174" s="4"/>
      <c r="C174" s="4"/>
      <c r="D174" s="4"/>
      <c r="E174" s="4"/>
    </row>
    <row r="175" spans="2:5" x14ac:dyDescent="0.2">
      <c r="B175" s="4"/>
      <c r="C175" s="4"/>
      <c r="D175" s="4"/>
      <c r="E175" s="4"/>
    </row>
    <row r="176" spans="2:5" x14ac:dyDescent="0.2">
      <c r="B176" s="4"/>
      <c r="C176" s="4"/>
      <c r="D176" s="4"/>
      <c r="E176" s="4"/>
    </row>
    <row r="177" spans="2:5" x14ac:dyDescent="0.2">
      <c r="B177" s="4"/>
      <c r="C177" s="4"/>
      <c r="D177" s="4"/>
      <c r="E177" s="4"/>
    </row>
    <row r="178" spans="2:5" x14ac:dyDescent="0.2">
      <c r="B178" s="4"/>
      <c r="C178" s="4"/>
      <c r="D178" s="4"/>
      <c r="E178" s="4"/>
    </row>
    <row r="179" spans="2:5" x14ac:dyDescent="0.2">
      <c r="B179" s="4"/>
      <c r="C179" s="4"/>
      <c r="D179" s="4"/>
      <c r="E179" s="4"/>
    </row>
    <row r="180" spans="2:5" x14ac:dyDescent="0.2">
      <c r="B180" s="4"/>
      <c r="C180" s="4"/>
      <c r="D180" s="4"/>
      <c r="E180" s="4"/>
    </row>
    <row r="181" spans="2:5" x14ac:dyDescent="0.2">
      <c r="B181" s="4"/>
      <c r="C181" s="4"/>
      <c r="D181" s="4"/>
      <c r="E181" s="4"/>
    </row>
    <row r="182" spans="2:5" x14ac:dyDescent="0.2">
      <c r="B182" s="4"/>
      <c r="C182" s="4"/>
      <c r="D182" s="4"/>
      <c r="E182" s="4"/>
    </row>
    <row r="183" spans="2:5" x14ac:dyDescent="0.2">
      <c r="B183" s="4"/>
      <c r="C183" s="4"/>
      <c r="D183" s="4"/>
      <c r="E183" s="4"/>
    </row>
    <row r="184" spans="2:5" x14ac:dyDescent="0.2">
      <c r="B184" s="4"/>
      <c r="C184" s="4"/>
      <c r="D184" s="4"/>
      <c r="E184" s="4"/>
    </row>
    <row r="185" spans="2:5" x14ac:dyDescent="0.2">
      <c r="B185" s="4"/>
      <c r="C185" s="4"/>
      <c r="D185" s="4"/>
      <c r="E185" s="4"/>
    </row>
    <row r="186" spans="2:5" x14ac:dyDescent="0.2">
      <c r="B186" s="4"/>
      <c r="C186" s="4"/>
      <c r="D186" s="4"/>
      <c r="E186" s="4"/>
    </row>
    <row r="187" spans="2:5" x14ac:dyDescent="0.2">
      <c r="B187" s="4"/>
      <c r="C187" s="4"/>
      <c r="D187" s="4"/>
      <c r="E187" s="4"/>
    </row>
    <row r="188" spans="2:5" x14ac:dyDescent="0.2">
      <c r="B188" s="4"/>
      <c r="C188" s="4"/>
      <c r="D188" s="4"/>
      <c r="E188" s="4"/>
    </row>
    <row r="189" spans="2:5" x14ac:dyDescent="0.2">
      <c r="B189" s="4"/>
      <c r="C189" s="4"/>
      <c r="D189" s="4"/>
      <c r="E189" s="4"/>
    </row>
    <row r="190" spans="2:5" x14ac:dyDescent="0.2">
      <c r="B190" s="4"/>
      <c r="C190" s="4"/>
      <c r="D190" s="4"/>
      <c r="E190" s="4"/>
    </row>
    <row r="191" spans="2:5" x14ac:dyDescent="0.2">
      <c r="B191" s="4"/>
      <c r="C191" s="4"/>
      <c r="D191" s="4"/>
      <c r="E191" s="4"/>
    </row>
    <row r="192" spans="2:5" x14ac:dyDescent="0.2">
      <c r="B192" s="4"/>
      <c r="C192" s="4"/>
      <c r="D192" s="4"/>
      <c r="E192" s="4"/>
    </row>
    <row r="193" spans="2:5" x14ac:dyDescent="0.2">
      <c r="B193" s="4"/>
      <c r="C193" s="4"/>
      <c r="D193" s="4"/>
      <c r="E193" s="4"/>
    </row>
    <row r="194" spans="2:5" x14ac:dyDescent="0.2">
      <c r="B194" s="4"/>
      <c r="C194" s="4"/>
      <c r="D194" s="4"/>
      <c r="E194" s="4"/>
    </row>
    <row r="195" spans="2:5" x14ac:dyDescent="0.2">
      <c r="B195" s="4"/>
      <c r="C195" s="4"/>
      <c r="D195" s="4"/>
      <c r="E195" s="4"/>
    </row>
    <row r="196" spans="2:5" x14ac:dyDescent="0.2">
      <c r="B196" s="4"/>
      <c r="C196" s="4"/>
      <c r="D196" s="4"/>
      <c r="E196" s="4"/>
    </row>
    <row r="197" spans="2:5" x14ac:dyDescent="0.2">
      <c r="B197" s="4"/>
      <c r="C197" s="4"/>
      <c r="D197" s="4"/>
      <c r="E197" s="4"/>
    </row>
    <row r="198" spans="2:5" x14ac:dyDescent="0.2">
      <c r="B198" s="4"/>
      <c r="C198" s="4"/>
      <c r="D198" s="4"/>
      <c r="E198" s="4"/>
    </row>
    <row r="199" spans="2:5" x14ac:dyDescent="0.2">
      <c r="B199" s="4"/>
      <c r="C199" s="4"/>
      <c r="D199" s="4"/>
      <c r="E199" s="4"/>
    </row>
    <row r="200" spans="2:5" x14ac:dyDescent="0.2">
      <c r="B200" s="4"/>
      <c r="C200" s="4"/>
      <c r="D200" s="4"/>
      <c r="E200" s="4"/>
    </row>
    <row r="201" spans="2:5" x14ac:dyDescent="0.2">
      <c r="B201" s="4"/>
      <c r="C201" s="4"/>
      <c r="D201" s="4"/>
      <c r="E201" s="4"/>
    </row>
    <row r="202" spans="2:5" x14ac:dyDescent="0.2">
      <c r="B202" s="4"/>
      <c r="C202" s="4"/>
      <c r="D202" s="4"/>
      <c r="E202" s="4"/>
    </row>
    <row r="203" spans="2:5" x14ac:dyDescent="0.2">
      <c r="B203" s="4"/>
      <c r="C203" s="4"/>
      <c r="D203" s="4"/>
      <c r="E203" s="4"/>
    </row>
    <row r="204" spans="2:5" x14ac:dyDescent="0.2">
      <c r="B204" s="4"/>
      <c r="C204" s="4"/>
      <c r="D204" s="4"/>
      <c r="E204" s="4"/>
    </row>
    <row r="205" spans="2:5" x14ac:dyDescent="0.2">
      <c r="B205" s="4"/>
      <c r="C205" s="4"/>
      <c r="D205" s="4"/>
      <c r="E205" s="4"/>
    </row>
    <row r="206" spans="2:5" x14ac:dyDescent="0.2">
      <c r="B206" s="4"/>
      <c r="C206" s="4"/>
      <c r="D206" s="4"/>
      <c r="E206" s="4"/>
    </row>
    <row r="207" spans="2:5" x14ac:dyDescent="0.2">
      <c r="B207" s="4"/>
      <c r="C207" s="4"/>
      <c r="D207" s="4"/>
      <c r="E207" s="4"/>
    </row>
    <row r="208" spans="2:5" x14ac:dyDescent="0.2">
      <c r="B208" s="4"/>
      <c r="C208" s="4"/>
      <c r="D208" s="4"/>
      <c r="E208" s="4"/>
    </row>
    <row r="209" spans="2:5" x14ac:dyDescent="0.2">
      <c r="B209" s="4"/>
      <c r="C209" s="4"/>
      <c r="D209" s="4"/>
      <c r="E209" s="4"/>
    </row>
    <row r="210" spans="2:5" x14ac:dyDescent="0.2">
      <c r="B210" s="4"/>
      <c r="C210" s="4"/>
      <c r="D210" s="4"/>
      <c r="E210" s="4"/>
    </row>
    <row r="211" spans="2:5" x14ac:dyDescent="0.2">
      <c r="B211" s="4"/>
      <c r="C211" s="4"/>
      <c r="D211" s="4"/>
      <c r="E211" s="4"/>
    </row>
    <row r="212" spans="2:5" x14ac:dyDescent="0.2">
      <c r="B212" s="4"/>
      <c r="C212" s="4"/>
      <c r="D212" s="4"/>
      <c r="E212" s="4"/>
    </row>
    <row r="213" spans="2:5" x14ac:dyDescent="0.2">
      <c r="B213" s="4"/>
      <c r="C213" s="4"/>
      <c r="D213" s="4"/>
      <c r="E213" s="4"/>
    </row>
    <row r="214" spans="2:5" x14ac:dyDescent="0.2">
      <c r="B214" s="4"/>
      <c r="C214" s="4"/>
      <c r="D214" s="4"/>
      <c r="E214" s="4"/>
    </row>
    <row r="215" spans="2:5" x14ac:dyDescent="0.2">
      <c r="B215" s="4"/>
      <c r="C215" s="4"/>
      <c r="D215" s="4"/>
      <c r="E215" s="4"/>
    </row>
    <row r="216" spans="2:5" x14ac:dyDescent="0.2">
      <c r="B216" s="4"/>
      <c r="C216" s="4"/>
      <c r="D216" s="4"/>
      <c r="E216" s="4"/>
    </row>
    <row r="217" spans="2:5" x14ac:dyDescent="0.2">
      <c r="B217" s="4"/>
      <c r="C217" s="4"/>
      <c r="D217" s="4"/>
      <c r="E217" s="4"/>
    </row>
    <row r="218" spans="2:5" x14ac:dyDescent="0.2">
      <c r="B218" s="4"/>
      <c r="C218" s="4"/>
      <c r="D218" s="4"/>
      <c r="E218" s="4"/>
    </row>
    <row r="219" spans="2:5" x14ac:dyDescent="0.2">
      <c r="B219" s="4"/>
      <c r="C219" s="4"/>
      <c r="D219" s="4"/>
      <c r="E219" s="4"/>
    </row>
    <row r="220" spans="2:5" x14ac:dyDescent="0.2">
      <c r="B220" s="4"/>
      <c r="C220" s="4"/>
      <c r="D220" s="4"/>
      <c r="E220" s="4"/>
    </row>
    <row r="221" spans="2:5" x14ac:dyDescent="0.2">
      <c r="B221" s="4"/>
      <c r="C221" s="4"/>
      <c r="D221" s="4"/>
      <c r="E221" s="4"/>
    </row>
    <row r="222" spans="2:5" x14ac:dyDescent="0.2">
      <c r="B222" s="4"/>
      <c r="C222" s="4"/>
      <c r="D222" s="4"/>
      <c r="E222" s="4"/>
    </row>
    <row r="223" spans="2:5" x14ac:dyDescent="0.2">
      <c r="B223" s="4"/>
      <c r="C223" s="4"/>
      <c r="D223" s="4"/>
      <c r="E223" s="4"/>
    </row>
    <row r="224" spans="2:5" x14ac:dyDescent="0.2">
      <c r="B224" s="4"/>
      <c r="C224" s="4"/>
      <c r="D224" s="4"/>
      <c r="E224" s="4"/>
    </row>
    <row r="225" spans="2:5" x14ac:dyDescent="0.2">
      <c r="B225" s="4"/>
      <c r="C225" s="4"/>
      <c r="D225" s="4"/>
      <c r="E225" s="4"/>
    </row>
    <row r="226" spans="2:5" x14ac:dyDescent="0.2">
      <c r="B226" s="4"/>
      <c r="C226" s="4"/>
      <c r="D226" s="4"/>
      <c r="E226" s="4"/>
    </row>
    <row r="227" spans="2:5" x14ac:dyDescent="0.2">
      <c r="B227" s="4"/>
      <c r="C227" s="4"/>
      <c r="D227" s="4"/>
      <c r="E227" s="4"/>
    </row>
    <row r="228" spans="2:5" x14ac:dyDescent="0.2">
      <c r="B228" s="4"/>
      <c r="C228" s="4"/>
      <c r="D228" s="4"/>
      <c r="E228" s="4"/>
    </row>
    <row r="229" spans="2:5" x14ac:dyDescent="0.2">
      <c r="B229" s="4"/>
      <c r="C229" s="4"/>
      <c r="D229" s="4"/>
      <c r="E229" s="4"/>
    </row>
    <row r="230" spans="2:5" x14ac:dyDescent="0.2">
      <c r="B230" s="4"/>
      <c r="C230" s="4"/>
      <c r="D230" s="4"/>
      <c r="E230" s="4"/>
    </row>
    <row r="231" spans="2:5" x14ac:dyDescent="0.2">
      <c r="B231" s="4"/>
      <c r="C231" s="4"/>
      <c r="D231" s="4"/>
      <c r="E231" s="4"/>
    </row>
    <row r="232" spans="2:5" x14ac:dyDescent="0.2">
      <c r="B232" s="4"/>
      <c r="C232" s="4"/>
      <c r="D232" s="4"/>
      <c r="E232" s="4"/>
    </row>
    <row r="233" spans="2:5" x14ac:dyDescent="0.2">
      <c r="B233" s="4"/>
      <c r="C233" s="4"/>
      <c r="D233" s="4"/>
      <c r="E233" s="4"/>
    </row>
    <row r="234" spans="2:5" x14ac:dyDescent="0.2">
      <c r="B234" s="4"/>
      <c r="C234" s="4"/>
      <c r="D234" s="4"/>
      <c r="E234" s="4"/>
    </row>
    <row r="235" spans="2:5" x14ac:dyDescent="0.2">
      <c r="B235" s="4"/>
      <c r="C235" s="4"/>
      <c r="D235" s="4"/>
      <c r="E235" s="4"/>
    </row>
    <row r="236" spans="2:5" x14ac:dyDescent="0.2">
      <c r="B236" s="4"/>
      <c r="C236" s="4"/>
      <c r="D236" s="4"/>
      <c r="E236" s="4"/>
    </row>
    <row r="237" spans="2:5" x14ac:dyDescent="0.2">
      <c r="B237" s="4"/>
      <c r="C237" s="4"/>
      <c r="D237" s="4"/>
      <c r="E237" s="4"/>
    </row>
    <row r="238" spans="2:5" x14ac:dyDescent="0.2">
      <c r="B238" s="4"/>
      <c r="C238" s="4"/>
      <c r="D238" s="4"/>
      <c r="E238" s="4"/>
    </row>
    <row r="239" spans="2:5" x14ac:dyDescent="0.2">
      <c r="B239" s="4"/>
      <c r="C239" s="4"/>
      <c r="D239" s="4"/>
      <c r="E239" s="4"/>
    </row>
    <row r="240" spans="2:5" x14ac:dyDescent="0.2">
      <c r="B240" s="4"/>
      <c r="C240" s="4"/>
      <c r="D240" s="4"/>
      <c r="E240" s="4"/>
    </row>
    <row r="241" spans="2:5" x14ac:dyDescent="0.2">
      <c r="B241" s="4"/>
      <c r="C241" s="4"/>
      <c r="D241" s="4"/>
      <c r="E241" s="4"/>
    </row>
    <row r="242" spans="2:5" x14ac:dyDescent="0.2">
      <c r="B242" s="4"/>
      <c r="C242" s="4"/>
      <c r="D242" s="4"/>
      <c r="E242" s="4"/>
    </row>
    <row r="243" spans="2:5" x14ac:dyDescent="0.2">
      <c r="B243" s="4"/>
      <c r="C243" s="4"/>
      <c r="D243" s="4"/>
      <c r="E243" s="4"/>
    </row>
    <row r="244" spans="2:5" x14ac:dyDescent="0.2">
      <c r="B244" s="4"/>
      <c r="C244" s="4"/>
      <c r="D244" s="4"/>
      <c r="E244" s="4"/>
    </row>
    <row r="245" spans="2:5" x14ac:dyDescent="0.2">
      <c r="B245" s="4"/>
      <c r="C245" s="4"/>
      <c r="D245" s="4"/>
      <c r="E245" s="4"/>
    </row>
    <row r="246" spans="2:5" x14ac:dyDescent="0.2">
      <c r="B246" s="4"/>
      <c r="C246" s="4"/>
      <c r="D246" s="4"/>
      <c r="E246" s="4"/>
    </row>
    <row r="247" spans="2:5" x14ac:dyDescent="0.2">
      <c r="B247" s="4"/>
      <c r="C247" s="4"/>
      <c r="D247" s="4"/>
      <c r="E247" s="4"/>
    </row>
    <row r="248" spans="2:5" x14ac:dyDescent="0.2">
      <c r="B248" s="4"/>
      <c r="C248" s="4"/>
      <c r="D248" s="4"/>
      <c r="E248" s="4"/>
    </row>
    <row r="249" spans="2:5" x14ac:dyDescent="0.2">
      <c r="B249" s="4"/>
      <c r="C249" s="4"/>
      <c r="D249" s="4"/>
      <c r="E249" s="4"/>
    </row>
    <row r="250" spans="2:5" x14ac:dyDescent="0.2">
      <c r="B250" s="4"/>
      <c r="C250" s="4"/>
      <c r="D250" s="4"/>
      <c r="E250" s="4"/>
    </row>
    <row r="251" spans="2:5" x14ac:dyDescent="0.2">
      <c r="B251" s="4"/>
      <c r="C251" s="4"/>
      <c r="D251" s="4"/>
      <c r="E251" s="4"/>
    </row>
    <row r="252" spans="2:5" x14ac:dyDescent="0.2">
      <c r="B252" s="4"/>
      <c r="C252" s="4"/>
      <c r="D252" s="4"/>
      <c r="E252" s="4"/>
    </row>
    <row r="253" spans="2:5" x14ac:dyDescent="0.2">
      <c r="B253" s="4"/>
      <c r="C253" s="4"/>
      <c r="D253" s="4"/>
      <c r="E253" s="4"/>
    </row>
    <row r="254" spans="2:5" x14ac:dyDescent="0.2">
      <c r="B254" s="4"/>
      <c r="C254" s="4"/>
      <c r="D254" s="4"/>
      <c r="E254" s="4"/>
    </row>
    <row r="255" spans="2:5" x14ac:dyDescent="0.2">
      <c r="B255" s="4"/>
      <c r="C255" s="4"/>
      <c r="D255" s="4"/>
      <c r="E255" s="4"/>
    </row>
    <row r="256" spans="2:5" x14ac:dyDescent="0.2">
      <c r="B256" s="4"/>
      <c r="C256" s="4"/>
      <c r="D256" s="4"/>
      <c r="E256" s="4"/>
    </row>
    <row r="257" spans="2:5" x14ac:dyDescent="0.2">
      <c r="B257" s="4"/>
      <c r="C257" s="4"/>
      <c r="D257" s="4"/>
      <c r="E257" s="4"/>
    </row>
    <row r="258" spans="2:5" x14ac:dyDescent="0.2">
      <c r="B258" s="4"/>
      <c r="C258" s="4"/>
      <c r="D258" s="4"/>
      <c r="E258" s="4"/>
    </row>
    <row r="259" spans="2:5" x14ac:dyDescent="0.2">
      <c r="B259" s="4"/>
      <c r="C259" s="4"/>
      <c r="D259" s="4"/>
      <c r="E259" s="4"/>
    </row>
    <row r="260" spans="2:5" x14ac:dyDescent="0.2">
      <c r="B260" s="4"/>
      <c r="C260" s="4"/>
      <c r="D260" s="4"/>
      <c r="E260" s="4"/>
    </row>
    <row r="261" spans="2:5" x14ac:dyDescent="0.2">
      <c r="B261" s="4"/>
      <c r="C261" s="4"/>
      <c r="D261" s="4"/>
      <c r="E261" s="4"/>
    </row>
    <row r="262" spans="2:5" x14ac:dyDescent="0.2">
      <c r="B262" s="4"/>
      <c r="C262" s="4"/>
      <c r="D262" s="4"/>
      <c r="E262" s="4"/>
    </row>
    <row r="263" spans="2:5" x14ac:dyDescent="0.2">
      <c r="B263" s="4"/>
      <c r="C263" s="4"/>
      <c r="D263" s="4"/>
      <c r="E263" s="4"/>
    </row>
    <row r="264" spans="2:5" x14ac:dyDescent="0.2">
      <c r="B264" s="4"/>
      <c r="C264" s="4"/>
      <c r="D264" s="4"/>
      <c r="E264" s="4"/>
    </row>
    <row r="265" spans="2:5" x14ac:dyDescent="0.2">
      <c r="B265" s="4"/>
      <c r="C265" s="4"/>
      <c r="D265" s="4"/>
      <c r="E265" s="4"/>
    </row>
    <row r="266" spans="2:5" x14ac:dyDescent="0.2">
      <c r="B266" s="4"/>
      <c r="C266" s="4"/>
      <c r="D266" s="4"/>
      <c r="E266" s="4"/>
    </row>
    <row r="267" spans="2:5" x14ac:dyDescent="0.2">
      <c r="B267" s="4"/>
      <c r="C267" s="4"/>
      <c r="D267" s="4"/>
      <c r="E267" s="4"/>
    </row>
    <row r="268" spans="2:5" x14ac:dyDescent="0.2">
      <c r="B268" s="4"/>
      <c r="C268" s="4"/>
      <c r="D268" s="4"/>
      <c r="E268" s="4"/>
    </row>
    <row r="269" spans="2:5" x14ac:dyDescent="0.2">
      <c r="B269" s="4"/>
      <c r="C269" s="4"/>
      <c r="D269" s="4"/>
      <c r="E269" s="4"/>
    </row>
    <row r="270" spans="2:5" x14ac:dyDescent="0.2">
      <c r="B270" s="4"/>
      <c r="C270" s="4"/>
      <c r="D270" s="4"/>
      <c r="E270" s="4"/>
    </row>
    <row r="271" spans="2:5" x14ac:dyDescent="0.2">
      <c r="B271" s="4"/>
      <c r="C271" s="4"/>
      <c r="D271" s="4"/>
      <c r="E271" s="4"/>
    </row>
    <row r="272" spans="2:5" x14ac:dyDescent="0.2">
      <c r="B272" s="4"/>
      <c r="C272" s="4"/>
      <c r="D272" s="4"/>
      <c r="E272" s="4"/>
    </row>
    <row r="273" spans="2:5" x14ac:dyDescent="0.2">
      <c r="B273" s="4"/>
      <c r="C273" s="4"/>
      <c r="D273" s="4"/>
      <c r="E273" s="4"/>
    </row>
    <row r="274" spans="2:5" x14ac:dyDescent="0.2">
      <c r="B274" s="4"/>
      <c r="C274" s="4"/>
      <c r="D274" s="4"/>
      <c r="E274" s="4"/>
    </row>
    <row r="275" spans="2:5" x14ac:dyDescent="0.2">
      <c r="B275" s="4"/>
      <c r="C275" s="4"/>
      <c r="D275" s="4"/>
      <c r="E275" s="4"/>
    </row>
    <row r="276" spans="2:5" x14ac:dyDescent="0.2">
      <c r="B276" s="4"/>
      <c r="C276" s="4"/>
      <c r="D276" s="4"/>
      <c r="E276" s="4"/>
    </row>
    <row r="277" spans="2:5" x14ac:dyDescent="0.2">
      <c r="B277" s="4"/>
      <c r="C277" s="4"/>
      <c r="D277" s="4"/>
      <c r="E277" s="4"/>
    </row>
    <row r="278" spans="2:5" x14ac:dyDescent="0.2">
      <c r="B278" s="4"/>
      <c r="C278" s="4"/>
      <c r="D278" s="4"/>
      <c r="E278" s="4"/>
    </row>
    <row r="279" spans="2:5" x14ac:dyDescent="0.2">
      <c r="B279" s="4"/>
      <c r="C279" s="4"/>
      <c r="D279" s="4"/>
      <c r="E279" s="4"/>
    </row>
    <row r="280" spans="2:5" x14ac:dyDescent="0.2">
      <c r="B280" s="4"/>
      <c r="C280" s="4"/>
      <c r="D280" s="4"/>
      <c r="E280" s="4"/>
    </row>
    <row r="281" spans="2:5" x14ac:dyDescent="0.2">
      <c r="B281" s="4"/>
      <c r="C281" s="4"/>
      <c r="D281" s="4"/>
      <c r="E281" s="4"/>
    </row>
    <row r="282" spans="2:5" x14ac:dyDescent="0.2">
      <c r="B282" s="4"/>
      <c r="C282" s="4"/>
      <c r="D282" s="4"/>
      <c r="E282" s="4"/>
    </row>
    <row r="283" spans="2:5" x14ac:dyDescent="0.2">
      <c r="B283" s="4"/>
      <c r="C283" s="4"/>
      <c r="D283" s="4"/>
      <c r="E283" s="4"/>
    </row>
    <row r="284" spans="2:5" x14ac:dyDescent="0.2">
      <c r="B284" s="4"/>
      <c r="C284" s="4"/>
      <c r="D284" s="4"/>
      <c r="E284" s="4"/>
    </row>
    <row r="285" spans="2:5" x14ac:dyDescent="0.2">
      <c r="B285" s="4"/>
      <c r="C285" s="4"/>
      <c r="D285" s="4"/>
      <c r="E285" s="4"/>
    </row>
    <row r="286" spans="2:5" x14ac:dyDescent="0.2">
      <c r="B286" s="4"/>
      <c r="C286" s="4"/>
      <c r="D286" s="4"/>
      <c r="E286" s="4"/>
    </row>
    <row r="287" spans="2:5" x14ac:dyDescent="0.2">
      <c r="B287" s="4"/>
      <c r="C287" s="4"/>
      <c r="D287" s="4"/>
      <c r="E287" s="4"/>
    </row>
    <row r="288" spans="2:5" x14ac:dyDescent="0.2">
      <c r="B288" s="4"/>
      <c r="C288" s="4"/>
      <c r="D288" s="4"/>
      <c r="E288" s="4"/>
    </row>
    <row r="289" spans="2:5" x14ac:dyDescent="0.2">
      <c r="B289" s="4"/>
      <c r="C289" s="4"/>
      <c r="D289" s="4"/>
      <c r="E289" s="4"/>
    </row>
    <row r="290" spans="2:5" x14ac:dyDescent="0.2">
      <c r="B290" s="4"/>
      <c r="C290" s="4"/>
      <c r="D290" s="4"/>
      <c r="E290" s="4"/>
    </row>
    <row r="291" spans="2:5" x14ac:dyDescent="0.2">
      <c r="B291" s="4"/>
      <c r="C291" s="4"/>
      <c r="D291" s="4"/>
      <c r="E291" s="4"/>
    </row>
    <row r="292" spans="2:5" x14ac:dyDescent="0.2">
      <c r="B292" s="4"/>
      <c r="C292" s="4"/>
      <c r="D292" s="4"/>
      <c r="E292" s="4"/>
    </row>
    <row r="293" spans="2:5" x14ac:dyDescent="0.2">
      <c r="B293" s="4"/>
      <c r="C293" s="4"/>
      <c r="D293" s="4"/>
      <c r="E293" s="4"/>
    </row>
    <row r="294" spans="2:5" x14ac:dyDescent="0.2">
      <c r="B294" s="4"/>
      <c r="C294" s="4"/>
      <c r="D294" s="4"/>
      <c r="E294" s="4"/>
    </row>
    <row r="295" spans="2:5" x14ac:dyDescent="0.2">
      <c r="B295" s="4"/>
      <c r="C295" s="4"/>
      <c r="D295" s="4"/>
      <c r="E295" s="4"/>
    </row>
    <row r="296" spans="2:5" x14ac:dyDescent="0.2">
      <c r="B296" s="4"/>
      <c r="C296" s="4"/>
      <c r="D296" s="4"/>
      <c r="E296" s="4"/>
    </row>
    <row r="297" spans="2:5" x14ac:dyDescent="0.2">
      <c r="B297" s="4"/>
      <c r="C297" s="4"/>
      <c r="D297" s="4"/>
      <c r="E297" s="4"/>
    </row>
    <row r="298" spans="2:5" x14ac:dyDescent="0.2">
      <c r="B298" s="4"/>
      <c r="C298" s="4"/>
      <c r="D298" s="4"/>
      <c r="E298" s="4"/>
    </row>
    <row r="299" spans="2:5" x14ac:dyDescent="0.2">
      <c r="B299" s="4"/>
      <c r="C299" s="4"/>
      <c r="D299" s="4"/>
      <c r="E299" s="4"/>
    </row>
    <row r="300" spans="2:5" x14ac:dyDescent="0.2">
      <c r="B300" s="4"/>
      <c r="C300" s="4"/>
      <c r="D300" s="4"/>
      <c r="E300" s="4"/>
    </row>
    <row r="301" spans="2:5" x14ac:dyDescent="0.2">
      <c r="B301" s="4"/>
      <c r="C301" s="4"/>
      <c r="D301" s="4"/>
      <c r="E301" s="4"/>
    </row>
    <row r="302" spans="2:5" x14ac:dyDescent="0.2">
      <c r="B302" s="4"/>
      <c r="C302" s="4"/>
      <c r="D302" s="4"/>
      <c r="E302" s="4"/>
    </row>
    <row r="303" spans="2:5" x14ac:dyDescent="0.2">
      <c r="B303" s="4"/>
      <c r="C303" s="4"/>
      <c r="D303" s="4"/>
      <c r="E303" s="4"/>
    </row>
    <row r="304" spans="2:5" x14ac:dyDescent="0.2">
      <c r="B304" s="4"/>
      <c r="C304" s="4"/>
      <c r="D304" s="4"/>
      <c r="E304" s="4"/>
    </row>
    <row r="305" spans="2:5" x14ac:dyDescent="0.2">
      <c r="B305" s="4"/>
      <c r="C305" s="4"/>
      <c r="D305" s="4"/>
      <c r="E305" s="4"/>
    </row>
    <row r="306" spans="2:5" x14ac:dyDescent="0.2">
      <c r="B306" s="4"/>
      <c r="C306" s="4"/>
      <c r="D306" s="4"/>
      <c r="E306" s="4"/>
    </row>
    <row r="307" spans="2:5" x14ac:dyDescent="0.2">
      <c r="B307" s="4"/>
      <c r="C307" s="4"/>
      <c r="D307" s="4"/>
      <c r="E307" s="4"/>
    </row>
    <row r="308" spans="2:5" x14ac:dyDescent="0.2">
      <c r="B308" s="4"/>
      <c r="C308" s="4"/>
      <c r="D308" s="4"/>
      <c r="E308" s="4"/>
    </row>
    <row r="309" spans="2:5" x14ac:dyDescent="0.2">
      <c r="B309" s="4"/>
      <c r="C309" s="4"/>
      <c r="D309" s="4"/>
      <c r="E309" s="4"/>
    </row>
    <row r="310" spans="2:5" x14ac:dyDescent="0.2">
      <c r="B310" s="4"/>
      <c r="C310" s="4"/>
      <c r="D310" s="4"/>
      <c r="E310" s="4"/>
    </row>
    <row r="311" spans="2:5" x14ac:dyDescent="0.2">
      <c r="B311" s="4"/>
      <c r="C311" s="4"/>
      <c r="D311" s="4"/>
      <c r="E311" s="4"/>
    </row>
    <row r="312" spans="2:5" x14ac:dyDescent="0.2">
      <c r="B312" s="4"/>
      <c r="C312" s="4"/>
      <c r="D312" s="4"/>
      <c r="E312" s="4"/>
    </row>
    <row r="313" spans="2:5" x14ac:dyDescent="0.2">
      <c r="B313" s="4"/>
      <c r="C313" s="4"/>
      <c r="D313" s="4"/>
      <c r="E313" s="4"/>
    </row>
    <row r="314" spans="2:5" x14ac:dyDescent="0.2">
      <c r="B314" s="4"/>
      <c r="C314" s="4"/>
      <c r="D314" s="4"/>
      <c r="E314" s="4"/>
    </row>
    <row r="315" spans="2:5" x14ac:dyDescent="0.2">
      <c r="B315" s="4"/>
      <c r="C315" s="4"/>
      <c r="D315" s="4"/>
      <c r="E315" s="4"/>
    </row>
    <row r="316" spans="2:5" x14ac:dyDescent="0.2">
      <c r="B316" s="4"/>
      <c r="C316" s="4"/>
      <c r="D316" s="4"/>
      <c r="E316" s="4"/>
    </row>
    <row r="317" spans="2:5" x14ac:dyDescent="0.2">
      <c r="B317" s="4"/>
      <c r="C317" s="4"/>
      <c r="D317" s="4"/>
      <c r="E317" s="4"/>
    </row>
    <row r="318" spans="2:5" x14ac:dyDescent="0.2">
      <c r="B318" s="4"/>
      <c r="C318" s="4"/>
      <c r="D318" s="4"/>
      <c r="E318" s="4"/>
    </row>
    <row r="319" spans="2:5" x14ac:dyDescent="0.2">
      <c r="B319" s="4"/>
      <c r="C319" s="4"/>
      <c r="D319" s="4"/>
      <c r="E319" s="4"/>
    </row>
    <row r="320" spans="2:5" x14ac:dyDescent="0.2">
      <c r="B320" s="4"/>
      <c r="C320" s="4"/>
      <c r="D320" s="4"/>
      <c r="E320" s="4"/>
    </row>
    <row r="321" spans="2:5" x14ac:dyDescent="0.2">
      <c r="B321" s="4"/>
      <c r="C321" s="4"/>
      <c r="D321" s="4"/>
      <c r="E321" s="4"/>
    </row>
    <row r="322" spans="2:5" x14ac:dyDescent="0.2">
      <c r="B322" s="4"/>
      <c r="C322" s="4"/>
      <c r="D322" s="4"/>
      <c r="E322" s="4"/>
    </row>
    <row r="323" spans="2:5" x14ac:dyDescent="0.2">
      <c r="B323" s="4"/>
      <c r="C323" s="4"/>
      <c r="D323" s="4"/>
      <c r="E323" s="4"/>
    </row>
    <row r="324" spans="2:5" x14ac:dyDescent="0.2">
      <c r="B324" s="4"/>
      <c r="C324" s="4"/>
      <c r="D324" s="4"/>
      <c r="E324" s="4"/>
    </row>
    <row r="325" spans="2:5" x14ac:dyDescent="0.2">
      <c r="B325" s="4"/>
      <c r="C325" s="4"/>
      <c r="D325" s="4"/>
      <c r="E325" s="4"/>
    </row>
    <row r="326" spans="2:5" x14ac:dyDescent="0.2">
      <c r="B326" s="4"/>
      <c r="C326" s="4"/>
      <c r="D326" s="4"/>
      <c r="E326" s="4"/>
    </row>
    <row r="327" spans="2:5" x14ac:dyDescent="0.2">
      <c r="B327" s="4"/>
      <c r="C327" s="4"/>
      <c r="D327" s="4"/>
      <c r="E327" s="4"/>
    </row>
    <row r="328" spans="2:5" x14ac:dyDescent="0.2">
      <c r="B328" s="4"/>
      <c r="C328" s="4"/>
      <c r="D328" s="4"/>
      <c r="E328" s="4"/>
    </row>
    <row r="329" spans="2:5" x14ac:dyDescent="0.2">
      <c r="B329" s="4"/>
      <c r="C329" s="4"/>
      <c r="D329" s="4"/>
      <c r="E329" s="4"/>
    </row>
    <row r="330" spans="2:5" x14ac:dyDescent="0.2">
      <c r="B330" s="4"/>
      <c r="C330" s="4"/>
      <c r="D330" s="4"/>
      <c r="E330" s="4"/>
    </row>
    <row r="331" spans="2:5" x14ac:dyDescent="0.2">
      <c r="B331" s="4"/>
      <c r="C331" s="4"/>
      <c r="D331" s="4"/>
      <c r="E331" s="4"/>
    </row>
    <row r="332" spans="2:5" x14ac:dyDescent="0.2">
      <c r="B332" s="4"/>
      <c r="C332" s="4"/>
      <c r="D332" s="4"/>
      <c r="E332" s="4"/>
    </row>
    <row r="333" spans="2:5" x14ac:dyDescent="0.2">
      <c r="B333" s="4"/>
      <c r="C333" s="4"/>
      <c r="D333" s="4"/>
      <c r="E333" s="4"/>
    </row>
    <row r="334" spans="2:5" x14ac:dyDescent="0.2">
      <c r="B334" s="4"/>
      <c r="C334" s="4"/>
      <c r="D334" s="4"/>
      <c r="E334" s="4"/>
    </row>
    <row r="335" spans="2:5" x14ac:dyDescent="0.2">
      <c r="B335" s="4"/>
      <c r="C335" s="4"/>
      <c r="D335" s="4"/>
      <c r="E335" s="4"/>
    </row>
    <row r="336" spans="2:5" x14ac:dyDescent="0.2">
      <c r="B336" s="4"/>
      <c r="C336" s="4"/>
      <c r="D336" s="4"/>
      <c r="E336" s="4"/>
    </row>
    <row r="337" spans="2:5" x14ac:dyDescent="0.2">
      <c r="B337" s="4"/>
      <c r="C337" s="4"/>
      <c r="D337" s="4"/>
      <c r="E337" s="4"/>
    </row>
    <row r="338" spans="2:5" x14ac:dyDescent="0.2">
      <c r="B338" s="4"/>
      <c r="C338" s="4"/>
      <c r="D338" s="4"/>
      <c r="E338" s="4"/>
    </row>
    <row r="339" spans="2:5" x14ac:dyDescent="0.2">
      <c r="B339" s="4"/>
      <c r="C339" s="4"/>
      <c r="D339" s="4"/>
      <c r="E339" s="4"/>
    </row>
    <row r="340" spans="2:5" x14ac:dyDescent="0.2">
      <c r="B340" s="4"/>
      <c r="C340" s="4"/>
      <c r="D340" s="4"/>
      <c r="E340" s="4"/>
    </row>
    <row r="341" spans="2:5" x14ac:dyDescent="0.2">
      <c r="B341" s="4"/>
      <c r="C341" s="4"/>
      <c r="D341" s="4"/>
      <c r="E341" s="4"/>
    </row>
    <row r="342" spans="2:5" x14ac:dyDescent="0.2">
      <c r="B342" s="4"/>
      <c r="C342" s="4"/>
      <c r="D342" s="4"/>
      <c r="E342" s="4"/>
    </row>
    <row r="343" spans="2:5" x14ac:dyDescent="0.2">
      <c r="B343" s="4"/>
      <c r="C343" s="4"/>
      <c r="D343" s="4"/>
      <c r="E343" s="4"/>
    </row>
    <row r="344" spans="2:5" x14ac:dyDescent="0.2">
      <c r="B344" s="4"/>
      <c r="C344" s="4"/>
      <c r="D344" s="4"/>
      <c r="E344" s="4"/>
    </row>
    <row r="345" spans="2:5" x14ac:dyDescent="0.2">
      <c r="B345" s="4"/>
      <c r="C345" s="4"/>
      <c r="D345" s="4"/>
      <c r="E345" s="4"/>
    </row>
    <row r="346" spans="2:5" x14ac:dyDescent="0.2">
      <c r="B346" s="4"/>
      <c r="C346" s="4"/>
      <c r="D346" s="4"/>
      <c r="E346" s="4"/>
    </row>
    <row r="347" spans="2:5" x14ac:dyDescent="0.2">
      <c r="B347" s="4"/>
      <c r="C347" s="4"/>
      <c r="D347" s="4"/>
      <c r="E347" s="4"/>
    </row>
    <row r="348" spans="2:5" x14ac:dyDescent="0.2">
      <c r="B348" s="4"/>
      <c r="C348" s="4"/>
      <c r="D348" s="4"/>
      <c r="E348" s="4"/>
    </row>
    <row r="349" spans="2:5" x14ac:dyDescent="0.2">
      <c r="B349" s="4"/>
      <c r="C349" s="4"/>
      <c r="D349" s="4"/>
      <c r="E349" s="4"/>
    </row>
    <row r="350" spans="2:5" x14ac:dyDescent="0.2">
      <c r="B350" s="4"/>
      <c r="C350" s="4"/>
      <c r="D350" s="4"/>
      <c r="E350" s="4"/>
    </row>
    <row r="351" spans="2:5" x14ac:dyDescent="0.2">
      <c r="B351" s="4"/>
      <c r="C351" s="4"/>
      <c r="D351" s="4"/>
      <c r="E351" s="4"/>
    </row>
    <row r="352" spans="2:5" x14ac:dyDescent="0.2">
      <c r="B352" s="4"/>
      <c r="C352" s="4"/>
      <c r="D352" s="4"/>
      <c r="E352" s="4"/>
    </row>
    <row r="353" spans="2:5" x14ac:dyDescent="0.2">
      <c r="B353" s="4"/>
      <c r="C353" s="4"/>
      <c r="D353" s="4"/>
      <c r="E353" s="4"/>
    </row>
    <row r="354" spans="2:5" x14ac:dyDescent="0.2">
      <c r="B354" s="4"/>
      <c r="C354" s="4"/>
      <c r="D354" s="4"/>
      <c r="E354" s="4"/>
    </row>
    <row r="355" spans="2:5" x14ac:dyDescent="0.2">
      <c r="B355" s="4"/>
      <c r="C355" s="4"/>
      <c r="D355" s="4"/>
      <c r="E355" s="4"/>
    </row>
    <row r="356" spans="2:5" x14ac:dyDescent="0.2">
      <c r="B356" s="4"/>
      <c r="C356" s="4"/>
      <c r="D356" s="4"/>
      <c r="E356" s="4"/>
    </row>
    <row r="357" spans="2:5" x14ac:dyDescent="0.2">
      <c r="B357" s="4"/>
      <c r="C357" s="4"/>
      <c r="D357" s="4"/>
      <c r="E357" s="4"/>
    </row>
    <row r="358" spans="2:5" x14ac:dyDescent="0.2">
      <c r="B358" s="4"/>
      <c r="C358" s="4"/>
      <c r="D358" s="4"/>
      <c r="E358" s="4"/>
    </row>
    <row r="359" spans="2:5" x14ac:dyDescent="0.2">
      <c r="B359" s="4"/>
      <c r="C359" s="4"/>
      <c r="D359" s="4"/>
      <c r="E359" s="4"/>
    </row>
    <row r="360" spans="2:5" x14ac:dyDescent="0.2">
      <c r="B360" s="4"/>
      <c r="C360" s="4"/>
      <c r="D360" s="4"/>
      <c r="E360" s="4"/>
    </row>
    <row r="361" spans="2:5" x14ac:dyDescent="0.2">
      <c r="B361" s="4"/>
      <c r="C361" s="4"/>
      <c r="D361" s="4"/>
      <c r="E361" s="4"/>
    </row>
    <row r="362" spans="2:5" x14ac:dyDescent="0.2">
      <c r="B362" s="4"/>
      <c r="C362" s="4"/>
      <c r="D362" s="4"/>
      <c r="E362" s="4"/>
    </row>
    <row r="363" spans="2:5" x14ac:dyDescent="0.2">
      <c r="B363" s="4"/>
      <c r="C363" s="4"/>
      <c r="D363" s="4"/>
      <c r="E363" s="4"/>
    </row>
    <row r="364" spans="2:5" x14ac:dyDescent="0.2">
      <c r="B364" s="4"/>
      <c r="C364" s="4"/>
      <c r="D364" s="4"/>
      <c r="E364" s="4"/>
    </row>
    <row r="365" spans="2:5" x14ac:dyDescent="0.2">
      <c r="B365" s="4"/>
      <c r="C365" s="4"/>
      <c r="D365" s="4"/>
      <c r="E365" s="4"/>
    </row>
    <row r="366" spans="2:5" x14ac:dyDescent="0.2">
      <c r="B366" s="4"/>
      <c r="C366" s="4"/>
      <c r="D366" s="4"/>
      <c r="E366" s="4"/>
    </row>
    <row r="367" spans="2:5" x14ac:dyDescent="0.2">
      <c r="B367" s="4"/>
      <c r="C367" s="4"/>
      <c r="D367" s="4"/>
      <c r="E367" s="4"/>
    </row>
    <row r="368" spans="2:5" x14ac:dyDescent="0.2">
      <c r="B368" s="4"/>
      <c r="C368" s="4"/>
      <c r="D368" s="4"/>
      <c r="E368" s="4"/>
    </row>
    <row r="369" spans="2:5" x14ac:dyDescent="0.2">
      <c r="B369" s="4"/>
      <c r="C369" s="4"/>
      <c r="D369" s="4"/>
      <c r="E369" s="4"/>
    </row>
    <row r="370" spans="2:5" x14ac:dyDescent="0.2">
      <c r="B370" s="4"/>
      <c r="C370" s="4"/>
      <c r="D370" s="4"/>
      <c r="E370" s="4"/>
    </row>
    <row r="371" spans="2:5" x14ac:dyDescent="0.2">
      <c r="B371" s="4"/>
      <c r="C371" s="4"/>
      <c r="D371" s="4"/>
      <c r="E371" s="4"/>
    </row>
    <row r="372" spans="2:5" x14ac:dyDescent="0.2">
      <c r="B372" s="4"/>
      <c r="C372" s="4"/>
      <c r="D372" s="4"/>
      <c r="E372" s="4"/>
    </row>
    <row r="373" spans="2:5" x14ac:dyDescent="0.2">
      <c r="B373" s="4"/>
      <c r="C373" s="4"/>
      <c r="D373" s="4"/>
      <c r="E373" s="4"/>
    </row>
    <row r="374" spans="2:5" x14ac:dyDescent="0.2">
      <c r="B374" s="4"/>
      <c r="C374" s="4"/>
      <c r="D374" s="4"/>
      <c r="E374" s="4"/>
    </row>
    <row r="375" spans="2:5" x14ac:dyDescent="0.2">
      <c r="B375" s="4"/>
      <c r="C375" s="4"/>
      <c r="D375" s="4"/>
      <c r="E375" s="4"/>
    </row>
    <row r="376" spans="2:5" x14ac:dyDescent="0.2">
      <c r="B376" s="4"/>
      <c r="C376" s="4"/>
      <c r="D376" s="4"/>
      <c r="E376" s="4"/>
    </row>
    <row r="377" spans="2:5" x14ac:dyDescent="0.2">
      <c r="B377" s="4"/>
      <c r="C377" s="4"/>
      <c r="D377" s="4"/>
      <c r="E377" s="4"/>
    </row>
    <row r="378" spans="2:5" x14ac:dyDescent="0.2">
      <c r="B378" s="4"/>
      <c r="C378" s="4"/>
      <c r="D378" s="4"/>
      <c r="E378" s="4"/>
    </row>
    <row r="379" spans="2:5" x14ac:dyDescent="0.2">
      <c r="B379" s="4"/>
      <c r="C379" s="4"/>
      <c r="D379" s="4"/>
      <c r="E379" s="4"/>
    </row>
    <row r="380" spans="2:5" x14ac:dyDescent="0.2">
      <c r="B380" s="4"/>
      <c r="C380" s="4"/>
      <c r="D380" s="4"/>
      <c r="E380" s="4"/>
    </row>
    <row r="381" spans="2:5" x14ac:dyDescent="0.2">
      <c r="B381" s="4"/>
      <c r="C381" s="4"/>
      <c r="D381" s="4"/>
      <c r="E381" s="4"/>
    </row>
    <row r="382" spans="2:5" x14ac:dyDescent="0.2">
      <c r="B382" s="4"/>
      <c r="C382" s="4"/>
      <c r="D382" s="4"/>
      <c r="E382" s="4"/>
    </row>
    <row r="383" spans="2:5" x14ac:dyDescent="0.2">
      <c r="B383" s="4"/>
      <c r="C383" s="4"/>
      <c r="D383" s="4"/>
      <c r="E383" s="4"/>
    </row>
    <row r="384" spans="2:5" x14ac:dyDescent="0.2">
      <c r="B384" s="4"/>
      <c r="C384" s="4"/>
      <c r="D384" s="4"/>
      <c r="E384" s="4"/>
    </row>
    <row r="385" spans="2:5" x14ac:dyDescent="0.2">
      <c r="B385" s="4"/>
      <c r="C385" s="4"/>
      <c r="D385" s="4"/>
      <c r="E385" s="4"/>
    </row>
    <row r="386" spans="2:5" x14ac:dyDescent="0.2">
      <c r="B386" s="4"/>
      <c r="C386" s="4"/>
      <c r="D386" s="4"/>
      <c r="E386" s="4"/>
    </row>
    <row r="387" spans="2:5" x14ac:dyDescent="0.2">
      <c r="B387" s="4"/>
      <c r="C387" s="4"/>
      <c r="D387" s="4"/>
      <c r="E387" s="4"/>
    </row>
    <row r="388" spans="2:5" x14ac:dyDescent="0.2">
      <c r="B388" s="4"/>
      <c r="C388" s="4"/>
      <c r="D388" s="4"/>
      <c r="E388" s="4"/>
    </row>
    <row r="389" spans="2:5" x14ac:dyDescent="0.2">
      <c r="B389" s="4"/>
      <c r="C389" s="4"/>
      <c r="D389" s="4"/>
      <c r="E389" s="4"/>
    </row>
    <row r="390" spans="2:5" x14ac:dyDescent="0.2">
      <c r="B390" s="4"/>
      <c r="C390" s="4"/>
      <c r="D390" s="4"/>
      <c r="E390" s="4"/>
    </row>
    <row r="391" spans="2:5" x14ac:dyDescent="0.2">
      <c r="B391" s="4"/>
      <c r="C391" s="4"/>
      <c r="D391" s="4"/>
      <c r="E391" s="4"/>
    </row>
    <row r="392" spans="2:5" x14ac:dyDescent="0.2">
      <c r="B392" s="4"/>
      <c r="C392" s="4"/>
      <c r="D392" s="4"/>
      <c r="E392" s="4"/>
    </row>
    <row r="393" spans="2:5" x14ac:dyDescent="0.2">
      <c r="B393" s="4"/>
      <c r="C393" s="4"/>
      <c r="D393" s="4"/>
      <c r="E393" s="4"/>
    </row>
    <row r="394" spans="2:5" x14ac:dyDescent="0.2">
      <c r="B394" s="4"/>
      <c r="C394" s="4"/>
      <c r="D394" s="4"/>
      <c r="E394" s="4"/>
    </row>
    <row r="395" spans="2:5" x14ac:dyDescent="0.2">
      <c r="B395" s="4"/>
      <c r="C395" s="4"/>
      <c r="D395" s="4"/>
      <c r="E395" s="4"/>
    </row>
    <row r="396" spans="2:5" x14ac:dyDescent="0.2">
      <c r="B396" s="4"/>
      <c r="C396" s="4"/>
      <c r="D396" s="4"/>
      <c r="E396" s="4"/>
    </row>
    <row r="397" spans="2:5" x14ac:dyDescent="0.2">
      <c r="B397" s="4"/>
      <c r="C397" s="4"/>
      <c r="D397" s="4"/>
      <c r="E397" s="4"/>
    </row>
    <row r="398" spans="2:5" x14ac:dyDescent="0.2">
      <c r="B398" s="4"/>
      <c r="C398" s="4"/>
      <c r="D398" s="4"/>
      <c r="E398" s="4"/>
    </row>
    <row r="399" spans="2:5" x14ac:dyDescent="0.2">
      <c r="B399" s="4"/>
      <c r="C399" s="4"/>
      <c r="D399" s="4"/>
      <c r="E399" s="4"/>
    </row>
    <row r="400" spans="2:5" x14ac:dyDescent="0.2">
      <c r="B400" s="4"/>
      <c r="C400" s="4"/>
      <c r="D400" s="4"/>
      <c r="E400" s="4"/>
    </row>
    <row r="401" spans="2:5" x14ac:dyDescent="0.2">
      <c r="B401" s="4"/>
      <c r="C401" s="4"/>
      <c r="D401" s="4"/>
      <c r="E401" s="4"/>
    </row>
    <row r="402" spans="2:5" x14ac:dyDescent="0.2">
      <c r="B402" s="4"/>
      <c r="C402" s="4"/>
      <c r="D402" s="4"/>
      <c r="E402" s="4"/>
    </row>
    <row r="403" spans="2:5" x14ac:dyDescent="0.2">
      <c r="B403" s="4"/>
      <c r="C403" s="4"/>
      <c r="D403" s="4"/>
      <c r="E403" s="4"/>
    </row>
    <row r="404" spans="2:5" x14ac:dyDescent="0.2">
      <c r="B404" s="4"/>
      <c r="C404" s="4"/>
      <c r="D404" s="4"/>
      <c r="E404" s="4"/>
    </row>
    <row r="405" spans="2:5" x14ac:dyDescent="0.2">
      <c r="B405" s="4"/>
      <c r="C405" s="4"/>
      <c r="D405" s="4"/>
      <c r="E405" s="4"/>
    </row>
    <row r="406" spans="2:5" x14ac:dyDescent="0.2">
      <c r="B406" s="4"/>
      <c r="C406" s="4"/>
      <c r="D406" s="4"/>
      <c r="E406" s="4"/>
    </row>
    <row r="407" spans="2:5" x14ac:dyDescent="0.2">
      <c r="B407" s="4"/>
      <c r="C407" s="4"/>
      <c r="D407" s="4"/>
      <c r="E407" s="4"/>
    </row>
    <row r="408" spans="2:5" x14ac:dyDescent="0.2">
      <c r="B408" s="4"/>
      <c r="C408" s="4"/>
      <c r="D408" s="4"/>
      <c r="E408" s="4"/>
    </row>
    <row r="409" spans="2:5" x14ac:dyDescent="0.2">
      <c r="B409" s="4"/>
      <c r="C409" s="4"/>
      <c r="D409" s="4"/>
      <c r="E409" s="4"/>
    </row>
    <row r="410" spans="2:5" x14ac:dyDescent="0.2">
      <c r="B410" s="4"/>
      <c r="C410" s="4"/>
      <c r="D410" s="4"/>
      <c r="E410" s="4"/>
    </row>
    <row r="411" spans="2:5" x14ac:dyDescent="0.2">
      <c r="B411" s="4"/>
      <c r="C411" s="4"/>
      <c r="D411" s="4"/>
      <c r="E411" s="4"/>
    </row>
    <row r="412" spans="2:5" x14ac:dyDescent="0.2">
      <c r="B412" s="4"/>
      <c r="C412" s="4"/>
      <c r="D412" s="4"/>
      <c r="E412" s="4"/>
    </row>
    <row r="413" spans="2:5" x14ac:dyDescent="0.2">
      <c r="B413" s="4"/>
      <c r="C413" s="4"/>
      <c r="D413" s="4"/>
      <c r="E413" s="4"/>
    </row>
    <row r="414" spans="2:5" x14ac:dyDescent="0.2">
      <c r="B414" s="4"/>
      <c r="C414" s="4"/>
      <c r="D414" s="4"/>
      <c r="E414" s="4"/>
    </row>
    <row r="415" spans="2:5" x14ac:dyDescent="0.2">
      <c r="B415" s="4"/>
      <c r="C415" s="4"/>
      <c r="D415" s="4"/>
      <c r="E415" s="4"/>
    </row>
    <row r="416" spans="2:5" x14ac:dyDescent="0.2">
      <c r="B416" s="4"/>
      <c r="C416" s="4"/>
      <c r="D416" s="4"/>
      <c r="E416" s="4"/>
    </row>
    <row r="417" spans="2:5" x14ac:dyDescent="0.2">
      <c r="B417" s="4"/>
      <c r="C417" s="4"/>
      <c r="D417" s="4"/>
      <c r="E417" s="4"/>
    </row>
    <row r="418" spans="2:5" x14ac:dyDescent="0.2">
      <c r="B418" s="4"/>
      <c r="C418" s="4"/>
      <c r="D418" s="4"/>
      <c r="E418" s="4"/>
    </row>
    <row r="419" spans="2:5" x14ac:dyDescent="0.2">
      <c r="B419" s="4"/>
      <c r="C419" s="4"/>
      <c r="D419" s="4"/>
      <c r="E419" s="4"/>
    </row>
    <row r="420" spans="2:5" x14ac:dyDescent="0.2">
      <c r="B420" s="4"/>
      <c r="C420" s="4"/>
      <c r="D420" s="4"/>
      <c r="E420" s="4"/>
    </row>
    <row r="421" spans="2:5" x14ac:dyDescent="0.2">
      <c r="B421" s="4"/>
      <c r="C421" s="4"/>
      <c r="D421" s="4"/>
      <c r="E421" s="4"/>
    </row>
    <row r="422" spans="2:5" x14ac:dyDescent="0.2">
      <c r="B422" s="4"/>
      <c r="C422" s="4"/>
      <c r="D422" s="4"/>
      <c r="E422" s="4"/>
    </row>
    <row r="423" spans="2:5" x14ac:dyDescent="0.2">
      <c r="B423" s="4"/>
      <c r="C423" s="4"/>
      <c r="D423" s="4"/>
      <c r="E423" s="4"/>
    </row>
    <row r="424" spans="2:5" x14ac:dyDescent="0.2">
      <c r="B424" s="4"/>
      <c r="C424" s="4"/>
      <c r="D424" s="4"/>
      <c r="E424" s="4"/>
    </row>
    <row r="425" spans="2:5" x14ac:dyDescent="0.2">
      <c r="B425" s="4"/>
      <c r="C425" s="4"/>
      <c r="D425" s="4"/>
      <c r="E425" s="4"/>
    </row>
    <row r="426" spans="2:5" x14ac:dyDescent="0.2">
      <c r="B426" s="4"/>
      <c r="C426" s="4"/>
      <c r="D426" s="4"/>
      <c r="E426" s="4"/>
    </row>
    <row r="427" spans="2:5" x14ac:dyDescent="0.2">
      <c r="B427" s="4"/>
      <c r="C427" s="4"/>
      <c r="D427" s="4"/>
      <c r="E427" s="4"/>
    </row>
    <row r="428" spans="2:5" x14ac:dyDescent="0.2">
      <c r="B428" s="4"/>
      <c r="C428" s="4"/>
      <c r="D428" s="4"/>
      <c r="E428" s="4"/>
    </row>
    <row r="429" spans="2:5" x14ac:dyDescent="0.2">
      <c r="B429" s="4"/>
      <c r="C429" s="4"/>
      <c r="D429" s="4"/>
      <c r="E429" s="4"/>
    </row>
    <row r="430" spans="2:5" x14ac:dyDescent="0.2">
      <c r="B430" s="4"/>
      <c r="C430" s="4"/>
      <c r="D430" s="4"/>
      <c r="E430" s="4"/>
    </row>
    <row r="431" spans="2:5" x14ac:dyDescent="0.2">
      <c r="B431" s="4"/>
      <c r="C431" s="4"/>
      <c r="D431" s="4"/>
      <c r="E431" s="4"/>
    </row>
    <row r="432" spans="2:5" x14ac:dyDescent="0.2">
      <c r="B432" s="4"/>
      <c r="C432" s="4"/>
      <c r="D432" s="4"/>
      <c r="E432" s="4"/>
    </row>
    <row r="433" spans="2:5" x14ac:dyDescent="0.2">
      <c r="B433" s="4"/>
      <c r="C433" s="4"/>
      <c r="D433" s="4"/>
      <c r="E433" s="4"/>
    </row>
    <row r="434" spans="2:5" x14ac:dyDescent="0.2">
      <c r="B434" s="4"/>
      <c r="C434" s="4"/>
      <c r="D434" s="4"/>
      <c r="E434" s="4"/>
    </row>
    <row r="435" spans="2:5" x14ac:dyDescent="0.2">
      <c r="B435" s="4"/>
      <c r="C435" s="4"/>
      <c r="D435" s="4"/>
      <c r="E435" s="4"/>
    </row>
    <row r="436" spans="2:5" x14ac:dyDescent="0.2">
      <c r="B436" s="4"/>
      <c r="C436" s="4"/>
      <c r="D436" s="4"/>
      <c r="E436" s="4"/>
    </row>
    <row r="437" spans="2:5" x14ac:dyDescent="0.2">
      <c r="B437" s="4"/>
      <c r="C437" s="4"/>
      <c r="D437" s="4"/>
      <c r="E437" s="4"/>
    </row>
    <row r="438" spans="2:5" x14ac:dyDescent="0.2">
      <c r="B438" s="4"/>
      <c r="C438" s="4"/>
      <c r="D438" s="4"/>
      <c r="E438" s="4"/>
    </row>
    <row r="439" spans="2:5" x14ac:dyDescent="0.2">
      <c r="B439" s="4"/>
      <c r="C439" s="4"/>
      <c r="D439" s="4"/>
      <c r="E439" s="4"/>
    </row>
    <row r="440" spans="2:5" x14ac:dyDescent="0.2">
      <c r="B440" s="4"/>
      <c r="C440" s="4"/>
      <c r="D440" s="4"/>
      <c r="E440" s="4"/>
    </row>
    <row r="441" spans="2:5" x14ac:dyDescent="0.2">
      <c r="B441" s="4"/>
      <c r="C441" s="4"/>
      <c r="D441" s="4"/>
      <c r="E441" s="4"/>
    </row>
    <row r="442" spans="2:5" x14ac:dyDescent="0.2">
      <c r="B442" s="4"/>
      <c r="C442" s="4"/>
      <c r="D442" s="4"/>
      <c r="E442" s="4"/>
    </row>
    <row r="443" spans="2:5" x14ac:dyDescent="0.2">
      <c r="B443" s="4"/>
      <c r="C443" s="4"/>
      <c r="D443" s="4"/>
      <c r="E443" s="4"/>
    </row>
    <row r="444" spans="2:5" x14ac:dyDescent="0.2">
      <c r="B444" s="4"/>
      <c r="C444" s="4"/>
      <c r="D444" s="4"/>
      <c r="E444" s="4"/>
    </row>
    <row r="445" spans="2:5" x14ac:dyDescent="0.2">
      <c r="B445" s="4"/>
      <c r="C445" s="4"/>
      <c r="D445" s="4"/>
      <c r="E445" s="4"/>
    </row>
    <row r="446" spans="2:5" x14ac:dyDescent="0.2">
      <c r="B446" s="4"/>
      <c r="C446" s="4"/>
      <c r="D446" s="4"/>
      <c r="E446" s="4"/>
    </row>
    <row r="447" spans="2:5" x14ac:dyDescent="0.2">
      <c r="B447" s="4"/>
      <c r="C447" s="4"/>
      <c r="D447" s="4"/>
      <c r="E447" s="4"/>
    </row>
    <row r="448" spans="2:5" x14ac:dyDescent="0.2">
      <c r="B448" s="4"/>
      <c r="C448" s="4"/>
      <c r="D448" s="4"/>
      <c r="E448" s="4"/>
    </row>
    <row r="449" spans="2:5" x14ac:dyDescent="0.2">
      <c r="B449" s="4"/>
      <c r="C449" s="4"/>
      <c r="D449" s="4"/>
      <c r="E449" s="4"/>
    </row>
    <row r="450" spans="2:5" x14ac:dyDescent="0.2">
      <c r="B450" s="4"/>
      <c r="C450" s="4"/>
      <c r="D450" s="4"/>
      <c r="E450" s="4"/>
    </row>
    <row r="451" spans="2:5" x14ac:dyDescent="0.2">
      <c r="B451" s="4"/>
      <c r="C451" s="4"/>
      <c r="D451" s="4"/>
      <c r="E451" s="4"/>
    </row>
    <row r="452" spans="2:5" x14ac:dyDescent="0.2">
      <c r="B452" s="4"/>
      <c r="C452" s="4"/>
      <c r="D452" s="4"/>
      <c r="E452" s="4"/>
    </row>
    <row r="453" spans="2:5" x14ac:dyDescent="0.2">
      <c r="B453" s="4"/>
      <c r="C453" s="4"/>
      <c r="D453" s="4"/>
      <c r="E453" s="4"/>
    </row>
    <row r="454" spans="2:5" x14ac:dyDescent="0.2">
      <c r="B454" s="4"/>
      <c r="C454" s="4"/>
      <c r="D454" s="4"/>
      <c r="E454" s="4"/>
    </row>
    <row r="455" spans="2:5" x14ac:dyDescent="0.2">
      <c r="B455" s="4"/>
      <c r="C455" s="4"/>
      <c r="D455" s="4"/>
      <c r="E455" s="4"/>
    </row>
    <row r="456" spans="2:5" x14ac:dyDescent="0.2">
      <c r="B456" s="4"/>
      <c r="C456" s="4"/>
      <c r="D456" s="4"/>
      <c r="E456" s="4"/>
    </row>
    <row r="457" spans="2:5" x14ac:dyDescent="0.2">
      <c r="B457" s="4"/>
      <c r="C457" s="4"/>
      <c r="D457" s="4"/>
      <c r="E457" s="4"/>
    </row>
    <row r="458" spans="2:5" x14ac:dyDescent="0.2">
      <c r="B458" s="4"/>
      <c r="C458" s="4"/>
      <c r="D458" s="4"/>
      <c r="E458" s="4"/>
    </row>
    <row r="459" spans="2:5" x14ac:dyDescent="0.2">
      <c r="B459" s="4"/>
      <c r="C459" s="4"/>
      <c r="D459" s="4"/>
      <c r="E459" s="4"/>
    </row>
    <row r="460" spans="2:5" x14ac:dyDescent="0.2">
      <c r="B460" s="4"/>
      <c r="C460" s="4"/>
      <c r="D460" s="4"/>
      <c r="E460" s="4"/>
    </row>
    <row r="461" spans="2:5" x14ac:dyDescent="0.2">
      <c r="B461" s="4"/>
      <c r="C461" s="4"/>
      <c r="D461" s="4"/>
      <c r="E461" s="4"/>
    </row>
    <row r="462" spans="2:5" x14ac:dyDescent="0.2">
      <c r="B462" s="4"/>
      <c r="C462" s="4"/>
      <c r="D462" s="4"/>
      <c r="E462" s="4"/>
    </row>
    <row r="463" spans="2:5" x14ac:dyDescent="0.2">
      <c r="B463" s="4"/>
      <c r="C463" s="4"/>
      <c r="D463" s="4"/>
      <c r="E463" s="4"/>
    </row>
    <row r="464" spans="2:5" x14ac:dyDescent="0.2">
      <c r="B464" s="4"/>
      <c r="C464" s="4"/>
      <c r="D464" s="4"/>
      <c r="E464" s="4"/>
    </row>
    <row r="465" spans="2:5" x14ac:dyDescent="0.2">
      <c r="B465" s="4"/>
      <c r="C465" s="4"/>
      <c r="D465" s="4"/>
      <c r="E465" s="4"/>
    </row>
    <row r="466" spans="2:5" x14ac:dyDescent="0.2">
      <c r="B466" s="4"/>
      <c r="C466" s="4"/>
      <c r="D466" s="4"/>
      <c r="E466" s="4"/>
    </row>
    <row r="467" spans="2:5" x14ac:dyDescent="0.2">
      <c r="B467" s="4"/>
      <c r="C467" s="4"/>
      <c r="D467" s="4"/>
      <c r="E467" s="4"/>
    </row>
    <row r="468" spans="2:5" x14ac:dyDescent="0.2">
      <c r="B468" s="4"/>
      <c r="C468" s="4"/>
      <c r="D468" s="4"/>
      <c r="E468" s="4"/>
    </row>
    <row r="469" spans="2:5" x14ac:dyDescent="0.2">
      <c r="B469" s="4"/>
      <c r="C469" s="4"/>
      <c r="D469" s="4"/>
      <c r="E469" s="4"/>
    </row>
    <row r="470" spans="2:5" x14ac:dyDescent="0.2">
      <c r="B470" s="4"/>
      <c r="C470" s="4"/>
      <c r="D470" s="4"/>
      <c r="E470" s="4"/>
    </row>
    <row r="471" spans="2:5" x14ac:dyDescent="0.2">
      <c r="B471" s="4"/>
      <c r="C471" s="4"/>
      <c r="D471" s="4"/>
      <c r="E471" s="4"/>
    </row>
    <row r="472" spans="2:5" x14ac:dyDescent="0.2">
      <c r="B472" s="4"/>
      <c r="C472" s="4"/>
      <c r="D472" s="4"/>
      <c r="E472" s="4"/>
    </row>
    <row r="473" spans="2:5" x14ac:dyDescent="0.2">
      <c r="B473" s="4"/>
      <c r="C473" s="4"/>
      <c r="D473" s="4"/>
      <c r="E473" s="4"/>
    </row>
    <row r="474" spans="2:5" x14ac:dyDescent="0.2">
      <c r="B474" s="4"/>
      <c r="C474" s="4"/>
      <c r="D474" s="4"/>
      <c r="E474" s="4"/>
    </row>
    <row r="475" spans="2:5" x14ac:dyDescent="0.2">
      <c r="B475" s="4"/>
      <c r="C475" s="4"/>
      <c r="D475" s="4"/>
      <c r="E475" s="4"/>
    </row>
    <row r="476" spans="2:5" x14ac:dyDescent="0.2">
      <c r="B476" s="4"/>
      <c r="C476" s="4"/>
      <c r="D476" s="4"/>
      <c r="E476" s="4"/>
    </row>
  </sheetData>
  <mergeCells count="42">
    <mergeCell ref="J1:L1"/>
    <mergeCell ref="A14:A38"/>
    <mergeCell ref="A40:B40"/>
    <mergeCell ref="A41:B41"/>
    <mergeCell ref="A43:L43"/>
    <mergeCell ref="J8:J9"/>
    <mergeCell ref="K8:K9"/>
    <mergeCell ref="A3:L3"/>
    <mergeCell ref="A5:L5"/>
    <mergeCell ref="H6:K6"/>
    <mergeCell ref="I7:K7"/>
    <mergeCell ref="L6:L9"/>
    <mergeCell ref="H7:H9"/>
    <mergeCell ref="I8:I9"/>
    <mergeCell ref="C6:G6"/>
    <mergeCell ref="C7:C9"/>
    <mergeCell ref="H44:K44"/>
    <mergeCell ref="C44:G44"/>
    <mergeCell ref="F45:G45"/>
    <mergeCell ref="F46:F47"/>
    <mergeCell ref="G46:G47"/>
    <mergeCell ref="D7:D9"/>
    <mergeCell ref="E7:E9"/>
    <mergeCell ref="F7:G7"/>
    <mergeCell ref="F8:F9"/>
    <mergeCell ref="G8:G9"/>
    <mergeCell ref="L44:L47"/>
    <mergeCell ref="A75:B75"/>
    <mergeCell ref="A77:B77"/>
    <mergeCell ref="A80:B80"/>
    <mergeCell ref="A52:A72"/>
    <mergeCell ref="A74:B74"/>
    <mergeCell ref="A78:B78"/>
    <mergeCell ref="A79:B79"/>
    <mergeCell ref="I45:K45"/>
    <mergeCell ref="H45:H47"/>
    <mergeCell ref="I46:I47"/>
    <mergeCell ref="J46:J47"/>
    <mergeCell ref="K46:K47"/>
    <mergeCell ref="C45:C47"/>
    <mergeCell ref="D45:D47"/>
    <mergeCell ref="E45:E47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1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4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Z550"/>
  <sheetViews>
    <sheetView showGridLines="0" view="pageBreakPreview" zoomScaleNormal="100" zoomScaleSheetLayoutView="100" workbookViewId="0">
      <selection activeCell="O1" sqref="O1"/>
    </sheetView>
  </sheetViews>
  <sheetFormatPr defaultRowHeight="11.25" x14ac:dyDescent="0.2"/>
  <cols>
    <col min="1" max="1" width="2.85546875" style="549" customWidth="1"/>
    <col min="2" max="2" width="53.140625" style="550" customWidth="1"/>
    <col min="3" max="3" width="11" style="550" customWidth="1"/>
    <col min="4" max="4" width="12.7109375" style="550" customWidth="1"/>
    <col min="5" max="5" width="11.85546875" style="550" customWidth="1"/>
    <col min="6" max="6" width="13.28515625" style="550" customWidth="1"/>
    <col min="7" max="7" width="11.85546875" style="550" customWidth="1"/>
    <col min="8" max="8" width="12.7109375" style="550" customWidth="1"/>
    <col min="9" max="9" width="12.28515625" style="550" customWidth="1"/>
    <col min="10" max="10" width="11.28515625" style="608" customWidth="1"/>
    <col min="11" max="11" width="10.85546875" style="552" customWidth="1"/>
    <col min="12" max="12" width="12" style="552" customWidth="1"/>
    <col min="13" max="13" width="14" style="552" customWidth="1"/>
    <col min="14" max="14" width="14.28515625" style="609" customWidth="1"/>
    <col min="15" max="16384" width="9.140625" style="550"/>
  </cols>
  <sheetData>
    <row r="1" spans="1:104" ht="24.75" customHeight="1" x14ac:dyDescent="0.3">
      <c r="I1" s="5"/>
      <c r="J1" s="5"/>
      <c r="L1" s="5"/>
      <c r="M1" s="3029" t="s">
        <v>357</v>
      </c>
      <c r="N1" s="3029"/>
    </row>
    <row r="2" spans="1:104" ht="15" customHeight="1" x14ac:dyDescent="0.2">
      <c r="I2" s="128"/>
      <c r="J2" s="550"/>
      <c r="K2" s="550"/>
      <c r="L2" s="550"/>
      <c r="M2" s="550"/>
      <c r="N2" s="387"/>
    </row>
    <row r="3" spans="1:104" ht="5.25" customHeight="1" thickBot="1" x14ac:dyDescent="0.25">
      <c r="I3" s="128"/>
      <c r="J3" s="550"/>
      <c r="K3" s="550"/>
      <c r="L3" s="550"/>
      <c r="M3" s="550"/>
      <c r="N3" s="387"/>
    </row>
    <row r="4" spans="1:104" ht="9" customHeight="1" x14ac:dyDescent="0.2">
      <c r="A4" s="600"/>
      <c r="B4" s="601"/>
      <c r="C4" s="601"/>
      <c r="D4" s="601"/>
      <c r="E4" s="601"/>
      <c r="F4" s="601"/>
      <c r="G4" s="601"/>
      <c r="H4" s="601"/>
      <c r="I4" s="1039"/>
      <c r="J4" s="601"/>
      <c r="K4" s="601"/>
      <c r="L4" s="601"/>
      <c r="M4" s="601"/>
      <c r="N4" s="1040"/>
    </row>
    <row r="5" spans="1:104" s="554" customFormat="1" ht="51" customHeight="1" thickBot="1" x14ac:dyDescent="0.25">
      <c r="A5" s="3682" t="s">
        <v>368</v>
      </c>
      <c r="B5" s="3683"/>
      <c r="C5" s="3683"/>
      <c r="D5" s="3683"/>
      <c r="E5" s="3683"/>
      <c r="F5" s="3683"/>
      <c r="G5" s="3683"/>
      <c r="H5" s="3683"/>
      <c r="I5" s="3684"/>
      <c r="J5" s="3684"/>
      <c r="K5" s="3684"/>
      <c r="L5" s="3684"/>
      <c r="M5" s="3684"/>
      <c r="N5" s="3685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553"/>
      <c r="AB5" s="553"/>
      <c r="AC5" s="553"/>
      <c r="AD5" s="553"/>
      <c r="AE5" s="553"/>
      <c r="AF5" s="553"/>
      <c r="AG5" s="553"/>
      <c r="AH5" s="553"/>
      <c r="AI5" s="553"/>
      <c r="AJ5" s="553"/>
      <c r="AK5" s="553"/>
      <c r="AL5" s="553"/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W5" s="553"/>
      <c r="AX5" s="553"/>
      <c r="AY5" s="553"/>
      <c r="AZ5" s="553"/>
      <c r="BA5" s="553"/>
      <c r="BB5" s="553"/>
      <c r="BC5" s="553"/>
      <c r="BD5" s="553"/>
      <c r="BE5" s="553"/>
      <c r="BF5" s="553"/>
      <c r="BG5" s="553"/>
      <c r="BH5" s="553"/>
      <c r="BI5" s="553"/>
      <c r="BJ5" s="553"/>
      <c r="BK5" s="553"/>
      <c r="BL5" s="553"/>
      <c r="BM5" s="553"/>
      <c r="BN5" s="553"/>
      <c r="BO5" s="553"/>
      <c r="BP5" s="553"/>
      <c r="BQ5" s="553"/>
      <c r="BR5" s="553"/>
      <c r="BS5" s="553"/>
      <c r="BT5" s="553"/>
      <c r="BU5" s="553"/>
      <c r="BV5" s="553"/>
      <c r="BW5" s="553"/>
      <c r="BX5" s="553"/>
      <c r="BY5" s="553"/>
      <c r="BZ5" s="553"/>
      <c r="CA5" s="553"/>
      <c r="CB5" s="553"/>
      <c r="CC5" s="553"/>
      <c r="CD5" s="553"/>
      <c r="CE5" s="553"/>
      <c r="CF5" s="553"/>
      <c r="CG5" s="553"/>
      <c r="CH5" s="553"/>
      <c r="CI5" s="553"/>
      <c r="CJ5" s="553"/>
      <c r="CK5" s="553"/>
      <c r="CL5" s="553"/>
      <c r="CM5" s="553"/>
      <c r="CN5" s="553"/>
      <c r="CO5" s="553"/>
      <c r="CP5" s="553"/>
      <c r="CQ5" s="553"/>
      <c r="CR5" s="553"/>
      <c r="CS5" s="553"/>
      <c r="CT5" s="553"/>
      <c r="CU5" s="553"/>
      <c r="CV5" s="553"/>
      <c r="CW5" s="553"/>
      <c r="CX5" s="553"/>
      <c r="CY5" s="553"/>
      <c r="CZ5" s="553"/>
    </row>
    <row r="6" spans="1:104" s="196" customFormat="1" ht="41.25" customHeight="1" x14ac:dyDescent="0.2">
      <c r="A6" s="3638" t="s">
        <v>25</v>
      </c>
      <c r="B6" s="3641" t="s">
        <v>26</v>
      </c>
      <c r="C6" s="3278" t="s">
        <v>27</v>
      </c>
      <c r="D6" s="3026" t="s">
        <v>338</v>
      </c>
      <c r="E6" s="3027"/>
      <c r="F6" s="3027"/>
      <c r="G6" s="3027"/>
      <c r="H6" s="3028"/>
      <c r="I6" s="3026" t="s">
        <v>316</v>
      </c>
      <c r="J6" s="3027"/>
      <c r="K6" s="3027"/>
      <c r="L6" s="3027"/>
      <c r="M6" s="3028"/>
      <c r="N6" s="3060" t="s">
        <v>28</v>
      </c>
    </row>
    <row r="7" spans="1:104" s="196" customFormat="1" ht="28.5" customHeight="1" x14ac:dyDescent="0.2">
      <c r="A7" s="3639"/>
      <c r="B7" s="3642"/>
      <c r="C7" s="3279"/>
      <c r="D7" s="3011" t="s">
        <v>0</v>
      </c>
      <c r="E7" s="3014" t="s">
        <v>188</v>
      </c>
      <c r="F7" s="3017" t="s">
        <v>332</v>
      </c>
      <c r="G7" s="3020" t="s">
        <v>292</v>
      </c>
      <c r="H7" s="3021"/>
      <c r="I7" s="3002" t="s">
        <v>302</v>
      </c>
      <c r="J7" s="3064" t="s">
        <v>339</v>
      </c>
      <c r="K7" s="3424" t="s">
        <v>321</v>
      </c>
      <c r="L7" s="3425"/>
      <c r="M7" s="3426"/>
      <c r="N7" s="3061"/>
    </row>
    <row r="8" spans="1:104" s="196" customFormat="1" ht="48.75" customHeight="1" x14ac:dyDescent="0.2">
      <c r="A8" s="3686"/>
      <c r="B8" s="3688"/>
      <c r="C8" s="3690"/>
      <c r="D8" s="3012"/>
      <c r="E8" s="3015"/>
      <c r="F8" s="3018"/>
      <c r="G8" s="3022" t="s">
        <v>301</v>
      </c>
      <c r="H8" s="3024" t="s">
        <v>251</v>
      </c>
      <c r="I8" s="3003"/>
      <c r="J8" s="3065"/>
      <c r="K8" s="3022" t="s">
        <v>304</v>
      </c>
      <c r="L8" s="3468" t="s">
        <v>340</v>
      </c>
      <c r="M8" s="3422" t="s">
        <v>341</v>
      </c>
      <c r="N8" s="3062"/>
    </row>
    <row r="9" spans="1:104" s="196" customFormat="1" ht="54" customHeight="1" thickBot="1" x14ac:dyDescent="0.25">
      <c r="A9" s="3687"/>
      <c r="B9" s="3689"/>
      <c r="C9" s="3691"/>
      <c r="D9" s="3013"/>
      <c r="E9" s="3016"/>
      <c r="F9" s="3019"/>
      <c r="G9" s="3023"/>
      <c r="H9" s="3025"/>
      <c r="I9" s="3004"/>
      <c r="J9" s="3066"/>
      <c r="K9" s="3023"/>
      <c r="L9" s="3469"/>
      <c r="M9" s="3423"/>
      <c r="N9" s="3063"/>
    </row>
    <row r="10" spans="1:104" s="196" customFormat="1" ht="13.5" customHeight="1" thickBot="1" x14ac:dyDescent="0.25">
      <c r="A10" s="3563">
        <v>1</v>
      </c>
      <c r="B10" s="3564"/>
      <c r="C10" s="814">
        <v>2</v>
      </c>
      <c r="D10" s="1538">
        <v>3</v>
      </c>
      <c r="E10" s="1539">
        <v>4</v>
      </c>
      <c r="F10" s="1539">
        <v>5</v>
      </c>
      <c r="G10" s="1539">
        <v>6</v>
      </c>
      <c r="H10" s="1646">
        <v>7</v>
      </c>
      <c r="I10" s="1538">
        <v>8</v>
      </c>
      <c r="J10" s="1647">
        <v>9</v>
      </c>
      <c r="K10" s="1647">
        <v>10</v>
      </c>
      <c r="L10" s="1648">
        <v>11</v>
      </c>
      <c r="M10" s="1649">
        <v>12</v>
      </c>
      <c r="N10" s="1541">
        <v>13</v>
      </c>
    </row>
    <row r="11" spans="1:104" s="593" customFormat="1" ht="19.5" customHeight="1" thickBot="1" x14ac:dyDescent="0.25">
      <c r="A11" s="1439"/>
      <c r="B11" s="1650" t="s">
        <v>189</v>
      </c>
      <c r="C11" s="204"/>
      <c r="D11" s="20">
        <f t="shared" ref="D11:I11" si="0">D12+D13</f>
        <v>941987</v>
      </c>
      <c r="E11" s="21">
        <f t="shared" si="0"/>
        <v>7150</v>
      </c>
      <c r="F11" s="21">
        <f t="shared" si="0"/>
        <v>166570</v>
      </c>
      <c r="G11" s="21">
        <f>G12+G13</f>
        <v>450963</v>
      </c>
      <c r="H11" s="22">
        <f t="shared" si="0"/>
        <v>317304</v>
      </c>
      <c r="I11" s="20">
        <f t="shared" si="0"/>
        <v>249981</v>
      </c>
      <c r="J11" s="141">
        <f>I11/D11*100</f>
        <v>26.537627377023249</v>
      </c>
      <c r="K11" s="21">
        <f>K12+K13</f>
        <v>76261</v>
      </c>
      <c r="L11" s="141">
        <f>K11/G11*100</f>
        <v>16.910699990908345</v>
      </c>
      <c r="M11" s="1083">
        <f>M12+M13</f>
        <v>-149220.5</v>
      </c>
      <c r="N11" s="1651"/>
    </row>
    <row r="12" spans="1:104" s="196" customFormat="1" ht="17.25" customHeight="1" thickTop="1" x14ac:dyDescent="0.2">
      <c r="A12" s="865"/>
      <c r="B12" s="1652" t="s">
        <v>190</v>
      </c>
      <c r="C12" s="614"/>
      <c r="D12" s="615">
        <f t="shared" ref="D12:I12" si="1">D23</f>
        <v>941987</v>
      </c>
      <c r="E12" s="1653">
        <f t="shared" si="1"/>
        <v>7150</v>
      </c>
      <c r="F12" s="1653">
        <f t="shared" si="1"/>
        <v>166570</v>
      </c>
      <c r="G12" s="1653">
        <f t="shared" si="1"/>
        <v>450963</v>
      </c>
      <c r="H12" s="1654">
        <f t="shared" si="1"/>
        <v>317304</v>
      </c>
      <c r="I12" s="28">
        <f t="shared" si="1"/>
        <v>249981</v>
      </c>
      <c r="J12" s="652">
        <f>I12/D12*100</f>
        <v>26.537627377023249</v>
      </c>
      <c r="K12" s="1653">
        <f>K23</f>
        <v>76261</v>
      </c>
      <c r="L12" s="652">
        <f>K12/G12*100</f>
        <v>16.910699990908345</v>
      </c>
      <c r="M12" s="1655">
        <f>M23</f>
        <v>-149220.5</v>
      </c>
      <c r="N12" s="1656"/>
    </row>
    <row r="13" spans="1:104" s="196" customFormat="1" ht="15.75" customHeight="1" x14ac:dyDescent="0.2">
      <c r="A13" s="866"/>
      <c r="B13" s="1657" t="s">
        <v>191</v>
      </c>
      <c r="C13" s="214"/>
      <c r="D13" s="1658">
        <v>0</v>
      </c>
      <c r="E13" s="1659">
        <v>0</v>
      </c>
      <c r="F13" s="1659">
        <v>0</v>
      </c>
      <c r="G13" s="1659">
        <v>0</v>
      </c>
      <c r="H13" s="1660">
        <v>0</v>
      </c>
      <c r="I13" s="1661">
        <v>0</v>
      </c>
      <c r="J13" s="1662">
        <v>0</v>
      </c>
      <c r="K13" s="867">
        <v>0</v>
      </c>
      <c r="L13" s="1662">
        <v>0</v>
      </c>
      <c r="M13" s="1663">
        <v>0</v>
      </c>
      <c r="N13" s="1664"/>
    </row>
    <row r="14" spans="1:104" ht="18.75" customHeight="1" x14ac:dyDescent="0.2">
      <c r="A14" s="3681"/>
      <c r="B14" s="1665" t="s">
        <v>3</v>
      </c>
      <c r="C14" s="590"/>
      <c r="D14" s="835">
        <f t="shared" ref="D14:K14" si="2">D15+D17</f>
        <v>941987</v>
      </c>
      <c r="E14" s="1666">
        <f t="shared" si="2"/>
        <v>7150</v>
      </c>
      <c r="F14" s="1666">
        <f t="shared" si="2"/>
        <v>166570</v>
      </c>
      <c r="G14" s="1666">
        <f t="shared" si="2"/>
        <v>450963</v>
      </c>
      <c r="H14" s="1667">
        <f t="shared" si="2"/>
        <v>317304</v>
      </c>
      <c r="I14" s="1668">
        <f t="shared" si="2"/>
        <v>249981</v>
      </c>
      <c r="J14" s="1669">
        <f>I14/D14*100</f>
        <v>26.537627377023249</v>
      </c>
      <c r="K14" s="1670">
        <f t="shared" si="2"/>
        <v>76261</v>
      </c>
      <c r="L14" s="1669">
        <f>K14/G14*100</f>
        <v>16.910699990908345</v>
      </c>
      <c r="M14" s="1667">
        <f>+K14-G14*0.25</f>
        <v>-36479.75</v>
      </c>
      <c r="N14" s="3679" t="s">
        <v>89</v>
      </c>
    </row>
    <row r="15" spans="1:104" ht="12" customHeight="1" x14ac:dyDescent="0.2">
      <c r="A15" s="3212"/>
      <c r="B15" s="1671" t="s">
        <v>18</v>
      </c>
      <c r="C15" s="3647" t="s">
        <v>89</v>
      </c>
      <c r="D15" s="820">
        <f t="shared" ref="D15:K15" si="3">D16</f>
        <v>141298</v>
      </c>
      <c r="E15" s="1672">
        <f t="shared" si="3"/>
        <v>1073</v>
      </c>
      <c r="F15" s="1672">
        <f t="shared" si="3"/>
        <v>24986</v>
      </c>
      <c r="G15" s="1672">
        <f t="shared" si="3"/>
        <v>67644</v>
      </c>
      <c r="H15" s="1673">
        <f t="shared" si="3"/>
        <v>47595</v>
      </c>
      <c r="I15" s="1674">
        <f t="shared" si="3"/>
        <v>37498</v>
      </c>
      <c r="J15" s="1675">
        <f t="shared" ref="J15:J21" si="4">I15/D15*100</f>
        <v>26.538238333168195</v>
      </c>
      <c r="K15" s="1676">
        <f t="shared" si="3"/>
        <v>11439</v>
      </c>
      <c r="L15" s="1675">
        <f t="shared" ref="L15:L21" si="5">K15/G15*100</f>
        <v>16.91059073975519</v>
      </c>
      <c r="M15" s="1673">
        <f t="shared" ref="M15:M21" si="6">+K15-G15*0.25</f>
        <v>-5472</v>
      </c>
      <c r="N15" s="3679"/>
    </row>
    <row r="16" spans="1:104" ht="15" customHeight="1" x14ac:dyDescent="0.2">
      <c r="A16" s="3212"/>
      <c r="B16" s="1677" t="s">
        <v>5</v>
      </c>
      <c r="C16" s="3648"/>
      <c r="D16" s="824">
        <f t="shared" ref="D16:H16" si="7">D25</f>
        <v>141298</v>
      </c>
      <c r="E16" s="826">
        <f t="shared" si="7"/>
        <v>1073</v>
      </c>
      <c r="F16" s="826">
        <f t="shared" si="7"/>
        <v>24986</v>
      </c>
      <c r="G16" s="826">
        <f t="shared" si="7"/>
        <v>67644</v>
      </c>
      <c r="H16" s="403">
        <f t="shared" si="7"/>
        <v>47595</v>
      </c>
      <c r="I16" s="401">
        <f>I25</f>
        <v>37498</v>
      </c>
      <c r="J16" s="1678">
        <f t="shared" si="4"/>
        <v>26.538238333168195</v>
      </c>
      <c r="K16" s="402">
        <f>K25</f>
        <v>11439</v>
      </c>
      <c r="L16" s="1678">
        <f t="shared" si="5"/>
        <v>16.91059073975519</v>
      </c>
      <c r="M16" s="403">
        <f t="shared" si="6"/>
        <v>-5472</v>
      </c>
      <c r="N16" s="3679"/>
    </row>
    <row r="17" spans="1:14" ht="14.25" customHeight="1" x14ac:dyDescent="0.2">
      <c r="A17" s="3212"/>
      <c r="B17" s="1679" t="s">
        <v>13</v>
      </c>
      <c r="C17" s="3648"/>
      <c r="D17" s="827">
        <f t="shared" ref="D17:K17" si="8">D18</f>
        <v>800689</v>
      </c>
      <c r="E17" s="828">
        <f t="shared" si="8"/>
        <v>6077</v>
      </c>
      <c r="F17" s="828">
        <f t="shared" si="8"/>
        <v>141584</v>
      </c>
      <c r="G17" s="828">
        <f t="shared" si="8"/>
        <v>383319</v>
      </c>
      <c r="H17" s="1680">
        <f t="shared" si="8"/>
        <v>269709</v>
      </c>
      <c r="I17" s="1681">
        <f t="shared" si="8"/>
        <v>212483</v>
      </c>
      <c r="J17" s="1682">
        <f t="shared" si="4"/>
        <v>26.53751956127785</v>
      </c>
      <c r="K17" s="1683">
        <f t="shared" si="8"/>
        <v>64822</v>
      </c>
      <c r="L17" s="1682">
        <f t="shared" si="5"/>
        <v>16.910719270372716</v>
      </c>
      <c r="M17" s="1680">
        <f t="shared" si="6"/>
        <v>-31007.75</v>
      </c>
      <c r="N17" s="3679"/>
    </row>
    <row r="18" spans="1:14" ht="13.5" customHeight="1" x14ac:dyDescent="0.2">
      <c r="A18" s="3212"/>
      <c r="B18" s="1684" t="s">
        <v>15</v>
      </c>
      <c r="C18" s="3649"/>
      <c r="D18" s="831">
        <f t="shared" ref="D18:H18" si="9">D27</f>
        <v>800689</v>
      </c>
      <c r="E18" s="832">
        <f t="shared" si="9"/>
        <v>6077</v>
      </c>
      <c r="F18" s="832">
        <f t="shared" si="9"/>
        <v>141584</v>
      </c>
      <c r="G18" s="832">
        <f t="shared" si="9"/>
        <v>383319</v>
      </c>
      <c r="H18" s="833">
        <f t="shared" si="9"/>
        <v>269709</v>
      </c>
      <c r="I18" s="404">
        <f>I27</f>
        <v>212483</v>
      </c>
      <c r="J18" s="1678">
        <f t="shared" si="4"/>
        <v>26.53751956127785</v>
      </c>
      <c r="K18" s="406">
        <f>K27</f>
        <v>64822</v>
      </c>
      <c r="L18" s="1678">
        <f t="shared" si="5"/>
        <v>16.910719270372716</v>
      </c>
      <c r="M18" s="833">
        <f t="shared" si="6"/>
        <v>-31007.75</v>
      </c>
      <c r="N18" s="3679"/>
    </row>
    <row r="19" spans="1:14" ht="16.5" customHeight="1" x14ac:dyDescent="0.2">
      <c r="A19" s="3212"/>
      <c r="B19" s="1685" t="s">
        <v>17</v>
      </c>
      <c r="C19" s="237"/>
      <c r="D19" s="835">
        <f t="shared" ref="D19:K20" si="10">D20</f>
        <v>800689</v>
      </c>
      <c r="E19" s="1666">
        <f t="shared" si="10"/>
        <v>0</v>
      </c>
      <c r="F19" s="1666">
        <f t="shared" si="10"/>
        <v>0</v>
      </c>
      <c r="G19" s="1666">
        <f t="shared" si="10"/>
        <v>373390</v>
      </c>
      <c r="H19" s="1667">
        <f t="shared" si="10"/>
        <v>427299</v>
      </c>
      <c r="I19" s="1668">
        <f t="shared" si="10"/>
        <v>20349</v>
      </c>
      <c r="J19" s="1669">
        <f>I19/D19*100</f>
        <v>2.5414361880830136</v>
      </c>
      <c r="K19" s="1686">
        <f t="shared" si="10"/>
        <v>20349</v>
      </c>
      <c r="L19" s="1669">
        <f>K19/G19*100</f>
        <v>5.4497977985484347</v>
      </c>
      <c r="M19" s="1667">
        <f t="shared" si="6"/>
        <v>-72998.5</v>
      </c>
      <c r="N19" s="3679"/>
    </row>
    <row r="20" spans="1:14" ht="15" customHeight="1" x14ac:dyDescent="0.2">
      <c r="A20" s="3212"/>
      <c r="B20" s="1687" t="s">
        <v>13</v>
      </c>
      <c r="C20" s="3650" t="s">
        <v>89</v>
      </c>
      <c r="D20" s="839">
        <f t="shared" si="10"/>
        <v>800689</v>
      </c>
      <c r="E20" s="1688">
        <f t="shared" si="10"/>
        <v>0</v>
      </c>
      <c r="F20" s="1688">
        <f t="shared" si="10"/>
        <v>0</v>
      </c>
      <c r="G20" s="1688">
        <f t="shared" si="10"/>
        <v>373390</v>
      </c>
      <c r="H20" s="1689">
        <f t="shared" si="10"/>
        <v>427299</v>
      </c>
      <c r="I20" s="1681">
        <f t="shared" si="10"/>
        <v>20349</v>
      </c>
      <c r="J20" s="1675">
        <f t="shared" si="4"/>
        <v>2.5414361880830136</v>
      </c>
      <c r="K20" s="1690">
        <f t="shared" si="10"/>
        <v>20349</v>
      </c>
      <c r="L20" s="1675">
        <f t="shared" si="5"/>
        <v>5.4497977985484347</v>
      </c>
      <c r="M20" s="1689">
        <f t="shared" si="6"/>
        <v>-72998.5</v>
      </c>
      <c r="N20" s="3679"/>
    </row>
    <row r="21" spans="1:14" ht="15" customHeight="1" thickBot="1" x14ac:dyDescent="0.25">
      <c r="A21" s="3213"/>
      <c r="B21" s="1684" t="s">
        <v>15</v>
      </c>
      <c r="C21" s="3678"/>
      <c r="D21" s="1691">
        <f t="shared" ref="D21:H21" si="11">D30</f>
        <v>800689</v>
      </c>
      <c r="E21" s="844">
        <f t="shared" si="11"/>
        <v>0</v>
      </c>
      <c r="F21" s="844">
        <f t="shared" si="11"/>
        <v>0</v>
      </c>
      <c r="G21" s="844">
        <f>G30</f>
        <v>373390</v>
      </c>
      <c r="H21" s="1692">
        <f t="shared" si="11"/>
        <v>427299</v>
      </c>
      <c r="I21" s="404">
        <f>I30</f>
        <v>20349</v>
      </c>
      <c r="J21" s="1678">
        <f t="shared" si="4"/>
        <v>2.5414361880830136</v>
      </c>
      <c r="K21" s="406">
        <f>K30</f>
        <v>20349</v>
      </c>
      <c r="L21" s="1678">
        <f t="shared" si="5"/>
        <v>5.4497977985484347</v>
      </c>
      <c r="M21" s="1692">
        <f t="shared" si="6"/>
        <v>-72998.5</v>
      </c>
      <c r="N21" s="3680"/>
    </row>
    <row r="22" spans="1:14" ht="39.75" customHeight="1" x14ac:dyDescent="0.2">
      <c r="A22" s="3654" t="s">
        <v>33</v>
      </c>
      <c r="B22" s="1693" t="s">
        <v>334</v>
      </c>
      <c r="C22" s="1216" t="s">
        <v>198</v>
      </c>
      <c r="D22" s="1217"/>
      <c r="E22" s="1218"/>
      <c r="F22" s="1218"/>
      <c r="G22" s="1218"/>
      <c r="H22" s="1434"/>
      <c r="I22" s="1217"/>
      <c r="J22" s="1219"/>
      <c r="K22" s="1224"/>
      <c r="L22" s="1219"/>
      <c r="M22" s="1225"/>
      <c r="N22" s="3347" t="s">
        <v>333</v>
      </c>
    </row>
    <row r="23" spans="1:14" ht="14.25" customHeight="1" x14ac:dyDescent="0.2">
      <c r="A23" s="3366"/>
      <c r="B23" s="1685" t="s">
        <v>3</v>
      </c>
      <c r="C23" s="237"/>
      <c r="D23" s="302">
        <f t="shared" ref="D23:I23" si="12">+D24+D26</f>
        <v>941987</v>
      </c>
      <c r="E23" s="304">
        <f>+E24+E26</f>
        <v>7150</v>
      </c>
      <c r="F23" s="304">
        <f t="shared" si="12"/>
        <v>166570</v>
      </c>
      <c r="G23" s="304">
        <f t="shared" si="12"/>
        <v>450963</v>
      </c>
      <c r="H23" s="1185">
        <f t="shared" si="12"/>
        <v>317304</v>
      </c>
      <c r="I23" s="302">
        <f t="shared" si="12"/>
        <v>249981</v>
      </c>
      <c r="J23" s="1694">
        <f>I23/D23*100</f>
        <v>26.537627377023249</v>
      </c>
      <c r="K23" s="304">
        <f>K24+K26</f>
        <v>76261</v>
      </c>
      <c r="L23" s="1694">
        <f>K23/G23*100</f>
        <v>16.910699990908345</v>
      </c>
      <c r="M23" s="1695">
        <f t="shared" ref="M23:M30" si="13">+K23-G23*0.5</f>
        <v>-149220.5</v>
      </c>
      <c r="N23" s="3348"/>
    </row>
    <row r="24" spans="1:14" ht="14.25" customHeight="1" x14ac:dyDescent="0.2">
      <c r="A24" s="3366"/>
      <c r="B24" s="1696" t="s">
        <v>18</v>
      </c>
      <c r="C24" s="3039" t="s">
        <v>233</v>
      </c>
      <c r="D24" s="296">
        <f t="shared" ref="D24:I24" si="14">+D25</f>
        <v>141298</v>
      </c>
      <c r="E24" s="297">
        <f t="shared" si="14"/>
        <v>1073</v>
      </c>
      <c r="F24" s="1697">
        <f t="shared" si="14"/>
        <v>24986</v>
      </c>
      <c r="G24" s="297">
        <f t="shared" si="14"/>
        <v>67644</v>
      </c>
      <c r="H24" s="1423">
        <f t="shared" si="14"/>
        <v>47595</v>
      </c>
      <c r="I24" s="296">
        <f t="shared" si="14"/>
        <v>37498</v>
      </c>
      <c r="J24" s="1422">
        <f t="shared" ref="J24:J30" si="15">I24/D24*100</f>
        <v>26.538238333168195</v>
      </c>
      <c r="K24" s="1698">
        <f>K25</f>
        <v>11439</v>
      </c>
      <c r="L24" s="1422">
        <f t="shared" ref="L24:L30" si="16">K24/G24*100</f>
        <v>16.91059073975519</v>
      </c>
      <c r="M24" s="1699">
        <f t="shared" si="13"/>
        <v>-22383</v>
      </c>
      <c r="N24" s="3348"/>
    </row>
    <row r="25" spans="1:14" ht="13.5" customHeight="1" x14ac:dyDescent="0.2">
      <c r="A25" s="3366"/>
      <c r="B25" s="1700" t="s">
        <v>5</v>
      </c>
      <c r="C25" s="3100"/>
      <c r="D25" s="1701">
        <f>+E25+F25+G25+H25</f>
        <v>141298</v>
      </c>
      <c r="E25" s="1702">
        <v>1073</v>
      </c>
      <c r="F25" s="1702">
        <v>24986</v>
      </c>
      <c r="G25" s="1702">
        <v>67644</v>
      </c>
      <c r="H25" s="1424">
        <v>47595</v>
      </c>
      <c r="I25" s="1703">
        <f>K25+E25+F25</f>
        <v>37498</v>
      </c>
      <c r="J25" s="1291">
        <f t="shared" si="15"/>
        <v>26.538238333168195</v>
      </c>
      <c r="K25" s="1702">
        <v>11439</v>
      </c>
      <c r="L25" s="1291">
        <f t="shared" si="16"/>
        <v>16.91059073975519</v>
      </c>
      <c r="M25" s="1704">
        <f t="shared" si="13"/>
        <v>-22383</v>
      </c>
      <c r="N25" s="3348"/>
    </row>
    <row r="26" spans="1:14" ht="14.25" customHeight="1" x14ac:dyDescent="0.2">
      <c r="A26" s="3366"/>
      <c r="B26" s="1705" t="s">
        <v>13</v>
      </c>
      <c r="C26" s="3100"/>
      <c r="D26" s="282">
        <f t="shared" ref="D26:I26" si="17">+D27</f>
        <v>800689</v>
      </c>
      <c r="E26" s="1706">
        <f t="shared" si="17"/>
        <v>6077</v>
      </c>
      <c r="F26" s="1707">
        <f t="shared" si="17"/>
        <v>141584</v>
      </c>
      <c r="G26" s="1706">
        <f t="shared" si="17"/>
        <v>383319</v>
      </c>
      <c r="H26" s="1425">
        <f t="shared" si="17"/>
        <v>269709</v>
      </c>
      <c r="I26" s="282">
        <f t="shared" si="17"/>
        <v>212483</v>
      </c>
      <c r="J26" s="1256">
        <f t="shared" si="15"/>
        <v>26.53751956127785</v>
      </c>
      <c r="K26" s="1707">
        <f>K27</f>
        <v>64822</v>
      </c>
      <c r="L26" s="1256">
        <f t="shared" si="16"/>
        <v>16.910719270372716</v>
      </c>
      <c r="M26" s="1708">
        <f t="shared" si="13"/>
        <v>-126837.5</v>
      </c>
      <c r="N26" s="3348"/>
    </row>
    <row r="27" spans="1:14" ht="13.5" customHeight="1" x14ac:dyDescent="0.2">
      <c r="A27" s="3366"/>
      <c r="B27" s="1709" t="s">
        <v>15</v>
      </c>
      <c r="C27" s="3100"/>
      <c r="D27" s="1701">
        <f>+E27+F27+G27+H27</f>
        <v>800689</v>
      </c>
      <c r="E27" s="1702">
        <v>6077</v>
      </c>
      <c r="F27" s="1702">
        <v>141584</v>
      </c>
      <c r="G27" s="1702">
        <v>383319</v>
      </c>
      <c r="H27" s="1424">
        <v>269709</v>
      </c>
      <c r="I27" s="1703">
        <f>K27+E27+F27</f>
        <v>212483</v>
      </c>
      <c r="J27" s="1291">
        <f t="shared" si="15"/>
        <v>26.53751956127785</v>
      </c>
      <c r="K27" s="1702">
        <v>64822</v>
      </c>
      <c r="L27" s="1291">
        <f t="shared" si="16"/>
        <v>16.910719270372716</v>
      </c>
      <c r="M27" s="1704">
        <f t="shared" si="13"/>
        <v>-126837.5</v>
      </c>
      <c r="N27" s="3348"/>
    </row>
    <row r="28" spans="1:14" ht="18.75" customHeight="1" x14ac:dyDescent="0.2">
      <c r="A28" s="3366"/>
      <c r="B28" s="1685" t="s">
        <v>17</v>
      </c>
      <c r="C28" s="237"/>
      <c r="D28" s="302">
        <f>+D29</f>
        <v>800689</v>
      </c>
      <c r="E28" s="303">
        <f t="shared" ref="E28:H29" si="18">+E29</f>
        <v>0</v>
      </c>
      <c r="F28" s="303">
        <f t="shared" si="18"/>
        <v>0</v>
      </c>
      <c r="G28" s="304">
        <f t="shared" si="18"/>
        <v>373390</v>
      </c>
      <c r="H28" s="1695">
        <f t="shared" si="18"/>
        <v>427299</v>
      </c>
      <c r="I28" s="302">
        <f>I29</f>
        <v>20349</v>
      </c>
      <c r="J28" s="1694">
        <f t="shared" si="15"/>
        <v>2.5414361880830136</v>
      </c>
      <c r="K28" s="304">
        <f>K29</f>
        <v>20349</v>
      </c>
      <c r="L28" s="1694">
        <f t="shared" si="16"/>
        <v>5.4497977985484347</v>
      </c>
      <c r="M28" s="1695">
        <f t="shared" si="13"/>
        <v>-166346</v>
      </c>
      <c r="N28" s="3348"/>
    </row>
    <row r="29" spans="1:14" ht="12.75" customHeight="1" x14ac:dyDescent="0.2">
      <c r="A29" s="3366"/>
      <c r="B29" s="1705" t="s">
        <v>13</v>
      </c>
      <c r="C29" s="3122" t="s">
        <v>234</v>
      </c>
      <c r="D29" s="282">
        <f>+D30</f>
        <v>800689</v>
      </c>
      <c r="E29" s="284">
        <f t="shared" si="18"/>
        <v>0</v>
      </c>
      <c r="F29" s="284">
        <f t="shared" si="18"/>
        <v>0</v>
      </c>
      <c r="G29" s="283">
        <f t="shared" si="18"/>
        <v>373390</v>
      </c>
      <c r="H29" s="1708">
        <f t="shared" si="18"/>
        <v>427299</v>
      </c>
      <c r="I29" s="296">
        <f>I30</f>
        <v>20349</v>
      </c>
      <c r="J29" s="1422">
        <f t="shared" si="15"/>
        <v>2.5414361880830136</v>
      </c>
      <c r="K29" s="1698">
        <f>K30</f>
        <v>20349</v>
      </c>
      <c r="L29" s="1422">
        <f t="shared" si="16"/>
        <v>5.4497977985484347</v>
      </c>
      <c r="M29" s="1699">
        <f t="shared" si="13"/>
        <v>-166346</v>
      </c>
      <c r="N29" s="3348"/>
    </row>
    <row r="30" spans="1:14" ht="15.75" customHeight="1" thickBot="1" x14ac:dyDescent="0.25">
      <c r="A30" s="3367"/>
      <c r="B30" s="1710" t="s">
        <v>15</v>
      </c>
      <c r="C30" s="3043"/>
      <c r="D30" s="1711">
        <f>+E30+F30+G30+H30</f>
        <v>800689</v>
      </c>
      <c r="E30" s="288">
        <v>0</v>
      </c>
      <c r="F30" s="288">
        <v>0</v>
      </c>
      <c r="G30" s="1712">
        <v>373390</v>
      </c>
      <c r="H30" s="1713">
        <f>294629+132670</f>
        <v>427299</v>
      </c>
      <c r="I30" s="641">
        <f>K30+E30+F30</f>
        <v>20349</v>
      </c>
      <c r="J30" s="290">
        <f t="shared" si="15"/>
        <v>2.5414361880830136</v>
      </c>
      <c r="K30" s="1712">
        <v>20349</v>
      </c>
      <c r="L30" s="290">
        <f t="shared" si="16"/>
        <v>5.4497977985484347</v>
      </c>
      <c r="M30" s="1714">
        <f t="shared" si="13"/>
        <v>-166346</v>
      </c>
      <c r="N30" s="3359"/>
    </row>
    <row r="31" spans="1:14" x14ac:dyDescent="0.2">
      <c r="A31" s="603"/>
      <c r="B31" s="552"/>
      <c r="C31" s="552"/>
      <c r="D31" s="552"/>
      <c r="E31" s="552"/>
      <c r="F31" s="552"/>
      <c r="G31" s="552"/>
      <c r="H31" s="552"/>
      <c r="I31" s="552"/>
      <c r="J31" s="552"/>
      <c r="N31" s="604"/>
    </row>
    <row r="32" spans="1:14" x14ac:dyDescent="0.2">
      <c r="A32" s="603"/>
      <c r="B32" s="552"/>
      <c r="C32" s="552"/>
      <c r="D32" s="552"/>
      <c r="E32" s="552"/>
      <c r="F32" s="552"/>
      <c r="G32" s="552"/>
      <c r="H32" s="552"/>
      <c r="I32" s="552"/>
      <c r="J32" s="552"/>
      <c r="N32" s="599"/>
    </row>
    <row r="33" spans="1:14" ht="12" thickBot="1" x14ac:dyDescent="0.25">
      <c r="A33" s="603"/>
      <c r="B33" s="552"/>
      <c r="C33" s="552"/>
      <c r="D33" s="552"/>
      <c r="E33" s="552"/>
      <c r="F33" s="552"/>
      <c r="G33" s="552"/>
      <c r="H33" s="552"/>
      <c r="I33" s="552"/>
      <c r="J33" s="552"/>
      <c r="N33" s="599"/>
    </row>
    <row r="34" spans="1:14" x14ac:dyDescent="0.2">
      <c r="A34" s="600"/>
      <c r="B34" s="552"/>
      <c r="C34" s="552"/>
      <c r="D34" s="552"/>
      <c r="E34" s="552"/>
      <c r="F34" s="552"/>
      <c r="G34" s="552"/>
      <c r="H34" s="552"/>
      <c r="I34" s="552"/>
      <c r="J34" s="552"/>
      <c r="N34" s="599"/>
    </row>
    <row r="35" spans="1:14" x14ac:dyDescent="0.2">
      <c r="A35" s="603"/>
      <c r="B35" s="552"/>
      <c r="C35" s="552"/>
      <c r="D35" s="552"/>
      <c r="E35" s="552"/>
      <c r="F35" s="552"/>
      <c r="G35" s="552"/>
      <c r="H35" s="552"/>
      <c r="I35" s="552"/>
      <c r="J35" s="552"/>
      <c r="N35" s="599"/>
    </row>
    <row r="36" spans="1:14" ht="12" thickBot="1" x14ac:dyDescent="0.25">
      <c r="A36" s="603"/>
      <c r="B36" s="552"/>
      <c r="C36" s="552"/>
      <c r="D36" s="552"/>
      <c r="E36" s="552"/>
      <c r="F36" s="552"/>
      <c r="G36" s="552"/>
      <c r="H36" s="552"/>
      <c r="I36" s="552"/>
      <c r="J36" s="552"/>
      <c r="N36" s="599"/>
    </row>
    <row r="37" spans="1:14" x14ac:dyDescent="0.2">
      <c r="A37" s="600"/>
      <c r="B37" s="552"/>
      <c r="C37" s="552"/>
      <c r="D37" s="552"/>
      <c r="E37" s="552"/>
      <c r="F37" s="552"/>
      <c r="G37" s="552"/>
      <c r="H37" s="552"/>
      <c r="I37" s="552"/>
      <c r="J37" s="552"/>
      <c r="N37" s="599"/>
    </row>
    <row r="38" spans="1:14" x14ac:dyDescent="0.2">
      <c r="A38" s="603"/>
      <c r="B38" s="552"/>
      <c r="C38" s="552"/>
      <c r="D38" s="552"/>
      <c r="E38" s="552"/>
      <c r="F38" s="552"/>
      <c r="G38" s="552"/>
      <c r="H38" s="552"/>
      <c r="I38" s="552"/>
      <c r="J38" s="552"/>
      <c r="N38" s="599"/>
    </row>
    <row r="39" spans="1:14" ht="12" thickBot="1" x14ac:dyDescent="0.25">
      <c r="A39" s="603"/>
      <c r="B39" s="552"/>
      <c r="C39" s="552"/>
      <c r="D39" s="552"/>
      <c r="E39" s="552"/>
      <c r="F39" s="552"/>
      <c r="G39" s="552"/>
      <c r="H39" s="552"/>
      <c r="I39" s="552"/>
      <c r="J39" s="552"/>
      <c r="N39" s="599"/>
    </row>
    <row r="40" spans="1:14" ht="12" thickBot="1" x14ac:dyDescent="0.25">
      <c r="A40" s="1327"/>
      <c r="B40" s="552"/>
      <c r="C40" s="552"/>
      <c r="D40" s="552"/>
      <c r="E40" s="552"/>
      <c r="F40" s="552"/>
      <c r="G40" s="552"/>
      <c r="H40" s="552"/>
      <c r="I40" s="552"/>
      <c r="J40" s="552"/>
      <c r="N40" s="599"/>
    </row>
    <row r="41" spans="1:14" ht="12" thickBot="1" x14ac:dyDescent="0.25">
      <c r="A41" s="1327"/>
      <c r="B41" s="552"/>
      <c r="C41" s="552"/>
      <c r="D41" s="552"/>
      <c r="E41" s="552"/>
      <c r="F41" s="552"/>
      <c r="G41" s="552"/>
      <c r="H41" s="552"/>
      <c r="I41" s="552"/>
      <c r="J41" s="552"/>
      <c r="N41" s="599"/>
    </row>
    <row r="42" spans="1:14" x14ac:dyDescent="0.2">
      <c r="A42" s="603"/>
      <c r="B42" s="552"/>
      <c r="C42" s="552"/>
      <c r="D42" s="552"/>
      <c r="E42" s="552"/>
      <c r="F42" s="552"/>
      <c r="G42" s="552"/>
      <c r="H42" s="552"/>
      <c r="I42" s="552"/>
      <c r="J42" s="552"/>
      <c r="N42" s="599"/>
    </row>
    <row r="43" spans="1:14" ht="12" thickBot="1" x14ac:dyDescent="0.25">
      <c r="A43" s="603"/>
      <c r="B43" s="552"/>
      <c r="C43" s="552"/>
      <c r="D43" s="552"/>
      <c r="E43" s="552"/>
      <c r="F43" s="552"/>
      <c r="G43" s="552"/>
      <c r="H43" s="552"/>
      <c r="I43" s="552"/>
      <c r="J43" s="552"/>
      <c r="N43" s="599"/>
    </row>
    <row r="44" spans="1:14" ht="15" x14ac:dyDescent="0.2">
      <c r="A44" s="600"/>
      <c r="B44" s="552"/>
      <c r="C44" s="552"/>
      <c r="D44" s="552"/>
      <c r="E44" s="552"/>
      <c r="F44" s="552"/>
      <c r="G44" s="552"/>
      <c r="H44" s="552"/>
      <c r="I44" s="552"/>
      <c r="J44" s="552"/>
      <c r="L44" s="388"/>
      <c r="N44" s="599"/>
    </row>
    <row r="45" spans="1:14" ht="12.75" customHeight="1" x14ac:dyDescent="0.2">
      <c r="A45" s="603"/>
      <c r="B45" s="552"/>
      <c r="C45" s="552"/>
      <c r="D45" s="552"/>
      <c r="E45" s="552"/>
      <c r="F45" s="552"/>
      <c r="G45" s="552"/>
      <c r="H45" s="552"/>
      <c r="I45" s="552"/>
      <c r="J45" s="552"/>
      <c r="L45" s="1518"/>
      <c r="N45" s="599"/>
    </row>
    <row r="46" spans="1:14" ht="12.75" customHeight="1" x14ac:dyDescent="0.2">
      <c r="A46" s="603"/>
      <c r="B46" s="552"/>
      <c r="C46" s="552"/>
      <c r="D46" s="552"/>
      <c r="E46" s="552"/>
      <c r="F46" s="552"/>
      <c r="G46" s="552"/>
      <c r="H46" s="552"/>
      <c r="I46" s="552"/>
      <c r="J46" s="552"/>
      <c r="L46" s="3677" t="s">
        <v>305</v>
      </c>
      <c r="N46" s="599"/>
    </row>
    <row r="47" spans="1:14" ht="13.5" customHeight="1" thickBot="1" x14ac:dyDescent="0.25">
      <c r="A47" s="605"/>
      <c r="B47" s="552"/>
      <c r="C47" s="552"/>
      <c r="D47" s="552"/>
      <c r="E47" s="552"/>
      <c r="F47" s="552"/>
      <c r="G47" s="552"/>
      <c r="H47" s="552"/>
      <c r="I47" s="552"/>
      <c r="J47" s="552"/>
      <c r="L47" s="3677"/>
      <c r="N47" s="599"/>
    </row>
    <row r="48" spans="1:14" x14ac:dyDescent="0.2">
      <c r="A48" s="603"/>
      <c r="B48" s="552"/>
      <c r="C48" s="552"/>
      <c r="D48" s="552"/>
      <c r="E48" s="552"/>
      <c r="F48" s="552"/>
      <c r="G48" s="552"/>
      <c r="H48" s="552"/>
      <c r="I48" s="552"/>
      <c r="J48" s="552"/>
      <c r="N48" s="599"/>
    </row>
    <row r="49" spans="1:14" ht="12" thickBot="1" x14ac:dyDescent="0.25">
      <c r="A49" s="605"/>
      <c r="B49" s="552"/>
      <c r="C49" s="552"/>
      <c r="D49" s="552"/>
      <c r="E49" s="552"/>
      <c r="F49" s="552"/>
      <c r="G49" s="552"/>
      <c r="H49" s="552"/>
      <c r="I49" s="552"/>
      <c r="J49" s="552"/>
      <c r="N49" s="599"/>
    </row>
    <row r="50" spans="1:14" x14ac:dyDescent="0.2">
      <c r="A50" s="600"/>
      <c r="B50" s="552"/>
      <c r="C50" s="552"/>
      <c r="D50" s="552"/>
      <c r="E50" s="552"/>
      <c r="F50" s="552"/>
      <c r="G50" s="552"/>
      <c r="H50" s="552"/>
      <c r="I50" s="552"/>
      <c r="J50" s="552"/>
      <c r="N50" s="599"/>
    </row>
    <row r="51" spans="1:14" x14ac:dyDescent="0.2">
      <c r="A51" s="603"/>
      <c r="B51" s="552"/>
      <c r="C51" s="552"/>
      <c r="D51" s="552"/>
      <c r="E51" s="552"/>
      <c r="F51" s="552"/>
      <c r="G51" s="552"/>
      <c r="H51" s="552"/>
      <c r="I51" s="552"/>
      <c r="J51" s="552"/>
      <c r="N51" s="599"/>
    </row>
    <row r="52" spans="1:14" x14ac:dyDescent="0.2">
      <c r="A52" s="603"/>
      <c r="B52" s="552"/>
      <c r="C52" s="552"/>
      <c r="D52" s="552"/>
      <c r="E52" s="552"/>
      <c r="F52" s="552"/>
      <c r="G52" s="552"/>
      <c r="H52" s="552"/>
      <c r="I52" s="552"/>
      <c r="J52" s="552"/>
      <c r="N52" s="599"/>
    </row>
    <row r="53" spans="1:14" x14ac:dyDescent="0.2">
      <c r="A53" s="603"/>
      <c r="B53" s="552"/>
      <c r="C53" s="552"/>
      <c r="D53" s="552"/>
      <c r="E53" s="552"/>
      <c r="F53" s="552"/>
      <c r="G53" s="552"/>
      <c r="H53" s="552"/>
      <c r="I53" s="552"/>
      <c r="J53" s="552"/>
      <c r="N53" s="599"/>
    </row>
    <row r="54" spans="1:14" x14ac:dyDescent="0.2">
      <c r="A54" s="603"/>
      <c r="B54" s="552"/>
      <c r="C54" s="552"/>
      <c r="D54" s="552"/>
      <c r="E54" s="552"/>
      <c r="F54" s="552"/>
      <c r="G54" s="552"/>
      <c r="H54" s="552"/>
      <c r="I54" s="552"/>
      <c r="J54" s="552"/>
      <c r="N54" s="599"/>
    </row>
    <row r="55" spans="1:14" x14ac:dyDescent="0.2">
      <c r="A55" s="603"/>
      <c r="B55" s="552"/>
      <c r="C55" s="552"/>
      <c r="D55" s="552"/>
      <c r="E55" s="552"/>
      <c r="F55" s="552"/>
      <c r="G55" s="552"/>
      <c r="H55" s="552"/>
      <c r="I55" s="552"/>
      <c r="J55" s="552"/>
      <c r="N55" s="599"/>
    </row>
    <row r="56" spans="1:14" x14ac:dyDescent="0.2">
      <c r="A56" s="603"/>
      <c r="B56" s="552"/>
      <c r="C56" s="552"/>
      <c r="D56" s="552"/>
      <c r="E56" s="552"/>
      <c r="F56" s="552"/>
      <c r="G56" s="552"/>
      <c r="H56" s="552"/>
      <c r="I56" s="552"/>
      <c r="J56" s="552"/>
      <c r="N56" s="599"/>
    </row>
    <row r="57" spans="1:14" x14ac:dyDescent="0.2">
      <c r="A57" s="603"/>
      <c r="B57" s="552"/>
      <c r="C57" s="552"/>
      <c r="D57" s="552"/>
      <c r="E57" s="552"/>
      <c r="F57" s="552"/>
      <c r="G57" s="552"/>
      <c r="H57" s="552"/>
      <c r="I57" s="552"/>
      <c r="J57" s="552"/>
      <c r="N57" s="599"/>
    </row>
    <row r="58" spans="1:14" x14ac:dyDescent="0.2">
      <c r="A58" s="603"/>
      <c r="B58" s="552"/>
      <c r="C58" s="552"/>
      <c r="D58" s="552"/>
      <c r="E58" s="552"/>
      <c r="F58" s="552"/>
      <c r="G58" s="552"/>
      <c r="H58" s="552"/>
      <c r="I58" s="552"/>
      <c r="J58" s="552"/>
      <c r="N58" s="599"/>
    </row>
    <row r="59" spans="1:14" ht="12" thickBot="1" x14ac:dyDescent="0.25">
      <c r="A59" s="603"/>
      <c r="B59" s="552"/>
      <c r="C59" s="552"/>
      <c r="D59" s="552"/>
      <c r="E59" s="552"/>
      <c r="F59" s="552"/>
      <c r="G59" s="552"/>
      <c r="H59" s="552"/>
      <c r="I59" s="552"/>
      <c r="J59" s="552"/>
      <c r="N59" s="599"/>
    </row>
    <row r="60" spans="1:14" x14ac:dyDescent="0.2">
      <c r="A60" s="603"/>
      <c r="B60" s="552"/>
      <c r="C60" s="1041"/>
      <c r="D60" s="601"/>
      <c r="E60" s="601"/>
      <c r="F60" s="601"/>
      <c r="G60" s="939"/>
      <c r="H60" s="552"/>
      <c r="I60" s="552"/>
      <c r="J60" s="552"/>
      <c r="K60" s="608"/>
      <c r="N60" s="599"/>
    </row>
    <row r="61" spans="1:14" x14ac:dyDescent="0.2">
      <c r="A61" s="603"/>
      <c r="B61" s="552"/>
      <c r="C61" s="2719"/>
      <c r="D61" s="552"/>
      <c r="E61" s="552"/>
      <c r="F61" s="552"/>
      <c r="G61" s="608"/>
      <c r="H61" s="552"/>
      <c r="I61" s="552"/>
      <c r="J61" s="552"/>
      <c r="K61" s="608"/>
      <c r="N61" s="599"/>
    </row>
    <row r="62" spans="1:14" x14ac:dyDescent="0.2">
      <c r="A62" s="603"/>
      <c r="B62" s="552"/>
      <c r="C62" s="2719"/>
      <c r="D62" s="552"/>
      <c r="E62" s="552"/>
      <c r="F62" s="552"/>
      <c r="G62" s="608"/>
      <c r="H62" s="552"/>
      <c r="I62" s="552"/>
      <c r="J62" s="552"/>
      <c r="K62" s="608"/>
      <c r="N62" s="599"/>
    </row>
    <row r="63" spans="1:14" x14ac:dyDescent="0.2">
      <c r="A63" s="603"/>
      <c r="B63" s="552"/>
      <c r="C63" s="2720"/>
      <c r="D63" s="552"/>
      <c r="E63" s="552"/>
      <c r="F63" s="552"/>
      <c r="G63" s="608"/>
      <c r="H63" s="552"/>
      <c r="I63" s="552"/>
      <c r="J63" s="552"/>
      <c r="K63" s="608"/>
      <c r="N63" s="599"/>
    </row>
    <row r="64" spans="1:14" x14ac:dyDescent="0.2">
      <c r="A64" s="603"/>
      <c r="B64" s="552"/>
      <c r="C64" s="2719"/>
      <c r="D64" s="552"/>
      <c r="E64" s="552"/>
      <c r="F64" s="552"/>
      <c r="G64" s="608"/>
      <c r="H64" s="552"/>
      <c r="I64" s="552"/>
      <c r="J64" s="552"/>
      <c r="K64" s="608"/>
      <c r="N64" s="599"/>
    </row>
    <row r="65" spans="1:14" x14ac:dyDescent="0.2">
      <c r="A65" s="603"/>
      <c r="B65" s="552"/>
      <c r="C65" s="2719"/>
      <c r="D65" s="552"/>
      <c r="E65" s="552"/>
      <c r="F65" s="552"/>
      <c r="G65" s="608"/>
      <c r="H65" s="552"/>
      <c r="I65" s="552"/>
      <c r="J65" s="552"/>
      <c r="K65" s="608"/>
      <c r="N65" s="599"/>
    </row>
    <row r="66" spans="1:14" x14ac:dyDescent="0.2">
      <c r="A66" s="603"/>
      <c r="B66" s="552"/>
      <c r="C66" s="2719"/>
      <c r="D66" s="552"/>
      <c r="E66" s="552"/>
      <c r="F66" s="552"/>
      <c r="G66" s="608"/>
      <c r="H66" s="552"/>
      <c r="I66" s="552"/>
      <c r="J66" s="552"/>
      <c r="N66" s="599"/>
    </row>
    <row r="67" spans="1:14" x14ac:dyDescent="0.2">
      <c r="A67" s="603"/>
      <c r="B67" s="552"/>
      <c r="C67" s="2719"/>
      <c r="D67" s="552"/>
      <c r="E67" s="552"/>
      <c r="F67" s="552"/>
      <c r="G67" s="608"/>
      <c r="H67" s="552"/>
      <c r="I67" s="552"/>
      <c r="J67" s="552"/>
      <c r="N67" s="599"/>
    </row>
    <row r="68" spans="1:14" x14ac:dyDescent="0.2">
      <c r="A68" s="603"/>
      <c r="B68" s="552"/>
      <c r="C68" s="2719"/>
      <c r="D68" s="552"/>
      <c r="E68" s="552"/>
      <c r="F68" s="552"/>
      <c r="G68" s="608"/>
      <c r="H68" s="552"/>
      <c r="I68" s="552"/>
      <c r="J68" s="552"/>
      <c r="N68" s="599"/>
    </row>
    <row r="69" spans="1:14" x14ac:dyDescent="0.2">
      <c r="A69" s="603"/>
      <c r="B69" s="552"/>
      <c r="C69" s="2719"/>
      <c r="D69" s="552"/>
      <c r="E69" s="552"/>
      <c r="F69" s="552"/>
      <c r="G69" s="608"/>
      <c r="H69" s="552"/>
      <c r="I69" s="552"/>
      <c r="J69" s="552"/>
      <c r="N69" s="599"/>
    </row>
    <row r="70" spans="1:14" x14ac:dyDescent="0.2">
      <c r="A70" s="603"/>
      <c r="B70" s="552"/>
      <c r="C70" s="2719"/>
      <c r="D70" s="552"/>
      <c r="E70" s="552"/>
      <c r="F70" s="552"/>
      <c r="G70" s="608"/>
      <c r="H70" s="552"/>
      <c r="I70" s="552"/>
      <c r="J70" s="552"/>
      <c r="N70" s="599"/>
    </row>
    <row r="71" spans="1:14" ht="12" thickBot="1" x14ac:dyDescent="0.25">
      <c r="A71" s="603"/>
      <c r="B71" s="552"/>
      <c r="C71" s="2721"/>
      <c r="D71" s="606"/>
      <c r="E71" s="606"/>
      <c r="F71" s="606"/>
      <c r="G71" s="940"/>
      <c r="H71" s="552"/>
      <c r="I71" s="552"/>
      <c r="J71" s="552"/>
      <c r="N71" s="599"/>
    </row>
    <row r="72" spans="1:14" x14ac:dyDescent="0.2">
      <c r="A72" s="603"/>
      <c r="B72" s="552"/>
      <c r="C72" s="552"/>
      <c r="D72" s="552"/>
      <c r="E72" s="552"/>
      <c r="F72" s="552"/>
      <c r="G72" s="552"/>
      <c r="H72" s="552"/>
      <c r="I72" s="552"/>
      <c r="J72" s="552"/>
      <c r="N72" s="599"/>
    </row>
    <row r="73" spans="1:14" ht="12" thickBot="1" x14ac:dyDescent="0.25">
      <c r="A73" s="603"/>
      <c r="B73" s="552"/>
      <c r="C73" s="552"/>
      <c r="D73" s="552"/>
      <c r="E73" s="552"/>
      <c r="F73" s="552"/>
      <c r="G73" s="552"/>
      <c r="H73" s="552"/>
      <c r="I73" s="552"/>
      <c r="J73" s="552"/>
      <c r="N73" s="599"/>
    </row>
    <row r="74" spans="1:14" x14ac:dyDescent="0.2">
      <c r="A74" s="600"/>
      <c r="B74" s="552"/>
      <c r="C74" s="552"/>
      <c r="D74" s="552"/>
      <c r="E74" s="552"/>
      <c r="F74" s="552"/>
      <c r="G74" s="552"/>
      <c r="H74" s="552"/>
      <c r="I74" s="552"/>
      <c r="J74" s="552"/>
      <c r="N74" s="599"/>
    </row>
    <row r="75" spans="1:14" ht="12" thickBot="1" x14ac:dyDescent="0.25">
      <c r="A75" s="605"/>
      <c r="B75" s="552"/>
      <c r="C75" s="552"/>
      <c r="D75" s="552"/>
      <c r="E75" s="552"/>
      <c r="F75" s="552"/>
      <c r="G75" s="552"/>
      <c r="H75" s="552"/>
      <c r="I75" s="552"/>
      <c r="J75" s="552"/>
      <c r="N75" s="599"/>
    </row>
    <row r="76" spans="1:14" x14ac:dyDescent="0.2">
      <c r="A76" s="603"/>
      <c r="B76" s="552"/>
      <c r="C76" s="552"/>
      <c r="D76" s="552"/>
      <c r="E76" s="552"/>
      <c r="F76" s="552"/>
      <c r="G76" s="552"/>
      <c r="H76" s="552"/>
      <c r="I76" s="552"/>
      <c r="J76" s="552"/>
      <c r="N76" s="599"/>
    </row>
    <row r="77" spans="1:14" ht="12" thickBot="1" x14ac:dyDescent="0.25">
      <c r="A77" s="603"/>
      <c r="B77" s="552"/>
      <c r="C77" s="552"/>
      <c r="D77" s="552"/>
      <c r="E77" s="552"/>
      <c r="F77" s="552"/>
      <c r="G77" s="552"/>
      <c r="H77" s="552"/>
      <c r="I77" s="552"/>
      <c r="J77" s="552"/>
      <c r="N77" s="599"/>
    </row>
    <row r="78" spans="1:14" x14ac:dyDescent="0.2">
      <c r="A78" s="600"/>
      <c r="B78" s="552"/>
      <c r="C78" s="552"/>
      <c r="D78" s="552"/>
      <c r="E78" s="552"/>
      <c r="F78" s="552"/>
      <c r="G78" s="552"/>
      <c r="H78" s="552"/>
      <c r="I78" s="552"/>
      <c r="J78" s="552"/>
      <c r="N78" s="599"/>
    </row>
    <row r="79" spans="1:14" ht="12" thickBot="1" x14ac:dyDescent="0.25">
      <c r="A79" s="603"/>
      <c r="B79" s="552"/>
      <c r="C79" s="552"/>
      <c r="D79" s="552"/>
      <c r="E79" s="552"/>
      <c r="F79" s="552"/>
      <c r="G79" s="552"/>
      <c r="H79" s="552"/>
      <c r="I79" s="552"/>
      <c r="J79" s="552"/>
      <c r="N79" s="599"/>
    </row>
    <row r="80" spans="1:14" ht="12" thickBot="1" x14ac:dyDescent="0.25">
      <c r="A80" s="1327"/>
      <c r="B80" s="552"/>
      <c r="C80" s="552"/>
      <c r="D80" s="552"/>
      <c r="E80" s="552"/>
      <c r="F80" s="552"/>
      <c r="G80" s="552"/>
      <c r="H80" s="552"/>
      <c r="I80" s="552"/>
      <c r="J80" s="552"/>
      <c r="N80" s="599"/>
    </row>
    <row r="81" spans="1:14" x14ac:dyDescent="0.2">
      <c r="A81" s="603"/>
      <c r="B81" s="552"/>
      <c r="C81" s="552"/>
      <c r="D81" s="552"/>
      <c r="E81" s="552"/>
      <c r="F81" s="552"/>
      <c r="G81" s="552"/>
      <c r="H81" s="552"/>
      <c r="I81" s="552"/>
      <c r="J81" s="552"/>
      <c r="N81" s="599"/>
    </row>
    <row r="82" spans="1:14" x14ac:dyDescent="0.2">
      <c r="A82" s="603"/>
      <c r="B82" s="552"/>
      <c r="C82" s="552"/>
      <c r="D82" s="552"/>
      <c r="E82" s="552"/>
      <c r="F82" s="552"/>
      <c r="G82" s="552"/>
      <c r="H82" s="552"/>
      <c r="I82" s="552"/>
      <c r="J82" s="552"/>
      <c r="N82" s="599"/>
    </row>
    <row r="83" spans="1:14" ht="12" thickBot="1" x14ac:dyDescent="0.25">
      <c r="A83" s="605"/>
      <c r="B83" s="552"/>
      <c r="C83" s="552"/>
      <c r="D83" s="552"/>
      <c r="E83" s="552"/>
      <c r="F83" s="552"/>
      <c r="G83" s="552"/>
      <c r="H83" s="552"/>
      <c r="I83" s="552"/>
      <c r="J83" s="552"/>
      <c r="N83" s="599"/>
    </row>
    <row r="84" spans="1:14" x14ac:dyDescent="0.2">
      <c r="A84" s="600"/>
      <c r="B84" s="552"/>
      <c r="C84" s="552"/>
      <c r="D84" s="552"/>
      <c r="E84" s="552"/>
      <c r="F84" s="552"/>
      <c r="G84" s="552"/>
      <c r="H84" s="552"/>
      <c r="I84" s="552"/>
      <c r="J84" s="552"/>
      <c r="N84" s="599"/>
    </row>
    <row r="85" spans="1:14" x14ac:dyDescent="0.2">
      <c r="A85" s="603"/>
      <c r="B85" s="552"/>
      <c r="C85" s="552"/>
      <c r="D85" s="552"/>
      <c r="E85" s="552"/>
      <c r="F85" s="552"/>
      <c r="G85" s="552"/>
      <c r="H85" s="552"/>
      <c r="I85" s="552"/>
      <c r="J85" s="552"/>
      <c r="N85" s="599"/>
    </row>
    <row r="86" spans="1:14" x14ac:dyDescent="0.2">
      <c r="A86" s="603"/>
      <c r="B86" s="552"/>
      <c r="C86" s="552"/>
      <c r="D86" s="552"/>
      <c r="E86" s="552"/>
      <c r="F86" s="552"/>
      <c r="G86" s="552"/>
      <c r="H86" s="552"/>
      <c r="I86" s="552"/>
      <c r="J86" s="552"/>
      <c r="N86" s="599"/>
    </row>
    <row r="87" spans="1:14" x14ac:dyDescent="0.2">
      <c r="A87" s="603"/>
      <c r="B87" s="552"/>
      <c r="C87" s="552"/>
      <c r="D87" s="552"/>
      <c r="E87" s="552"/>
      <c r="F87" s="552"/>
      <c r="G87" s="552"/>
      <c r="H87" s="552"/>
      <c r="I87" s="552"/>
      <c r="J87" s="552"/>
      <c r="N87" s="599"/>
    </row>
    <row r="88" spans="1:14" x14ac:dyDescent="0.2">
      <c r="A88" s="603"/>
      <c r="B88" s="552"/>
      <c r="C88" s="552"/>
      <c r="D88" s="552"/>
      <c r="E88" s="552"/>
      <c r="F88" s="552"/>
      <c r="G88" s="552"/>
      <c r="H88" s="552"/>
      <c r="I88" s="552"/>
      <c r="J88" s="552"/>
      <c r="N88" s="599"/>
    </row>
    <row r="89" spans="1:14" x14ac:dyDescent="0.2">
      <c r="A89" s="603"/>
      <c r="B89" s="552"/>
      <c r="C89" s="552"/>
      <c r="D89" s="552"/>
      <c r="E89" s="552"/>
      <c r="F89" s="552"/>
      <c r="G89" s="552"/>
      <c r="H89" s="552"/>
      <c r="I89" s="552"/>
      <c r="J89" s="552"/>
      <c r="N89" s="599"/>
    </row>
    <row r="90" spans="1:14" x14ac:dyDescent="0.2">
      <c r="A90" s="603"/>
      <c r="B90" s="552"/>
      <c r="C90" s="552"/>
      <c r="D90" s="552"/>
      <c r="E90" s="552"/>
      <c r="F90" s="552"/>
      <c r="G90" s="552"/>
      <c r="H90" s="552"/>
      <c r="I90" s="552"/>
      <c r="J90" s="552"/>
      <c r="N90" s="599"/>
    </row>
    <row r="91" spans="1:14" x14ac:dyDescent="0.2">
      <c r="A91" s="603"/>
      <c r="B91" s="552"/>
      <c r="C91" s="552"/>
      <c r="D91" s="552"/>
      <c r="E91" s="552"/>
      <c r="F91" s="552"/>
      <c r="G91" s="552"/>
      <c r="H91" s="552"/>
      <c r="I91" s="552"/>
      <c r="J91" s="552"/>
      <c r="N91" s="599"/>
    </row>
    <row r="92" spans="1:14" x14ac:dyDescent="0.2">
      <c r="A92" s="603"/>
      <c r="B92" s="552"/>
      <c r="C92" s="552"/>
      <c r="D92" s="552"/>
      <c r="E92" s="552"/>
      <c r="F92" s="552"/>
      <c r="G92" s="552"/>
      <c r="H92" s="552"/>
      <c r="I92" s="552"/>
      <c r="J92" s="552"/>
      <c r="N92" s="599"/>
    </row>
    <row r="93" spans="1:14" ht="12" thickBot="1" x14ac:dyDescent="0.25">
      <c r="A93" s="605"/>
      <c r="B93" s="552"/>
      <c r="C93" s="552"/>
      <c r="D93" s="552"/>
      <c r="E93" s="552"/>
      <c r="F93" s="552"/>
      <c r="G93" s="552"/>
      <c r="H93" s="552"/>
      <c r="I93" s="552"/>
      <c r="J93" s="552"/>
      <c r="N93" s="599"/>
    </row>
    <row r="94" spans="1:14" ht="12" thickBot="1" x14ac:dyDescent="0.25">
      <c r="A94" s="605"/>
      <c r="B94" s="552"/>
      <c r="C94" s="552"/>
      <c r="D94" s="552"/>
      <c r="E94" s="552"/>
      <c r="F94" s="552"/>
      <c r="G94" s="552"/>
      <c r="H94" s="552"/>
      <c r="I94" s="552"/>
      <c r="J94" s="552"/>
      <c r="N94" s="599"/>
    </row>
    <row r="95" spans="1:14" x14ac:dyDescent="0.2">
      <c r="A95" s="600"/>
      <c r="B95" s="552"/>
      <c r="C95" s="552"/>
      <c r="D95" s="552"/>
      <c r="E95" s="552"/>
      <c r="F95" s="552"/>
      <c r="G95" s="552"/>
      <c r="H95" s="552"/>
      <c r="I95" s="552"/>
      <c r="J95" s="552"/>
      <c r="N95" s="599"/>
    </row>
    <row r="96" spans="1:14" x14ac:dyDescent="0.2">
      <c r="A96" s="603"/>
      <c r="B96" s="552"/>
      <c r="C96" s="552"/>
      <c r="D96" s="552"/>
      <c r="E96" s="552"/>
      <c r="F96" s="552"/>
      <c r="G96" s="552"/>
      <c r="H96" s="552"/>
      <c r="I96" s="552"/>
      <c r="J96" s="552"/>
      <c r="N96" s="599"/>
    </row>
    <row r="97" spans="1:14" x14ac:dyDescent="0.2">
      <c r="A97" s="603"/>
      <c r="B97" s="552"/>
      <c r="C97" s="552"/>
      <c r="D97" s="552"/>
      <c r="E97" s="552"/>
      <c r="F97" s="552"/>
      <c r="G97" s="552"/>
      <c r="H97" s="552"/>
      <c r="I97" s="552"/>
      <c r="J97" s="552"/>
      <c r="N97" s="599"/>
    </row>
    <row r="98" spans="1:14" x14ac:dyDescent="0.2">
      <c r="A98" s="603"/>
      <c r="B98" s="552"/>
      <c r="C98" s="552"/>
      <c r="D98" s="552"/>
      <c r="E98" s="552"/>
      <c r="F98" s="552"/>
      <c r="G98" s="552"/>
      <c r="H98" s="552"/>
      <c r="I98" s="552"/>
      <c r="J98" s="552"/>
      <c r="N98" s="599"/>
    </row>
    <row r="99" spans="1:14" x14ac:dyDescent="0.2">
      <c r="A99" s="603"/>
      <c r="B99" s="552"/>
      <c r="C99" s="552"/>
      <c r="D99" s="552"/>
      <c r="E99" s="552"/>
      <c r="F99" s="552"/>
      <c r="G99" s="552"/>
      <c r="H99" s="552"/>
      <c r="I99" s="552"/>
      <c r="J99" s="552"/>
      <c r="N99" s="599"/>
    </row>
    <row r="100" spans="1:14" x14ac:dyDescent="0.2">
      <c r="A100" s="603"/>
      <c r="B100" s="552"/>
      <c r="C100" s="552"/>
      <c r="D100" s="552"/>
      <c r="E100" s="552"/>
      <c r="F100" s="552"/>
      <c r="G100" s="552"/>
      <c r="H100" s="552"/>
      <c r="I100" s="552"/>
      <c r="J100" s="552"/>
      <c r="N100" s="599"/>
    </row>
    <row r="101" spans="1:14" x14ac:dyDescent="0.2">
      <c r="A101" s="603"/>
      <c r="B101" s="552"/>
      <c r="C101" s="552"/>
      <c r="D101" s="552"/>
      <c r="E101" s="552"/>
      <c r="F101" s="552"/>
      <c r="G101" s="552"/>
      <c r="H101" s="552"/>
      <c r="I101" s="552"/>
      <c r="J101" s="552"/>
      <c r="N101" s="599"/>
    </row>
    <row r="102" spans="1:14" x14ac:dyDescent="0.2">
      <c r="A102" s="603"/>
      <c r="B102" s="552"/>
      <c r="C102" s="552"/>
      <c r="D102" s="552"/>
      <c r="E102" s="552"/>
      <c r="F102" s="552"/>
      <c r="G102" s="552"/>
      <c r="H102" s="552"/>
      <c r="I102" s="552"/>
      <c r="J102" s="552"/>
      <c r="N102" s="599"/>
    </row>
    <row r="103" spans="1:14" x14ac:dyDescent="0.2">
      <c r="A103" s="603"/>
      <c r="B103" s="552"/>
      <c r="C103" s="552"/>
      <c r="D103" s="552"/>
      <c r="E103" s="552"/>
      <c r="F103" s="552"/>
      <c r="G103" s="552"/>
      <c r="H103" s="552"/>
      <c r="I103" s="552"/>
      <c r="J103" s="552"/>
      <c r="N103" s="599"/>
    </row>
    <row r="104" spans="1:14" x14ac:dyDescent="0.2">
      <c r="A104" s="603"/>
      <c r="B104" s="552"/>
      <c r="C104" s="552"/>
      <c r="D104" s="552"/>
      <c r="E104" s="552"/>
      <c r="F104" s="552"/>
      <c r="G104" s="552"/>
      <c r="H104" s="552"/>
      <c r="I104" s="552"/>
      <c r="J104" s="552"/>
      <c r="N104" s="599"/>
    </row>
    <row r="105" spans="1:14" x14ac:dyDescent="0.2">
      <c r="A105" s="603"/>
      <c r="B105" s="552"/>
      <c r="C105" s="552"/>
      <c r="D105" s="552"/>
      <c r="E105" s="552"/>
      <c r="F105" s="552"/>
      <c r="G105" s="552"/>
      <c r="H105" s="552"/>
      <c r="I105" s="552"/>
      <c r="J105" s="552"/>
      <c r="N105" s="599"/>
    </row>
    <row r="106" spans="1:14" ht="12" thickBot="1" x14ac:dyDescent="0.25">
      <c r="A106" s="605"/>
      <c r="B106" s="552"/>
      <c r="C106" s="552"/>
      <c r="D106" s="552"/>
      <c r="E106" s="552"/>
      <c r="F106" s="552"/>
      <c r="G106" s="552"/>
      <c r="H106" s="552"/>
      <c r="I106" s="552"/>
      <c r="J106" s="552"/>
      <c r="N106" s="599"/>
    </row>
    <row r="107" spans="1:14" x14ac:dyDescent="0.2">
      <c r="A107" s="600"/>
      <c r="B107" s="552"/>
      <c r="C107" s="552"/>
      <c r="D107" s="552"/>
      <c r="E107" s="552"/>
      <c r="F107" s="552"/>
      <c r="G107" s="552"/>
      <c r="H107" s="552"/>
      <c r="I107" s="552"/>
      <c r="J107" s="552"/>
      <c r="N107" s="599"/>
    </row>
    <row r="108" spans="1:14" x14ac:dyDescent="0.2">
      <c r="A108" s="603"/>
      <c r="B108" s="552"/>
      <c r="C108" s="552"/>
      <c r="D108" s="552"/>
      <c r="E108" s="552"/>
      <c r="F108" s="552"/>
      <c r="G108" s="552"/>
      <c r="H108" s="552"/>
      <c r="I108" s="552"/>
      <c r="J108" s="552"/>
      <c r="N108" s="599"/>
    </row>
    <row r="109" spans="1:14" x14ac:dyDescent="0.2">
      <c r="A109" s="603"/>
      <c r="B109" s="552"/>
      <c r="C109" s="552"/>
      <c r="D109" s="552"/>
      <c r="E109" s="552"/>
      <c r="F109" s="552"/>
      <c r="G109" s="552"/>
      <c r="H109" s="552"/>
      <c r="I109" s="552"/>
      <c r="J109" s="552"/>
      <c r="N109" s="599"/>
    </row>
    <row r="110" spans="1:14" x14ac:dyDescent="0.2">
      <c r="A110" s="603"/>
      <c r="B110" s="552"/>
      <c r="C110" s="552"/>
      <c r="D110" s="552"/>
      <c r="E110" s="552"/>
      <c r="F110" s="552"/>
      <c r="G110" s="552"/>
      <c r="H110" s="552"/>
      <c r="I110" s="552"/>
      <c r="J110" s="552"/>
      <c r="N110" s="599"/>
    </row>
    <row r="111" spans="1:14" x14ac:dyDescent="0.2">
      <c r="A111" s="603"/>
      <c r="B111" s="552"/>
      <c r="C111" s="552"/>
      <c r="D111" s="552"/>
      <c r="E111" s="552"/>
      <c r="F111" s="552"/>
      <c r="G111" s="552"/>
      <c r="H111" s="552"/>
      <c r="I111" s="552"/>
      <c r="J111" s="552"/>
      <c r="N111" s="599"/>
    </row>
    <row r="112" spans="1:14" x14ac:dyDescent="0.2">
      <c r="A112" s="603"/>
      <c r="B112" s="552"/>
      <c r="C112" s="552"/>
      <c r="D112" s="552"/>
      <c r="E112" s="552"/>
      <c r="F112" s="552"/>
      <c r="G112" s="552"/>
      <c r="H112" s="552"/>
      <c r="I112" s="552"/>
      <c r="J112" s="552"/>
      <c r="N112" s="599"/>
    </row>
    <row r="113" spans="1:14" x14ac:dyDescent="0.2">
      <c r="A113" s="603"/>
      <c r="B113" s="552"/>
      <c r="C113" s="552"/>
      <c r="D113" s="552"/>
      <c r="E113" s="552"/>
      <c r="F113" s="552"/>
      <c r="G113" s="552"/>
      <c r="H113" s="552"/>
      <c r="I113" s="552"/>
      <c r="J113" s="552"/>
      <c r="N113" s="599"/>
    </row>
    <row r="114" spans="1:14" x14ac:dyDescent="0.2">
      <c r="A114" s="603"/>
      <c r="B114" s="552"/>
      <c r="C114" s="552"/>
      <c r="D114" s="552"/>
      <c r="E114" s="552"/>
      <c r="F114" s="552"/>
      <c r="G114" s="552"/>
      <c r="H114" s="552"/>
      <c r="I114" s="552"/>
      <c r="J114" s="552"/>
      <c r="N114" s="599"/>
    </row>
    <row r="115" spans="1:14" x14ac:dyDescent="0.2">
      <c r="A115" s="603"/>
      <c r="B115" s="552"/>
      <c r="C115" s="552"/>
      <c r="D115" s="552"/>
      <c r="E115" s="552"/>
      <c r="F115" s="552"/>
      <c r="G115" s="552"/>
      <c r="H115" s="552"/>
      <c r="I115" s="552"/>
      <c r="J115" s="552"/>
      <c r="N115" s="599"/>
    </row>
    <row r="116" spans="1:14" x14ac:dyDescent="0.2">
      <c r="A116" s="603"/>
      <c r="B116" s="552"/>
      <c r="C116" s="552"/>
      <c r="D116" s="552"/>
      <c r="E116" s="552"/>
      <c r="F116" s="552"/>
      <c r="G116" s="552"/>
      <c r="H116" s="552"/>
      <c r="I116" s="552"/>
      <c r="J116" s="552"/>
      <c r="N116" s="599"/>
    </row>
    <row r="117" spans="1:14" x14ac:dyDescent="0.2">
      <c r="A117" s="603"/>
      <c r="B117" s="552"/>
      <c r="C117" s="552"/>
      <c r="D117" s="552"/>
      <c r="E117" s="552"/>
      <c r="F117" s="552"/>
      <c r="G117" s="552"/>
      <c r="H117" s="552"/>
      <c r="I117" s="552"/>
      <c r="J117" s="552"/>
      <c r="N117" s="599"/>
    </row>
    <row r="118" spans="1:14" ht="12" thickBot="1" x14ac:dyDescent="0.25">
      <c r="A118" s="605"/>
      <c r="B118" s="552"/>
      <c r="C118" s="552"/>
      <c r="D118" s="552"/>
      <c r="E118" s="552"/>
      <c r="F118" s="552"/>
      <c r="G118" s="552"/>
      <c r="H118" s="552"/>
      <c r="I118" s="552"/>
      <c r="J118" s="552"/>
      <c r="N118" s="599"/>
    </row>
    <row r="119" spans="1:14" x14ac:dyDescent="0.2">
      <c r="A119" s="1342"/>
      <c r="B119" s="552"/>
      <c r="C119" s="552"/>
      <c r="D119" s="552"/>
      <c r="E119" s="552"/>
      <c r="F119" s="552"/>
      <c r="G119" s="552"/>
      <c r="H119" s="552"/>
      <c r="I119" s="552"/>
      <c r="J119" s="552"/>
      <c r="N119" s="599"/>
    </row>
    <row r="120" spans="1:14" x14ac:dyDescent="0.2">
      <c r="A120" s="1344"/>
      <c r="B120" s="552"/>
      <c r="C120" s="552"/>
      <c r="D120" s="552"/>
      <c r="E120" s="552"/>
      <c r="F120" s="552"/>
      <c r="G120" s="552"/>
      <c r="H120" s="552"/>
      <c r="I120" s="552"/>
      <c r="J120" s="552"/>
      <c r="N120" s="599"/>
    </row>
    <row r="121" spans="1:14" x14ac:dyDescent="0.2">
      <c r="A121" s="1344"/>
      <c r="B121" s="552"/>
      <c r="C121" s="552"/>
      <c r="D121" s="552"/>
      <c r="E121" s="552"/>
      <c r="F121" s="552"/>
      <c r="G121" s="552"/>
      <c r="H121" s="552"/>
      <c r="I121" s="552"/>
      <c r="J121" s="552"/>
      <c r="N121" s="599"/>
    </row>
    <row r="122" spans="1:14" x14ac:dyDescent="0.2">
      <c r="A122" s="1344"/>
      <c r="B122" s="552"/>
      <c r="C122" s="552"/>
      <c r="D122" s="552"/>
      <c r="E122" s="552"/>
      <c r="F122" s="552"/>
      <c r="G122" s="552"/>
      <c r="H122" s="552"/>
      <c r="I122" s="552"/>
      <c r="J122" s="552"/>
      <c r="N122" s="599"/>
    </row>
    <row r="123" spans="1:14" x14ac:dyDescent="0.2">
      <c r="A123" s="1344"/>
      <c r="B123" s="552"/>
      <c r="C123" s="552"/>
      <c r="D123" s="552"/>
      <c r="E123" s="552"/>
      <c r="F123" s="552"/>
      <c r="G123" s="552"/>
      <c r="H123" s="552"/>
      <c r="I123" s="552"/>
      <c r="J123" s="552"/>
      <c r="N123" s="599"/>
    </row>
    <row r="124" spans="1:14" x14ac:dyDescent="0.2">
      <c r="A124" s="1344"/>
      <c r="B124" s="552"/>
      <c r="C124" s="552"/>
      <c r="D124" s="552"/>
      <c r="E124" s="552"/>
      <c r="F124" s="552"/>
      <c r="G124" s="552"/>
      <c r="H124" s="552"/>
      <c r="I124" s="552"/>
      <c r="J124" s="552"/>
      <c r="N124" s="599"/>
    </row>
    <row r="125" spans="1:14" x14ac:dyDescent="0.2">
      <c r="A125" s="1344"/>
      <c r="B125" s="552"/>
      <c r="C125" s="552"/>
      <c r="D125" s="552"/>
      <c r="E125" s="552"/>
      <c r="F125" s="552"/>
      <c r="G125" s="552"/>
      <c r="H125" s="552"/>
      <c r="I125" s="552"/>
      <c r="J125" s="552"/>
      <c r="N125" s="599"/>
    </row>
    <row r="126" spans="1:14" x14ac:dyDescent="0.2">
      <c r="A126" s="1344"/>
      <c r="B126" s="552"/>
      <c r="C126" s="552"/>
      <c r="D126" s="552"/>
      <c r="E126" s="552"/>
      <c r="F126" s="552"/>
      <c r="G126" s="552"/>
      <c r="H126" s="552"/>
      <c r="I126" s="552"/>
      <c r="J126" s="552"/>
      <c r="N126" s="599"/>
    </row>
    <row r="127" spans="1:14" x14ac:dyDescent="0.2">
      <c r="A127" s="1344"/>
      <c r="B127" s="552"/>
      <c r="C127" s="552"/>
      <c r="D127" s="552"/>
      <c r="E127" s="552"/>
      <c r="F127" s="552"/>
      <c r="G127" s="552"/>
      <c r="H127" s="552"/>
      <c r="I127" s="552"/>
      <c r="J127" s="552"/>
      <c r="N127" s="599"/>
    </row>
    <row r="128" spans="1:14" x14ac:dyDescent="0.2">
      <c r="A128" s="1344"/>
      <c r="B128" s="552"/>
      <c r="C128" s="552"/>
      <c r="D128" s="552"/>
      <c r="E128" s="552"/>
      <c r="F128" s="552"/>
      <c r="G128" s="552"/>
      <c r="H128" s="552"/>
      <c r="I128" s="552"/>
      <c r="J128" s="552"/>
      <c r="N128" s="599"/>
    </row>
    <row r="129" spans="1:14" x14ac:dyDescent="0.2">
      <c r="A129" s="1344"/>
      <c r="B129" s="552"/>
      <c r="C129" s="552"/>
      <c r="D129" s="552"/>
      <c r="E129" s="552"/>
      <c r="F129" s="552"/>
      <c r="G129" s="552"/>
      <c r="H129" s="552"/>
      <c r="I129" s="552"/>
      <c r="J129" s="552"/>
      <c r="N129" s="599"/>
    </row>
    <row r="130" spans="1:14" ht="12" thickBot="1" x14ac:dyDescent="0.25">
      <c r="A130" s="1346"/>
      <c r="B130" s="552"/>
      <c r="C130" s="552"/>
      <c r="D130" s="552"/>
      <c r="E130" s="552"/>
      <c r="F130" s="552"/>
      <c r="G130" s="552"/>
      <c r="H130" s="552"/>
      <c r="I130" s="552"/>
      <c r="J130" s="552"/>
      <c r="N130" s="599"/>
    </row>
    <row r="131" spans="1:14" x14ac:dyDescent="0.2">
      <c r="A131" s="600"/>
      <c r="B131" s="552"/>
      <c r="C131" s="552"/>
      <c r="D131" s="552"/>
      <c r="E131" s="552"/>
      <c r="F131" s="552"/>
      <c r="G131" s="552"/>
      <c r="H131" s="552"/>
      <c r="I131" s="552"/>
      <c r="J131" s="552"/>
      <c r="N131" s="599"/>
    </row>
    <row r="132" spans="1:14" x14ac:dyDescent="0.2">
      <c r="A132" s="603"/>
      <c r="B132" s="552"/>
      <c r="C132" s="552"/>
      <c r="D132" s="552"/>
      <c r="E132" s="552"/>
      <c r="F132" s="552"/>
      <c r="G132" s="552"/>
      <c r="H132" s="552"/>
      <c r="I132" s="552"/>
      <c r="J132" s="552"/>
      <c r="N132" s="599"/>
    </row>
    <row r="133" spans="1:14" x14ac:dyDescent="0.2">
      <c r="A133" s="603"/>
      <c r="B133" s="552"/>
      <c r="C133" s="552"/>
      <c r="D133" s="552"/>
      <c r="E133" s="552"/>
      <c r="F133" s="552"/>
      <c r="G133" s="552"/>
      <c r="H133" s="552"/>
      <c r="I133" s="552"/>
      <c r="J133" s="552"/>
      <c r="N133" s="599"/>
    </row>
    <row r="134" spans="1:14" x14ac:dyDescent="0.2">
      <c r="A134" s="603"/>
      <c r="B134" s="552"/>
      <c r="C134" s="552"/>
      <c r="D134" s="552"/>
      <c r="E134" s="552"/>
      <c r="F134" s="552"/>
      <c r="G134" s="552"/>
      <c r="H134" s="552"/>
      <c r="I134" s="552"/>
      <c r="J134" s="552"/>
      <c r="N134" s="599"/>
    </row>
    <row r="135" spans="1:14" x14ac:dyDescent="0.2">
      <c r="A135" s="603"/>
      <c r="B135" s="552"/>
      <c r="C135" s="552"/>
      <c r="D135" s="552"/>
      <c r="E135" s="552"/>
      <c r="F135" s="552"/>
      <c r="G135" s="552"/>
      <c r="H135" s="552"/>
      <c r="I135" s="552"/>
      <c r="J135" s="552"/>
      <c r="N135" s="599"/>
    </row>
    <row r="136" spans="1:14" x14ac:dyDescent="0.2">
      <c r="A136" s="603"/>
      <c r="B136" s="552"/>
      <c r="C136" s="552"/>
      <c r="D136" s="552"/>
      <c r="E136" s="552"/>
      <c r="F136" s="552"/>
      <c r="G136" s="552"/>
      <c r="H136" s="552"/>
      <c r="I136" s="552"/>
      <c r="J136" s="552"/>
      <c r="N136" s="599"/>
    </row>
    <row r="137" spans="1:14" x14ac:dyDescent="0.2">
      <c r="A137" s="603"/>
      <c r="B137" s="552"/>
      <c r="C137" s="552"/>
      <c r="D137" s="552"/>
      <c r="E137" s="552"/>
      <c r="F137" s="552"/>
      <c r="G137" s="552"/>
      <c r="H137" s="552"/>
      <c r="I137" s="552"/>
      <c r="J137" s="552"/>
      <c r="N137" s="599"/>
    </row>
    <row r="138" spans="1:14" x14ac:dyDescent="0.2">
      <c r="A138" s="603"/>
      <c r="B138" s="552"/>
      <c r="C138" s="552"/>
      <c r="D138" s="552"/>
      <c r="E138" s="552"/>
      <c r="F138" s="552"/>
      <c r="G138" s="552"/>
      <c r="H138" s="552"/>
      <c r="I138" s="552"/>
      <c r="J138" s="552"/>
      <c r="N138" s="599"/>
    </row>
    <row r="139" spans="1:14" ht="12" thickBot="1" x14ac:dyDescent="0.25">
      <c r="A139" s="605"/>
      <c r="B139" s="552"/>
      <c r="C139" s="552"/>
      <c r="D139" s="552"/>
      <c r="E139" s="552"/>
      <c r="F139" s="552"/>
      <c r="G139" s="552"/>
      <c r="H139" s="552"/>
      <c r="I139" s="552"/>
      <c r="J139" s="552"/>
      <c r="N139" s="599"/>
    </row>
    <row r="140" spans="1:14" x14ac:dyDescent="0.2">
      <c r="A140" s="600"/>
      <c r="B140" s="552"/>
      <c r="C140" s="552"/>
      <c r="D140" s="552"/>
      <c r="E140" s="552"/>
      <c r="F140" s="552"/>
      <c r="G140" s="552"/>
      <c r="H140" s="552"/>
      <c r="I140" s="552"/>
      <c r="J140" s="552"/>
      <c r="N140" s="599"/>
    </row>
    <row r="141" spans="1:14" x14ac:dyDescent="0.2">
      <c r="A141" s="603"/>
      <c r="B141" s="552"/>
      <c r="C141" s="552"/>
      <c r="D141" s="552"/>
      <c r="E141" s="552"/>
      <c r="F141" s="552"/>
      <c r="G141" s="552"/>
      <c r="H141" s="552"/>
      <c r="I141" s="552"/>
      <c r="J141" s="552"/>
      <c r="N141" s="599"/>
    </row>
    <row r="142" spans="1:14" ht="12" thickBot="1" x14ac:dyDescent="0.25">
      <c r="A142" s="605"/>
      <c r="B142" s="552"/>
      <c r="C142" s="552"/>
      <c r="D142" s="552"/>
      <c r="E142" s="552"/>
      <c r="F142" s="552"/>
      <c r="G142" s="552"/>
      <c r="H142" s="552"/>
      <c r="I142" s="552"/>
      <c r="J142" s="552"/>
      <c r="N142" s="599"/>
    </row>
    <row r="143" spans="1:14" x14ac:dyDescent="0.2">
      <c r="A143" s="600"/>
      <c r="B143" s="552"/>
      <c r="C143" s="552"/>
      <c r="D143" s="552"/>
      <c r="E143" s="552"/>
      <c r="F143" s="552"/>
      <c r="G143" s="552"/>
      <c r="H143" s="552"/>
      <c r="I143" s="552"/>
      <c r="J143" s="552"/>
      <c r="N143" s="599"/>
    </row>
    <row r="144" spans="1:14" x14ac:dyDescent="0.2">
      <c r="A144" s="603"/>
      <c r="B144" s="552"/>
      <c r="C144" s="552"/>
      <c r="D144" s="552"/>
      <c r="E144" s="552"/>
      <c r="F144" s="552"/>
      <c r="G144" s="552"/>
      <c r="H144" s="552"/>
      <c r="I144" s="552"/>
      <c r="J144" s="552"/>
      <c r="N144" s="599"/>
    </row>
    <row r="145" spans="1:14" x14ac:dyDescent="0.2">
      <c r="A145" s="603"/>
      <c r="B145" s="552"/>
      <c r="C145" s="552"/>
      <c r="D145" s="552"/>
      <c r="E145" s="552"/>
      <c r="F145" s="552"/>
      <c r="G145" s="552"/>
      <c r="H145" s="552"/>
      <c r="I145" s="552"/>
      <c r="J145" s="552"/>
      <c r="N145" s="599"/>
    </row>
    <row r="146" spans="1:14" x14ac:dyDescent="0.2">
      <c r="A146" s="603"/>
      <c r="B146" s="552"/>
      <c r="C146" s="552"/>
      <c r="D146" s="552"/>
      <c r="E146" s="552"/>
      <c r="F146" s="552"/>
      <c r="G146" s="552"/>
      <c r="H146" s="552"/>
      <c r="I146" s="552"/>
      <c r="J146" s="552"/>
      <c r="N146" s="599"/>
    </row>
    <row r="147" spans="1:14" x14ac:dyDescent="0.2">
      <c r="A147" s="603"/>
      <c r="B147" s="552"/>
      <c r="C147" s="552"/>
      <c r="D147" s="552"/>
      <c r="E147" s="552"/>
      <c r="F147" s="552"/>
      <c r="G147" s="552"/>
      <c r="H147" s="552"/>
      <c r="I147" s="552"/>
      <c r="J147" s="552"/>
      <c r="N147" s="599"/>
    </row>
    <row r="148" spans="1:14" x14ac:dyDescent="0.2">
      <c r="A148" s="603"/>
      <c r="B148" s="552"/>
      <c r="C148" s="552"/>
      <c r="D148" s="552"/>
      <c r="E148" s="552"/>
      <c r="F148" s="552"/>
      <c r="G148" s="552"/>
      <c r="H148" s="552"/>
      <c r="I148" s="552"/>
      <c r="J148" s="552"/>
      <c r="N148" s="599"/>
    </row>
    <row r="149" spans="1:14" x14ac:dyDescent="0.2">
      <c r="A149" s="603"/>
      <c r="B149" s="552"/>
      <c r="C149" s="552"/>
      <c r="D149" s="552"/>
      <c r="E149" s="552"/>
      <c r="F149" s="552"/>
      <c r="G149" s="552"/>
      <c r="H149" s="552"/>
      <c r="I149" s="552"/>
      <c r="J149" s="552"/>
      <c r="N149" s="599"/>
    </row>
    <row r="150" spans="1:14" x14ac:dyDescent="0.2">
      <c r="A150" s="603"/>
      <c r="B150" s="552"/>
      <c r="C150" s="552"/>
      <c r="D150" s="552"/>
      <c r="E150" s="552"/>
      <c r="F150" s="552"/>
      <c r="G150" s="552"/>
      <c r="H150" s="552"/>
      <c r="I150" s="552"/>
      <c r="J150" s="552"/>
      <c r="N150" s="599"/>
    </row>
    <row r="151" spans="1:14" ht="12" thickBot="1" x14ac:dyDescent="0.25">
      <c r="A151" s="605"/>
      <c r="B151" s="552"/>
      <c r="C151" s="552"/>
      <c r="D151" s="552"/>
      <c r="E151" s="552"/>
      <c r="F151" s="552"/>
      <c r="G151" s="552"/>
      <c r="H151" s="552"/>
      <c r="I151" s="552"/>
      <c r="J151" s="552"/>
      <c r="N151" s="599"/>
    </row>
    <row r="152" spans="1:14" x14ac:dyDescent="0.2">
      <c r="A152" s="603"/>
      <c r="B152" s="552"/>
      <c r="C152" s="552"/>
      <c r="D152" s="552"/>
      <c r="E152" s="552"/>
      <c r="F152" s="552"/>
      <c r="G152" s="552"/>
      <c r="H152" s="552"/>
      <c r="I152" s="552"/>
      <c r="J152" s="552"/>
      <c r="N152" s="599"/>
    </row>
    <row r="153" spans="1:14" x14ac:dyDescent="0.2">
      <c r="A153" s="603"/>
      <c r="B153" s="552"/>
      <c r="C153" s="552"/>
      <c r="D153" s="552"/>
      <c r="E153" s="552"/>
      <c r="F153" s="552"/>
      <c r="G153" s="552"/>
      <c r="H153" s="552"/>
      <c r="I153" s="552"/>
      <c r="J153" s="552"/>
      <c r="N153" s="599"/>
    </row>
    <row r="154" spans="1:14" ht="12" thickBot="1" x14ac:dyDescent="0.25">
      <c r="A154" s="605"/>
      <c r="B154" s="552"/>
      <c r="C154" s="552"/>
      <c r="D154" s="552"/>
      <c r="E154" s="552"/>
      <c r="F154" s="552"/>
      <c r="G154" s="552"/>
      <c r="H154" s="552"/>
      <c r="I154" s="552"/>
      <c r="J154" s="552"/>
      <c r="N154" s="599"/>
    </row>
    <row r="155" spans="1:14" x14ac:dyDescent="0.2">
      <c r="A155" s="600"/>
      <c r="B155" s="552"/>
      <c r="C155" s="552"/>
      <c r="D155" s="552"/>
      <c r="E155" s="552"/>
      <c r="F155" s="552"/>
      <c r="G155" s="552"/>
      <c r="H155" s="552"/>
      <c r="I155" s="552"/>
      <c r="J155" s="552"/>
      <c r="N155" s="599"/>
    </row>
    <row r="156" spans="1:14" x14ac:dyDescent="0.2">
      <c r="A156" s="603"/>
      <c r="B156" s="552"/>
      <c r="C156" s="552"/>
      <c r="D156" s="552"/>
      <c r="E156" s="552"/>
      <c r="F156" s="552"/>
      <c r="G156" s="552"/>
      <c r="H156" s="552"/>
      <c r="I156" s="552"/>
      <c r="J156" s="552"/>
      <c r="N156" s="599"/>
    </row>
    <row r="157" spans="1:14" x14ac:dyDescent="0.2">
      <c r="A157" s="603"/>
      <c r="B157" s="552"/>
      <c r="C157" s="552"/>
      <c r="D157" s="552"/>
      <c r="E157" s="552"/>
      <c r="F157" s="552"/>
      <c r="G157" s="552"/>
      <c r="H157" s="552"/>
      <c r="I157" s="552"/>
      <c r="J157" s="552"/>
      <c r="N157" s="599"/>
    </row>
    <row r="158" spans="1:14" x14ac:dyDescent="0.2">
      <c r="A158" s="603"/>
      <c r="B158" s="552"/>
      <c r="C158" s="552"/>
      <c r="D158" s="552"/>
      <c r="E158" s="552"/>
      <c r="F158" s="552"/>
      <c r="G158" s="552"/>
      <c r="H158" s="552"/>
      <c r="I158" s="552"/>
      <c r="J158" s="552"/>
      <c r="N158" s="599"/>
    </row>
    <row r="159" spans="1:14" x14ac:dyDescent="0.2">
      <c r="A159" s="603"/>
      <c r="B159" s="552"/>
      <c r="C159" s="552"/>
      <c r="D159" s="552"/>
      <c r="E159" s="552"/>
      <c r="F159" s="552"/>
      <c r="G159" s="552"/>
      <c r="H159" s="552"/>
      <c r="I159" s="552"/>
      <c r="J159" s="552"/>
      <c r="N159" s="599"/>
    </row>
    <row r="160" spans="1:14" x14ac:dyDescent="0.2">
      <c r="A160" s="603"/>
      <c r="B160" s="552"/>
      <c r="C160" s="552"/>
      <c r="D160" s="552"/>
      <c r="E160" s="552"/>
      <c r="F160" s="552"/>
      <c r="G160" s="552"/>
      <c r="H160" s="552"/>
      <c r="I160" s="552"/>
      <c r="J160" s="552"/>
      <c r="N160" s="599"/>
    </row>
    <row r="161" spans="1:14" x14ac:dyDescent="0.2">
      <c r="A161" s="603"/>
      <c r="B161" s="552"/>
      <c r="C161" s="552"/>
      <c r="D161" s="552"/>
      <c r="E161" s="552"/>
      <c r="F161" s="552"/>
      <c r="G161" s="552"/>
      <c r="H161" s="552"/>
      <c r="I161" s="552"/>
      <c r="J161" s="552"/>
      <c r="N161" s="599"/>
    </row>
    <row r="162" spans="1:14" x14ac:dyDescent="0.2">
      <c r="A162" s="603"/>
      <c r="B162" s="552"/>
      <c r="C162" s="552"/>
      <c r="D162" s="552"/>
      <c r="E162" s="552"/>
      <c r="F162" s="552"/>
      <c r="G162" s="552"/>
      <c r="H162" s="552"/>
      <c r="I162" s="552"/>
      <c r="J162" s="552"/>
      <c r="N162" s="599"/>
    </row>
    <row r="163" spans="1:14" x14ac:dyDescent="0.2">
      <c r="A163" s="603"/>
      <c r="B163" s="552"/>
      <c r="C163" s="552"/>
      <c r="D163" s="552"/>
      <c r="E163" s="552"/>
      <c r="F163" s="552"/>
      <c r="G163" s="552"/>
      <c r="H163" s="552"/>
      <c r="I163" s="552"/>
      <c r="J163" s="552"/>
      <c r="N163" s="599"/>
    </row>
    <row r="164" spans="1:14" x14ac:dyDescent="0.2">
      <c r="A164" s="603"/>
      <c r="B164" s="552"/>
      <c r="C164" s="552"/>
      <c r="D164" s="552"/>
      <c r="E164" s="552"/>
      <c r="F164" s="552"/>
      <c r="G164" s="552"/>
      <c r="H164" s="552"/>
      <c r="I164" s="552"/>
      <c r="J164" s="552"/>
      <c r="N164" s="599"/>
    </row>
    <row r="165" spans="1:14" x14ac:dyDescent="0.2">
      <c r="A165" s="603"/>
      <c r="B165" s="552"/>
      <c r="C165" s="552"/>
      <c r="D165" s="552"/>
      <c r="E165" s="552"/>
      <c r="F165" s="552"/>
      <c r="G165" s="552"/>
      <c r="H165" s="552"/>
      <c r="I165" s="552"/>
      <c r="J165" s="552"/>
      <c r="N165" s="599"/>
    </row>
    <row r="166" spans="1:14" ht="12" thickBot="1" x14ac:dyDescent="0.25">
      <c r="A166" s="605"/>
      <c r="B166" s="552"/>
      <c r="C166" s="552"/>
      <c r="D166" s="552"/>
      <c r="E166" s="552"/>
      <c r="F166" s="552"/>
      <c r="G166" s="552"/>
      <c r="H166" s="552"/>
      <c r="I166" s="552"/>
      <c r="J166" s="552"/>
      <c r="N166" s="599"/>
    </row>
    <row r="167" spans="1:14" x14ac:dyDescent="0.2">
      <c r="A167" s="600"/>
      <c r="B167" s="552"/>
      <c r="C167" s="552"/>
      <c r="D167" s="552"/>
      <c r="E167" s="552"/>
      <c r="F167" s="552"/>
      <c r="G167" s="552"/>
      <c r="H167" s="552"/>
      <c r="I167" s="552"/>
      <c r="J167" s="552"/>
      <c r="N167" s="599"/>
    </row>
    <row r="168" spans="1:14" x14ac:dyDescent="0.2">
      <c r="A168" s="603"/>
      <c r="B168" s="552"/>
      <c r="C168" s="552"/>
      <c r="D168" s="552"/>
      <c r="E168" s="552"/>
      <c r="F168" s="552"/>
      <c r="G168" s="552"/>
      <c r="H168" s="552"/>
      <c r="I168" s="552"/>
      <c r="J168" s="552"/>
      <c r="N168" s="599"/>
    </row>
    <row r="169" spans="1:14" x14ac:dyDescent="0.2">
      <c r="A169" s="603"/>
      <c r="B169" s="552"/>
      <c r="C169" s="552"/>
      <c r="D169" s="552"/>
      <c r="E169" s="552"/>
      <c r="F169" s="552"/>
      <c r="G169" s="552"/>
      <c r="H169" s="552"/>
      <c r="I169" s="552"/>
      <c r="J169" s="552"/>
      <c r="N169" s="599"/>
    </row>
    <row r="170" spans="1:14" x14ac:dyDescent="0.2">
      <c r="A170" s="603"/>
      <c r="B170" s="552"/>
      <c r="C170" s="552"/>
      <c r="D170" s="552"/>
      <c r="E170" s="552"/>
      <c r="F170" s="552"/>
      <c r="G170" s="552"/>
      <c r="H170" s="552"/>
      <c r="I170" s="552"/>
      <c r="J170" s="552"/>
      <c r="N170" s="599"/>
    </row>
    <row r="171" spans="1:14" x14ac:dyDescent="0.2">
      <c r="A171" s="603"/>
      <c r="B171" s="552"/>
      <c r="C171" s="552"/>
      <c r="D171" s="552"/>
      <c r="E171" s="552"/>
      <c r="F171" s="552"/>
      <c r="G171" s="552"/>
      <c r="H171" s="552"/>
      <c r="I171" s="552"/>
      <c r="J171" s="552"/>
      <c r="N171" s="599"/>
    </row>
    <row r="172" spans="1:14" ht="12" thickBot="1" x14ac:dyDescent="0.25">
      <c r="A172" s="603"/>
      <c r="B172" s="552"/>
      <c r="C172" s="552"/>
      <c r="D172" s="552"/>
      <c r="E172" s="552"/>
      <c r="F172" s="552"/>
      <c r="G172" s="552"/>
      <c r="H172" s="552"/>
      <c r="I172" s="552"/>
      <c r="J172" s="552"/>
      <c r="N172" s="599"/>
    </row>
    <row r="173" spans="1:14" x14ac:dyDescent="0.2">
      <c r="A173" s="600"/>
      <c r="B173" s="552"/>
      <c r="C173" s="552"/>
      <c r="D173" s="552"/>
      <c r="E173" s="552"/>
      <c r="F173" s="552"/>
      <c r="G173" s="552"/>
      <c r="H173" s="552"/>
      <c r="I173" s="552"/>
      <c r="J173" s="552"/>
      <c r="N173" s="599"/>
    </row>
    <row r="174" spans="1:14" x14ac:dyDescent="0.2">
      <c r="A174" s="603"/>
      <c r="B174" s="552"/>
      <c r="C174" s="552"/>
      <c r="D174" s="552"/>
      <c r="E174" s="552"/>
      <c r="F174" s="552"/>
      <c r="G174" s="552"/>
      <c r="H174" s="552"/>
      <c r="I174" s="552"/>
      <c r="J174" s="552"/>
      <c r="N174" s="599"/>
    </row>
    <row r="175" spans="1:14" x14ac:dyDescent="0.2">
      <c r="A175" s="603"/>
      <c r="B175" s="552"/>
      <c r="C175" s="552"/>
      <c r="D175" s="552"/>
      <c r="E175" s="552"/>
      <c r="F175" s="552"/>
      <c r="G175" s="552"/>
      <c r="H175" s="552"/>
      <c r="I175" s="552"/>
      <c r="J175" s="552"/>
      <c r="N175" s="599"/>
    </row>
    <row r="176" spans="1:14" x14ac:dyDescent="0.2">
      <c r="A176" s="603"/>
      <c r="B176" s="552"/>
      <c r="C176" s="552"/>
      <c r="D176" s="552"/>
      <c r="E176" s="552"/>
      <c r="F176" s="552"/>
      <c r="G176" s="552"/>
      <c r="H176" s="552"/>
      <c r="I176" s="552"/>
      <c r="J176" s="552"/>
      <c r="N176" s="599"/>
    </row>
    <row r="177" spans="1:14" x14ac:dyDescent="0.2">
      <c r="A177" s="603"/>
      <c r="B177" s="552"/>
      <c r="C177" s="552"/>
      <c r="D177" s="552"/>
      <c r="E177" s="552"/>
      <c r="F177" s="552"/>
      <c r="G177" s="552"/>
      <c r="H177" s="552"/>
      <c r="I177" s="552"/>
      <c r="J177" s="552"/>
      <c r="N177" s="599"/>
    </row>
    <row r="178" spans="1:14" ht="12" thickBot="1" x14ac:dyDescent="0.25">
      <c r="A178" s="605"/>
      <c r="B178" s="552"/>
      <c r="C178" s="552"/>
      <c r="D178" s="552"/>
      <c r="E178" s="552"/>
      <c r="F178" s="552"/>
      <c r="G178" s="552"/>
      <c r="H178" s="552"/>
      <c r="I178" s="552"/>
      <c r="J178" s="552"/>
      <c r="N178" s="599"/>
    </row>
    <row r="179" spans="1:14" x14ac:dyDescent="0.2">
      <c r="A179" s="600"/>
      <c r="B179" s="552"/>
      <c r="C179" s="552"/>
      <c r="D179" s="552"/>
      <c r="E179" s="552"/>
      <c r="F179" s="552"/>
      <c r="G179" s="552"/>
      <c r="H179" s="552"/>
      <c r="I179" s="552"/>
      <c r="J179" s="552"/>
      <c r="N179" s="599"/>
    </row>
    <row r="180" spans="1:14" x14ac:dyDescent="0.2">
      <c r="A180" s="603"/>
      <c r="B180" s="552"/>
      <c r="C180" s="552"/>
      <c r="D180" s="552"/>
      <c r="E180" s="552"/>
      <c r="F180" s="552"/>
      <c r="G180" s="552"/>
      <c r="H180" s="552"/>
      <c r="I180" s="552"/>
      <c r="J180" s="552"/>
      <c r="N180" s="599"/>
    </row>
    <row r="181" spans="1:14" ht="12" thickBot="1" x14ac:dyDescent="0.25">
      <c r="A181" s="605"/>
      <c r="B181" s="552"/>
      <c r="C181" s="552"/>
      <c r="D181" s="552"/>
      <c r="E181" s="552"/>
      <c r="F181" s="552"/>
      <c r="G181" s="552"/>
      <c r="H181" s="552"/>
      <c r="I181" s="552"/>
      <c r="J181" s="552"/>
      <c r="N181" s="599"/>
    </row>
    <row r="182" spans="1:14" x14ac:dyDescent="0.2">
      <c r="A182" s="600"/>
      <c r="B182" s="552"/>
      <c r="C182" s="552"/>
      <c r="D182" s="552"/>
      <c r="E182" s="552"/>
      <c r="F182" s="552"/>
      <c r="G182" s="552"/>
      <c r="H182" s="552"/>
      <c r="I182" s="552"/>
      <c r="J182" s="552"/>
      <c r="N182" s="599"/>
    </row>
    <row r="183" spans="1:14" x14ac:dyDescent="0.2">
      <c r="A183" s="603"/>
      <c r="B183" s="552"/>
      <c r="C183" s="552"/>
      <c r="D183" s="552"/>
      <c r="E183" s="552"/>
      <c r="F183" s="552"/>
      <c r="G183" s="552"/>
      <c r="H183" s="552"/>
      <c r="I183" s="552"/>
      <c r="J183" s="552"/>
      <c r="N183" s="599"/>
    </row>
    <row r="184" spans="1:14" x14ac:dyDescent="0.2">
      <c r="A184" s="603"/>
      <c r="B184" s="552"/>
      <c r="C184" s="552"/>
      <c r="D184" s="552"/>
      <c r="E184" s="552"/>
      <c r="F184" s="552"/>
      <c r="G184" s="552"/>
      <c r="H184" s="552"/>
      <c r="I184" s="552"/>
      <c r="J184" s="552"/>
      <c r="N184" s="599"/>
    </row>
    <row r="185" spans="1:14" x14ac:dyDescent="0.2">
      <c r="A185" s="603"/>
      <c r="B185" s="552"/>
      <c r="C185" s="552"/>
      <c r="D185" s="552"/>
      <c r="E185" s="552"/>
      <c r="F185" s="552"/>
      <c r="G185" s="552"/>
      <c r="H185" s="552"/>
      <c r="I185" s="552"/>
      <c r="J185" s="552"/>
      <c r="N185" s="599"/>
    </row>
    <row r="186" spans="1:14" x14ac:dyDescent="0.2">
      <c r="A186" s="603"/>
      <c r="B186" s="552"/>
      <c r="C186" s="552"/>
      <c r="D186" s="552"/>
      <c r="E186" s="552"/>
      <c r="F186" s="552"/>
      <c r="G186" s="552"/>
      <c r="H186" s="552"/>
      <c r="I186" s="552"/>
      <c r="J186" s="552"/>
      <c r="N186" s="599"/>
    </row>
    <row r="187" spans="1:14" x14ac:dyDescent="0.2">
      <c r="A187" s="603"/>
      <c r="B187" s="552"/>
      <c r="C187" s="552"/>
      <c r="D187" s="552"/>
      <c r="E187" s="552"/>
      <c r="F187" s="552"/>
      <c r="G187" s="552"/>
      <c r="H187" s="552"/>
      <c r="I187" s="552"/>
      <c r="J187" s="552"/>
      <c r="N187" s="599"/>
    </row>
    <row r="188" spans="1:14" x14ac:dyDescent="0.2">
      <c r="A188" s="603"/>
      <c r="B188" s="552"/>
      <c r="C188" s="552"/>
      <c r="D188" s="552"/>
      <c r="E188" s="552"/>
      <c r="F188" s="552"/>
      <c r="G188" s="552"/>
      <c r="H188" s="552"/>
      <c r="I188" s="552"/>
      <c r="J188" s="552"/>
      <c r="N188" s="599"/>
    </row>
    <row r="189" spans="1:14" x14ac:dyDescent="0.2">
      <c r="A189" s="603"/>
      <c r="B189" s="552"/>
      <c r="C189" s="552"/>
      <c r="D189" s="552"/>
      <c r="E189" s="552"/>
      <c r="F189" s="552"/>
      <c r="G189" s="552"/>
      <c r="H189" s="552"/>
      <c r="I189" s="552"/>
      <c r="J189" s="552"/>
      <c r="N189" s="599"/>
    </row>
    <row r="190" spans="1:14" ht="12" thickBot="1" x14ac:dyDescent="0.25">
      <c r="A190" s="605"/>
      <c r="B190" s="552"/>
      <c r="C190" s="552"/>
      <c r="D190" s="552"/>
      <c r="E190" s="552"/>
      <c r="F190" s="552"/>
      <c r="G190" s="552"/>
      <c r="H190" s="552"/>
      <c r="I190" s="552"/>
      <c r="J190" s="552"/>
      <c r="N190" s="599"/>
    </row>
    <row r="191" spans="1:14" x14ac:dyDescent="0.2">
      <c r="A191" s="600"/>
      <c r="B191" s="552"/>
      <c r="C191" s="552"/>
      <c r="D191" s="552"/>
      <c r="E191" s="552"/>
      <c r="F191" s="552"/>
      <c r="G191" s="552"/>
      <c r="H191" s="552"/>
      <c r="I191" s="552"/>
      <c r="J191" s="552"/>
      <c r="N191" s="599"/>
    </row>
    <row r="192" spans="1:14" x14ac:dyDescent="0.2">
      <c r="A192" s="603"/>
      <c r="B192" s="552"/>
      <c r="C192" s="552"/>
      <c r="D192" s="552"/>
      <c r="E192" s="552"/>
      <c r="F192" s="552"/>
      <c r="G192" s="552"/>
      <c r="H192" s="552"/>
      <c r="I192" s="552"/>
      <c r="J192" s="552"/>
      <c r="N192" s="599"/>
    </row>
    <row r="193" spans="1:14" x14ac:dyDescent="0.2">
      <c r="A193" s="603"/>
      <c r="B193" s="552"/>
      <c r="C193" s="552"/>
      <c r="D193" s="552"/>
      <c r="E193" s="552"/>
      <c r="F193" s="552"/>
      <c r="G193" s="552"/>
      <c r="H193" s="552"/>
      <c r="I193" s="552"/>
      <c r="J193" s="552"/>
      <c r="N193" s="599"/>
    </row>
    <row r="194" spans="1:14" x14ac:dyDescent="0.2">
      <c r="A194" s="603"/>
      <c r="B194" s="552"/>
      <c r="C194" s="552"/>
      <c r="D194" s="552"/>
      <c r="E194" s="552"/>
      <c r="F194" s="552"/>
      <c r="G194" s="552"/>
      <c r="H194" s="552"/>
      <c r="I194" s="552"/>
      <c r="J194" s="552"/>
      <c r="N194" s="599"/>
    </row>
    <row r="195" spans="1:14" x14ac:dyDescent="0.2">
      <c r="A195" s="603"/>
      <c r="B195" s="552"/>
      <c r="C195" s="552"/>
      <c r="D195" s="552"/>
      <c r="E195" s="552"/>
      <c r="F195" s="552"/>
      <c r="G195" s="552"/>
      <c r="H195" s="552"/>
      <c r="I195" s="552"/>
      <c r="J195" s="552"/>
      <c r="N195" s="599"/>
    </row>
    <row r="196" spans="1:14" x14ac:dyDescent="0.2">
      <c r="A196" s="603"/>
      <c r="B196" s="552"/>
      <c r="C196" s="552"/>
      <c r="D196" s="552"/>
      <c r="E196" s="552"/>
      <c r="F196" s="552"/>
      <c r="G196" s="552"/>
      <c r="H196" s="552"/>
      <c r="I196" s="552"/>
      <c r="J196" s="552"/>
      <c r="N196" s="599"/>
    </row>
    <row r="197" spans="1:14" x14ac:dyDescent="0.2">
      <c r="A197" s="603"/>
      <c r="B197" s="552"/>
      <c r="C197" s="552"/>
      <c r="D197" s="552"/>
      <c r="E197" s="552"/>
      <c r="F197" s="552"/>
      <c r="G197" s="552"/>
      <c r="H197" s="552"/>
      <c r="I197" s="552"/>
      <c r="J197" s="552"/>
      <c r="N197" s="599"/>
    </row>
    <row r="198" spans="1:14" x14ac:dyDescent="0.2">
      <c r="A198" s="603"/>
      <c r="B198" s="552"/>
      <c r="C198" s="552"/>
      <c r="D198" s="552"/>
      <c r="E198" s="552"/>
      <c r="F198" s="552"/>
      <c r="G198" s="552"/>
      <c r="H198" s="552"/>
      <c r="I198" s="552"/>
      <c r="J198" s="552"/>
      <c r="N198" s="599"/>
    </row>
    <row r="199" spans="1:14" x14ac:dyDescent="0.2">
      <c r="A199" s="603"/>
      <c r="B199" s="552"/>
      <c r="C199" s="552"/>
      <c r="D199" s="552"/>
      <c r="E199" s="552"/>
      <c r="F199" s="552"/>
      <c r="G199" s="552"/>
      <c r="H199" s="552"/>
      <c r="I199" s="552"/>
      <c r="J199" s="552"/>
      <c r="N199" s="599"/>
    </row>
    <row r="200" spans="1:14" x14ac:dyDescent="0.2">
      <c r="A200" s="603"/>
      <c r="B200" s="552"/>
      <c r="C200" s="552"/>
      <c r="D200" s="552"/>
      <c r="E200" s="552"/>
      <c r="F200" s="552"/>
      <c r="G200" s="552"/>
      <c r="H200" s="552"/>
      <c r="I200" s="552"/>
      <c r="J200" s="552"/>
      <c r="N200" s="599"/>
    </row>
    <row r="201" spans="1:14" x14ac:dyDescent="0.2">
      <c r="A201" s="603"/>
      <c r="B201" s="552"/>
      <c r="C201" s="552"/>
      <c r="D201" s="552"/>
      <c r="E201" s="552"/>
      <c r="F201" s="552"/>
      <c r="G201" s="552"/>
      <c r="H201" s="552"/>
      <c r="I201" s="552"/>
      <c r="J201" s="552"/>
      <c r="N201" s="599"/>
    </row>
    <row r="202" spans="1:14" ht="12" thickBot="1" x14ac:dyDescent="0.25">
      <c r="A202" s="605"/>
      <c r="B202" s="552"/>
      <c r="C202" s="552"/>
      <c r="D202" s="552"/>
      <c r="E202" s="552"/>
      <c r="F202" s="552"/>
      <c r="G202" s="552"/>
      <c r="H202" s="552"/>
      <c r="I202" s="552"/>
      <c r="J202" s="552"/>
      <c r="N202" s="599"/>
    </row>
    <row r="203" spans="1:14" x14ac:dyDescent="0.2">
      <c r="B203" s="552"/>
      <c r="C203" s="552"/>
      <c r="D203" s="552"/>
      <c r="E203" s="552"/>
      <c r="F203" s="552"/>
      <c r="G203" s="552"/>
      <c r="H203" s="552"/>
      <c r="I203" s="552"/>
      <c r="J203" s="552"/>
      <c r="N203" s="599"/>
    </row>
    <row r="204" spans="1:14" x14ac:dyDescent="0.2">
      <c r="B204" s="552"/>
      <c r="C204" s="552"/>
      <c r="D204" s="552"/>
      <c r="E204" s="552"/>
      <c r="F204" s="552"/>
      <c r="G204" s="552"/>
      <c r="H204" s="552"/>
      <c r="I204" s="552"/>
      <c r="J204" s="552"/>
      <c r="N204" s="599"/>
    </row>
    <row r="205" spans="1:14" x14ac:dyDescent="0.2">
      <c r="B205" s="552"/>
      <c r="C205" s="552"/>
      <c r="D205" s="552"/>
      <c r="E205" s="552"/>
      <c r="F205" s="552"/>
      <c r="G205" s="552"/>
      <c r="H205" s="552"/>
      <c r="I205" s="552"/>
      <c r="J205" s="552"/>
      <c r="N205" s="599"/>
    </row>
    <row r="206" spans="1:14" x14ac:dyDescent="0.2">
      <c r="B206" s="552"/>
      <c r="C206" s="552"/>
      <c r="D206" s="552"/>
      <c r="E206" s="552"/>
      <c r="F206" s="552"/>
      <c r="G206" s="552"/>
      <c r="H206" s="552"/>
      <c r="I206" s="552"/>
      <c r="J206" s="552"/>
      <c r="N206" s="599"/>
    </row>
    <row r="207" spans="1:14" x14ac:dyDescent="0.2">
      <c r="B207" s="552"/>
      <c r="C207" s="552"/>
      <c r="D207" s="552"/>
      <c r="E207" s="552"/>
      <c r="F207" s="552"/>
      <c r="G207" s="552"/>
      <c r="H207" s="552"/>
      <c r="I207" s="552"/>
      <c r="J207" s="552"/>
      <c r="N207" s="599"/>
    </row>
    <row r="208" spans="1:14" x14ac:dyDescent="0.2">
      <c r="B208" s="552"/>
      <c r="C208" s="552"/>
      <c r="D208" s="552"/>
      <c r="E208" s="552"/>
      <c r="F208" s="552"/>
      <c r="G208" s="552"/>
      <c r="H208" s="552"/>
      <c r="I208" s="552"/>
      <c r="J208" s="552"/>
      <c r="N208" s="599"/>
    </row>
    <row r="209" spans="1:14" x14ac:dyDescent="0.2">
      <c r="B209" s="552"/>
      <c r="C209" s="552"/>
      <c r="D209" s="552"/>
      <c r="E209" s="552"/>
      <c r="F209" s="552"/>
      <c r="G209" s="552"/>
      <c r="H209" s="552"/>
      <c r="I209" s="552"/>
      <c r="J209" s="552"/>
      <c r="N209" s="599"/>
    </row>
    <row r="210" spans="1:14" x14ac:dyDescent="0.2">
      <c r="B210" s="552"/>
      <c r="C210" s="552"/>
      <c r="D210" s="552"/>
      <c r="E210" s="552"/>
      <c r="F210" s="552"/>
      <c r="G210" s="552"/>
      <c r="H210" s="552"/>
      <c r="I210" s="552"/>
      <c r="J210" s="552"/>
      <c r="N210" s="599"/>
    </row>
    <row r="211" spans="1:14" x14ac:dyDescent="0.2">
      <c r="B211" s="552"/>
      <c r="C211" s="552"/>
      <c r="D211" s="552"/>
      <c r="E211" s="552"/>
      <c r="F211" s="552"/>
      <c r="G211" s="552"/>
      <c r="H211" s="552"/>
      <c r="I211" s="552"/>
      <c r="J211" s="552"/>
      <c r="N211" s="599"/>
    </row>
    <row r="212" spans="1:14" x14ac:dyDescent="0.2">
      <c r="B212" s="552"/>
      <c r="C212" s="552"/>
      <c r="D212" s="552"/>
      <c r="E212" s="552"/>
      <c r="F212" s="552"/>
      <c r="G212" s="552"/>
      <c r="H212" s="552"/>
      <c r="I212" s="552"/>
      <c r="J212" s="552"/>
      <c r="N212" s="599"/>
    </row>
    <row r="213" spans="1:14" x14ac:dyDescent="0.2">
      <c r="B213" s="552"/>
      <c r="C213" s="552"/>
      <c r="D213" s="552"/>
      <c r="E213" s="552"/>
      <c r="F213" s="552"/>
      <c r="G213" s="552"/>
      <c r="H213" s="552"/>
      <c r="I213" s="552"/>
      <c r="J213" s="552"/>
      <c r="N213" s="599"/>
    </row>
    <row r="214" spans="1:14" ht="12" thickBot="1" x14ac:dyDescent="0.25">
      <c r="B214" s="552"/>
      <c r="C214" s="552"/>
      <c r="D214" s="552"/>
      <c r="E214" s="552"/>
      <c r="F214" s="552"/>
      <c r="G214" s="552"/>
      <c r="H214" s="552"/>
      <c r="I214" s="552"/>
      <c r="J214" s="552"/>
      <c r="N214" s="599"/>
    </row>
    <row r="215" spans="1:14" x14ac:dyDescent="0.2">
      <c r="A215" s="600"/>
      <c r="B215" s="552"/>
      <c r="C215" s="552"/>
      <c r="D215" s="552"/>
      <c r="E215" s="552"/>
      <c r="F215" s="552"/>
      <c r="G215" s="552"/>
      <c r="H215" s="552"/>
      <c r="I215" s="552"/>
      <c r="J215" s="552"/>
      <c r="N215" s="599"/>
    </row>
    <row r="216" spans="1:14" x14ac:dyDescent="0.2">
      <c r="A216" s="603"/>
      <c r="B216" s="552"/>
      <c r="C216" s="552"/>
      <c r="D216" s="552"/>
      <c r="E216" s="552"/>
      <c r="F216" s="552"/>
      <c r="G216" s="552"/>
      <c r="H216" s="552"/>
      <c r="I216" s="552"/>
      <c r="J216" s="552"/>
      <c r="N216" s="599"/>
    </row>
    <row r="217" spans="1:14" x14ac:dyDescent="0.2">
      <c r="A217" s="603"/>
      <c r="B217" s="552"/>
      <c r="C217" s="552"/>
      <c r="D217" s="552"/>
      <c r="E217" s="552"/>
      <c r="F217" s="552"/>
      <c r="G217" s="552"/>
      <c r="H217" s="552"/>
      <c r="I217" s="552"/>
      <c r="J217" s="552"/>
      <c r="N217" s="599"/>
    </row>
    <row r="218" spans="1:14" x14ac:dyDescent="0.2">
      <c r="A218" s="603"/>
      <c r="B218" s="552"/>
      <c r="C218" s="552"/>
      <c r="D218" s="552"/>
      <c r="E218" s="552"/>
      <c r="F218" s="552"/>
      <c r="G218" s="552"/>
      <c r="H218" s="552"/>
      <c r="I218" s="552"/>
      <c r="J218" s="552"/>
      <c r="N218" s="599"/>
    </row>
    <row r="219" spans="1:14" x14ac:dyDescent="0.2">
      <c r="A219" s="603"/>
      <c r="B219" s="552"/>
      <c r="C219" s="552"/>
      <c r="D219" s="552"/>
      <c r="E219" s="552"/>
      <c r="F219" s="552"/>
      <c r="G219" s="552"/>
      <c r="H219" s="552"/>
      <c r="I219" s="552"/>
      <c r="J219" s="552"/>
      <c r="N219" s="599"/>
    </row>
    <row r="220" spans="1:14" x14ac:dyDescent="0.2">
      <c r="A220" s="603"/>
      <c r="B220" s="552"/>
      <c r="C220" s="552"/>
      <c r="D220" s="552"/>
      <c r="E220" s="552"/>
      <c r="F220" s="552"/>
      <c r="G220" s="552"/>
      <c r="H220" s="552"/>
      <c r="I220" s="552"/>
      <c r="J220" s="552"/>
      <c r="N220" s="599"/>
    </row>
    <row r="221" spans="1:14" x14ac:dyDescent="0.2">
      <c r="A221" s="603"/>
      <c r="B221" s="552"/>
      <c r="C221" s="552"/>
      <c r="D221" s="552"/>
      <c r="E221" s="552"/>
      <c r="F221" s="552"/>
      <c r="G221" s="552"/>
      <c r="H221" s="552"/>
      <c r="I221" s="552"/>
      <c r="J221" s="552"/>
      <c r="N221" s="599"/>
    </row>
    <row r="222" spans="1:14" x14ac:dyDescent="0.2">
      <c r="A222" s="603"/>
      <c r="B222" s="552"/>
      <c r="C222" s="552"/>
      <c r="D222" s="552"/>
      <c r="E222" s="552"/>
      <c r="F222" s="552"/>
      <c r="G222" s="552"/>
      <c r="H222" s="552"/>
      <c r="I222" s="552"/>
      <c r="J222" s="552"/>
      <c r="N222" s="599"/>
    </row>
    <row r="223" spans="1:14" ht="12" thickBot="1" x14ac:dyDescent="0.25">
      <c r="A223" s="605"/>
      <c r="B223" s="552"/>
      <c r="C223" s="552"/>
      <c r="D223" s="552"/>
      <c r="E223" s="552"/>
      <c r="F223" s="552"/>
      <c r="G223" s="552"/>
      <c r="H223" s="552"/>
      <c r="I223" s="552"/>
      <c r="J223" s="552"/>
      <c r="N223" s="599"/>
    </row>
    <row r="224" spans="1:14" x14ac:dyDescent="0.2">
      <c r="A224" s="600"/>
      <c r="B224" s="552"/>
      <c r="C224" s="552"/>
      <c r="D224" s="552"/>
      <c r="E224" s="552"/>
      <c r="F224" s="552"/>
      <c r="G224" s="552"/>
      <c r="H224" s="552"/>
      <c r="I224" s="552"/>
      <c r="J224" s="552"/>
      <c r="N224" s="599"/>
    </row>
    <row r="225" spans="1:14" x14ac:dyDescent="0.2">
      <c r="A225" s="603"/>
      <c r="B225" s="552"/>
      <c r="C225" s="552"/>
      <c r="D225" s="552"/>
      <c r="E225" s="552"/>
      <c r="F225" s="552"/>
      <c r="G225" s="552"/>
      <c r="H225" s="552"/>
      <c r="I225" s="552"/>
      <c r="J225" s="552"/>
      <c r="N225" s="599"/>
    </row>
    <row r="226" spans="1:14" x14ac:dyDescent="0.2">
      <c r="A226" s="603"/>
      <c r="B226" s="552"/>
      <c r="C226" s="552"/>
      <c r="D226" s="552"/>
      <c r="E226" s="552"/>
      <c r="F226" s="552"/>
      <c r="G226" s="552"/>
      <c r="H226" s="552"/>
      <c r="I226" s="552"/>
      <c r="J226" s="552"/>
      <c r="N226" s="599"/>
    </row>
    <row r="227" spans="1:14" x14ac:dyDescent="0.2">
      <c r="A227" s="603"/>
      <c r="B227" s="552"/>
      <c r="C227" s="552"/>
      <c r="D227" s="552"/>
      <c r="E227" s="552"/>
      <c r="F227" s="552"/>
      <c r="G227" s="552"/>
      <c r="H227" s="552"/>
      <c r="I227" s="552"/>
      <c r="J227" s="552"/>
      <c r="N227" s="599"/>
    </row>
    <row r="228" spans="1:14" x14ac:dyDescent="0.2">
      <c r="A228" s="603"/>
      <c r="B228" s="552"/>
      <c r="C228" s="552"/>
      <c r="D228" s="552"/>
      <c r="E228" s="552"/>
      <c r="F228" s="552"/>
      <c r="G228" s="552"/>
      <c r="H228" s="552"/>
      <c r="I228" s="552"/>
      <c r="J228" s="552"/>
      <c r="N228" s="599"/>
    </row>
    <row r="229" spans="1:14" x14ac:dyDescent="0.2">
      <c r="A229" s="603"/>
      <c r="B229" s="552"/>
      <c r="C229" s="552"/>
      <c r="D229" s="552"/>
      <c r="E229" s="552"/>
      <c r="F229" s="552"/>
      <c r="G229" s="552"/>
      <c r="H229" s="552"/>
      <c r="I229" s="552"/>
      <c r="J229" s="552"/>
      <c r="N229" s="599"/>
    </row>
    <row r="230" spans="1:14" x14ac:dyDescent="0.2">
      <c r="A230" s="603"/>
      <c r="B230" s="552"/>
      <c r="C230" s="552"/>
      <c r="D230" s="552"/>
      <c r="E230" s="552"/>
      <c r="F230" s="552"/>
      <c r="G230" s="552"/>
      <c r="H230" s="552"/>
      <c r="I230" s="552"/>
      <c r="J230" s="552"/>
      <c r="N230" s="599"/>
    </row>
    <row r="231" spans="1:14" x14ac:dyDescent="0.2">
      <c r="A231" s="603"/>
      <c r="B231" s="552"/>
      <c r="C231" s="552"/>
      <c r="D231" s="552"/>
      <c r="E231" s="552"/>
      <c r="F231" s="552"/>
      <c r="G231" s="552"/>
      <c r="H231" s="552"/>
      <c r="I231" s="552"/>
      <c r="J231" s="552"/>
      <c r="N231" s="599"/>
    </row>
    <row r="232" spans="1:14" x14ac:dyDescent="0.2">
      <c r="A232" s="603"/>
      <c r="B232" s="552"/>
      <c r="C232" s="552"/>
      <c r="D232" s="552"/>
      <c r="E232" s="552"/>
      <c r="F232" s="552"/>
      <c r="G232" s="552"/>
      <c r="H232" s="552"/>
      <c r="I232" s="552"/>
      <c r="J232" s="552"/>
      <c r="N232" s="599"/>
    </row>
    <row r="233" spans="1:14" x14ac:dyDescent="0.2">
      <c r="A233" s="603"/>
      <c r="B233" s="552"/>
      <c r="C233" s="552"/>
      <c r="D233" s="552"/>
      <c r="E233" s="552"/>
      <c r="F233" s="552"/>
      <c r="G233" s="552"/>
      <c r="H233" s="552"/>
      <c r="I233" s="552"/>
      <c r="J233" s="552"/>
      <c r="N233" s="599"/>
    </row>
    <row r="234" spans="1:14" x14ac:dyDescent="0.2">
      <c r="A234" s="603"/>
      <c r="B234" s="552"/>
      <c r="C234" s="552"/>
      <c r="D234" s="552"/>
      <c r="E234" s="552"/>
      <c r="F234" s="552"/>
      <c r="G234" s="552"/>
      <c r="H234" s="552"/>
      <c r="I234" s="552"/>
      <c r="J234" s="552"/>
      <c r="N234" s="599"/>
    </row>
    <row r="235" spans="1:14" ht="12" thickBot="1" x14ac:dyDescent="0.25">
      <c r="A235" s="605"/>
      <c r="B235" s="552"/>
      <c r="C235" s="552"/>
      <c r="D235" s="552"/>
      <c r="E235" s="552"/>
      <c r="F235" s="552"/>
      <c r="G235" s="552"/>
      <c r="H235" s="552"/>
      <c r="I235" s="552"/>
      <c r="J235" s="552"/>
      <c r="N235" s="599"/>
    </row>
    <row r="236" spans="1:14" x14ac:dyDescent="0.2">
      <c r="B236" s="552"/>
      <c r="C236" s="552"/>
      <c r="D236" s="552"/>
      <c r="E236" s="552"/>
      <c r="F236" s="552"/>
      <c r="G236" s="552"/>
      <c r="H236" s="552"/>
      <c r="I236" s="552"/>
      <c r="J236" s="552"/>
      <c r="N236" s="599"/>
    </row>
    <row r="237" spans="1:14" x14ac:dyDescent="0.2">
      <c r="B237" s="552"/>
      <c r="C237" s="552"/>
      <c r="D237" s="552"/>
      <c r="E237" s="552"/>
      <c r="F237" s="552"/>
      <c r="G237" s="552"/>
      <c r="H237" s="552"/>
      <c r="I237" s="552"/>
      <c r="J237" s="552"/>
      <c r="N237" s="599"/>
    </row>
    <row r="238" spans="1:14" x14ac:dyDescent="0.2">
      <c r="B238" s="552"/>
      <c r="C238" s="552"/>
      <c r="D238" s="552"/>
      <c r="E238" s="552"/>
      <c r="F238" s="552"/>
      <c r="G238" s="552"/>
      <c r="H238" s="552"/>
      <c r="I238" s="552"/>
      <c r="J238" s="552"/>
      <c r="N238" s="599"/>
    </row>
    <row r="239" spans="1:14" x14ac:dyDescent="0.2">
      <c r="B239" s="552"/>
      <c r="C239" s="552"/>
      <c r="D239" s="552"/>
      <c r="E239" s="552"/>
      <c r="F239" s="552"/>
      <c r="G239" s="552"/>
      <c r="H239" s="552"/>
      <c r="I239" s="552"/>
      <c r="J239" s="552"/>
      <c r="N239" s="599"/>
    </row>
    <row r="240" spans="1:14" x14ac:dyDescent="0.2">
      <c r="B240" s="552"/>
      <c r="C240" s="552"/>
      <c r="D240" s="552"/>
      <c r="E240" s="552"/>
      <c r="F240" s="552"/>
      <c r="G240" s="552"/>
      <c r="H240" s="552"/>
      <c r="I240" s="552"/>
      <c r="J240" s="552"/>
      <c r="N240" s="599"/>
    </row>
    <row r="241" spans="2:14" x14ac:dyDescent="0.2">
      <c r="B241" s="552"/>
      <c r="C241" s="552"/>
      <c r="D241" s="552"/>
      <c r="E241" s="552"/>
      <c r="F241" s="552"/>
      <c r="G241" s="552"/>
      <c r="H241" s="552"/>
      <c r="I241" s="552"/>
      <c r="J241" s="552"/>
      <c r="N241" s="599"/>
    </row>
    <row r="242" spans="2:14" x14ac:dyDescent="0.2">
      <c r="B242" s="552"/>
      <c r="C242" s="552"/>
      <c r="D242" s="552"/>
      <c r="E242" s="552"/>
      <c r="F242" s="552"/>
      <c r="G242" s="552"/>
      <c r="H242" s="552"/>
      <c r="I242" s="552"/>
      <c r="J242" s="552"/>
      <c r="N242" s="599"/>
    </row>
    <row r="243" spans="2:14" x14ac:dyDescent="0.2">
      <c r="B243" s="552"/>
      <c r="C243" s="552"/>
      <c r="D243" s="552"/>
      <c r="E243" s="552"/>
      <c r="F243" s="552"/>
      <c r="G243" s="552"/>
      <c r="H243" s="552"/>
      <c r="I243" s="552"/>
      <c r="J243" s="552"/>
      <c r="N243" s="599"/>
    </row>
    <row r="244" spans="2:14" x14ac:dyDescent="0.2">
      <c r="B244" s="552"/>
      <c r="C244" s="552"/>
      <c r="D244" s="552"/>
      <c r="E244" s="552"/>
      <c r="F244" s="552"/>
      <c r="G244" s="552"/>
      <c r="H244" s="552"/>
      <c r="I244" s="552"/>
      <c r="J244" s="552"/>
      <c r="N244" s="599"/>
    </row>
    <row r="245" spans="2:14" x14ac:dyDescent="0.2">
      <c r="B245" s="552"/>
      <c r="C245" s="552"/>
      <c r="D245" s="552"/>
      <c r="E245" s="552"/>
      <c r="F245" s="552"/>
      <c r="G245" s="552"/>
      <c r="H245" s="552"/>
      <c r="I245" s="552"/>
      <c r="J245" s="552"/>
      <c r="N245" s="599"/>
    </row>
    <row r="246" spans="2:14" x14ac:dyDescent="0.2">
      <c r="B246" s="552"/>
      <c r="C246" s="552"/>
      <c r="D246" s="552"/>
      <c r="E246" s="552"/>
      <c r="F246" s="552"/>
      <c r="G246" s="552"/>
      <c r="H246" s="552"/>
      <c r="I246" s="552"/>
      <c r="J246" s="552"/>
      <c r="N246" s="599"/>
    </row>
    <row r="247" spans="2:14" x14ac:dyDescent="0.2">
      <c r="B247" s="552"/>
      <c r="C247" s="552"/>
      <c r="D247" s="552"/>
      <c r="E247" s="552"/>
      <c r="F247" s="552"/>
      <c r="G247" s="552"/>
      <c r="H247" s="552"/>
      <c r="I247" s="552"/>
      <c r="J247" s="552"/>
      <c r="N247" s="599"/>
    </row>
    <row r="248" spans="2:14" x14ac:dyDescent="0.2">
      <c r="B248" s="552"/>
      <c r="C248" s="552"/>
      <c r="D248" s="552"/>
      <c r="E248" s="552"/>
      <c r="F248" s="552"/>
      <c r="G248" s="552"/>
      <c r="H248" s="552"/>
      <c r="I248" s="552"/>
      <c r="J248" s="552"/>
      <c r="N248" s="599"/>
    </row>
    <row r="249" spans="2:14" x14ac:dyDescent="0.2">
      <c r="B249" s="552"/>
      <c r="C249" s="552"/>
      <c r="D249" s="552"/>
      <c r="E249" s="552"/>
      <c r="F249" s="552"/>
      <c r="G249" s="552"/>
      <c r="H249" s="552"/>
      <c r="I249" s="552"/>
      <c r="J249" s="552"/>
      <c r="N249" s="599"/>
    </row>
    <row r="250" spans="2:14" x14ac:dyDescent="0.2">
      <c r="B250" s="552"/>
      <c r="C250" s="552"/>
      <c r="D250" s="552"/>
      <c r="E250" s="552"/>
      <c r="F250" s="552"/>
      <c r="G250" s="552"/>
      <c r="H250" s="552"/>
      <c r="I250" s="552"/>
      <c r="J250" s="552"/>
      <c r="N250" s="599"/>
    </row>
    <row r="251" spans="2:14" x14ac:dyDescent="0.2">
      <c r="B251" s="552"/>
      <c r="C251" s="552"/>
      <c r="D251" s="552"/>
      <c r="E251" s="552"/>
      <c r="F251" s="552"/>
      <c r="G251" s="552"/>
      <c r="H251" s="552"/>
      <c r="I251" s="552"/>
      <c r="J251" s="552"/>
      <c r="N251" s="599"/>
    </row>
    <row r="252" spans="2:14" x14ac:dyDescent="0.2">
      <c r="B252" s="552"/>
      <c r="C252" s="552"/>
      <c r="D252" s="552"/>
      <c r="E252" s="552"/>
      <c r="F252" s="552"/>
      <c r="G252" s="552"/>
      <c r="H252" s="552"/>
      <c r="I252" s="552"/>
      <c r="J252" s="552"/>
      <c r="N252" s="599"/>
    </row>
    <row r="253" spans="2:14" x14ac:dyDescent="0.2">
      <c r="B253" s="552"/>
      <c r="C253" s="552"/>
      <c r="D253" s="552"/>
      <c r="E253" s="552"/>
      <c r="F253" s="552"/>
      <c r="G253" s="552"/>
      <c r="H253" s="552"/>
      <c r="I253" s="552"/>
      <c r="J253" s="552"/>
      <c r="N253" s="599"/>
    </row>
    <row r="254" spans="2:14" x14ac:dyDescent="0.2">
      <c r="B254" s="552"/>
      <c r="C254" s="552"/>
      <c r="D254" s="552"/>
      <c r="E254" s="552"/>
      <c r="F254" s="552"/>
      <c r="G254" s="552"/>
      <c r="H254" s="552"/>
      <c r="I254" s="552"/>
      <c r="J254" s="552"/>
      <c r="N254" s="599"/>
    </row>
    <row r="255" spans="2:14" x14ac:dyDescent="0.2">
      <c r="B255" s="552"/>
      <c r="C255" s="552"/>
      <c r="D255" s="552"/>
      <c r="E255" s="552"/>
      <c r="F255" s="552"/>
      <c r="G255" s="552"/>
      <c r="H255" s="552"/>
      <c r="I255" s="552"/>
      <c r="J255" s="552"/>
      <c r="N255" s="599"/>
    </row>
    <row r="256" spans="2:14" ht="12" thickBot="1" x14ac:dyDescent="0.25">
      <c r="B256" s="552"/>
      <c r="C256" s="552"/>
      <c r="D256" s="552"/>
      <c r="E256" s="552"/>
      <c r="F256" s="552"/>
      <c r="G256" s="552"/>
      <c r="H256" s="552"/>
      <c r="I256" s="552"/>
      <c r="J256" s="552"/>
      <c r="N256" s="599"/>
    </row>
    <row r="257" spans="1:14" x14ac:dyDescent="0.2">
      <c r="A257" s="600"/>
      <c r="B257" s="552"/>
      <c r="C257" s="552"/>
      <c r="D257" s="552"/>
      <c r="E257" s="552"/>
      <c r="F257" s="552"/>
      <c r="G257" s="552"/>
      <c r="H257" s="552"/>
      <c r="I257" s="552"/>
      <c r="J257" s="552"/>
      <c r="N257" s="599"/>
    </row>
    <row r="258" spans="1:14" x14ac:dyDescent="0.2">
      <c r="A258" s="603"/>
      <c r="B258" s="552"/>
      <c r="C258" s="552"/>
      <c r="D258" s="552"/>
      <c r="E258" s="552"/>
      <c r="F258" s="552"/>
      <c r="G258" s="552"/>
      <c r="H258" s="552"/>
      <c r="I258" s="552"/>
      <c r="J258" s="552"/>
      <c r="N258" s="599"/>
    </row>
    <row r="259" spans="1:14" x14ac:dyDescent="0.2">
      <c r="A259" s="603"/>
      <c r="B259" s="552"/>
      <c r="C259" s="552"/>
      <c r="D259" s="552"/>
      <c r="E259" s="552"/>
      <c r="F259" s="552"/>
      <c r="G259" s="552"/>
      <c r="H259" s="552"/>
      <c r="I259" s="552"/>
      <c r="J259" s="552"/>
      <c r="N259" s="599"/>
    </row>
    <row r="260" spans="1:14" x14ac:dyDescent="0.2">
      <c r="A260" s="603"/>
      <c r="B260" s="552"/>
      <c r="C260" s="552"/>
      <c r="D260" s="552"/>
      <c r="E260" s="552"/>
      <c r="F260" s="552"/>
      <c r="G260" s="552"/>
      <c r="H260" s="552"/>
      <c r="I260" s="552"/>
      <c r="J260" s="552"/>
      <c r="N260" s="599"/>
    </row>
    <row r="261" spans="1:14" x14ac:dyDescent="0.2">
      <c r="A261" s="603"/>
      <c r="B261" s="552"/>
      <c r="C261" s="552"/>
      <c r="D261" s="552"/>
      <c r="E261" s="552"/>
      <c r="F261" s="552"/>
      <c r="G261" s="552"/>
      <c r="H261" s="552"/>
      <c r="I261" s="552"/>
      <c r="J261" s="552"/>
      <c r="N261" s="599"/>
    </row>
    <row r="262" spans="1:14" x14ac:dyDescent="0.2">
      <c r="A262" s="603"/>
      <c r="B262" s="552"/>
      <c r="C262" s="552"/>
      <c r="D262" s="552"/>
      <c r="E262" s="552"/>
      <c r="F262" s="552"/>
      <c r="G262" s="552"/>
      <c r="H262" s="552"/>
      <c r="I262" s="552"/>
      <c r="J262" s="552"/>
      <c r="N262" s="599"/>
    </row>
    <row r="263" spans="1:14" x14ac:dyDescent="0.2">
      <c r="A263" s="603"/>
      <c r="B263" s="552"/>
      <c r="C263" s="552"/>
      <c r="D263" s="552"/>
      <c r="E263" s="552"/>
      <c r="F263" s="552"/>
      <c r="G263" s="552"/>
      <c r="H263" s="552"/>
      <c r="I263" s="552"/>
      <c r="J263" s="552"/>
      <c r="N263" s="599"/>
    </row>
    <row r="264" spans="1:14" x14ac:dyDescent="0.2">
      <c r="A264" s="603"/>
      <c r="B264" s="552"/>
      <c r="C264" s="552"/>
      <c r="D264" s="552"/>
      <c r="E264" s="552"/>
      <c r="F264" s="552"/>
      <c r="G264" s="552"/>
      <c r="H264" s="552"/>
      <c r="I264" s="552"/>
      <c r="J264" s="552"/>
      <c r="N264" s="599"/>
    </row>
    <row r="265" spans="1:14" ht="12" thickBot="1" x14ac:dyDescent="0.25">
      <c r="A265" s="605"/>
      <c r="B265" s="552"/>
      <c r="C265" s="552"/>
      <c r="D265" s="552"/>
      <c r="E265" s="552"/>
      <c r="F265" s="552"/>
      <c r="G265" s="552"/>
      <c r="H265" s="552"/>
      <c r="I265" s="552"/>
      <c r="J265" s="552"/>
      <c r="N265" s="599"/>
    </row>
    <row r="266" spans="1:14" x14ac:dyDescent="0.2">
      <c r="A266" s="600"/>
      <c r="B266" s="552"/>
      <c r="C266" s="552"/>
      <c r="D266" s="552"/>
      <c r="E266" s="552"/>
      <c r="F266" s="552"/>
      <c r="G266" s="552"/>
      <c r="H266" s="552"/>
      <c r="I266" s="552"/>
      <c r="J266" s="552"/>
      <c r="N266" s="599"/>
    </row>
    <row r="267" spans="1:14" x14ac:dyDescent="0.2">
      <c r="A267" s="603"/>
      <c r="B267" s="552"/>
      <c r="C267" s="552"/>
      <c r="D267" s="552"/>
      <c r="E267" s="552"/>
      <c r="F267" s="552"/>
      <c r="G267" s="552"/>
      <c r="H267" s="552"/>
      <c r="I267" s="552"/>
      <c r="J267" s="552"/>
      <c r="N267" s="599"/>
    </row>
    <row r="268" spans="1:14" x14ac:dyDescent="0.2">
      <c r="A268" s="603"/>
      <c r="B268" s="552"/>
      <c r="C268" s="552"/>
      <c r="D268" s="552"/>
      <c r="E268" s="552"/>
      <c r="F268" s="552"/>
      <c r="G268" s="552"/>
      <c r="H268" s="552"/>
      <c r="I268" s="552"/>
      <c r="J268" s="552"/>
      <c r="N268" s="599"/>
    </row>
    <row r="269" spans="1:14" x14ac:dyDescent="0.2">
      <c r="A269" s="603"/>
      <c r="B269" s="552"/>
      <c r="C269" s="552"/>
      <c r="D269" s="552"/>
      <c r="E269" s="552"/>
      <c r="F269" s="552"/>
      <c r="G269" s="552"/>
      <c r="H269" s="552"/>
      <c r="I269" s="552"/>
      <c r="J269" s="552"/>
      <c r="N269" s="599"/>
    </row>
    <row r="270" spans="1:14" x14ac:dyDescent="0.2">
      <c r="A270" s="603"/>
      <c r="B270" s="552"/>
      <c r="C270" s="552"/>
      <c r="D270" s="552"/>
      <c r="E270" s="552"/>
      <c r="F270" s="552"/>
      <c r="G270" s="552"/>
      <c r="H270" s="552"/>
      <c r="I270" s="552"/>
      <c r="J270" s="552"/>
      <c r="N270" s="599"/>
    </row>
    <row r="271" spans="1:14" x14ac:dyDescent="0.2">
      <c r="A271" s="603"/>
      <c r="B271" s="552"/>
      <c r="C271" s="552"/>
      <c r="D271" s="552"/>
      <c r="E271" s="552"/>
      <c r="F271" s="552"/>
      <c r="G271" s="552"/>
      <c r="H271" s="552"/>
      <c r="I271" s="552"/>
      <c r="J271" s="552"/>
      <c r="N271" s="599"/>
    </row>
    <row r="272" spans="1:14" x14ac:dyDescent="0.2">
      <c r="A272" s="603"/>
      <c r="B272" s="552"/>
      <c r="C272" s="552"/>
      <c r="D272" s="552"/>
      <c r="E272" s="552"/>
      <c r="F272" s="552"/>
      <c r="G272" s="552"/>
      <c r="H272" s="552"/>
      <c r="I272" s="552"/>
      <c r="J272" s="552"/>
      <c r="N272" s="599"/>
    </row>
    <row r="273" spans="1:14" x14ac:dyDescent="0.2">
      <c r="A273" s="603"/>
      <c r="B273" s="552"/>
      <c r="C273" s="552"/>
      <c r="D273" s="552"/>
      <c r="E273" s="552"/>
      <c r="F273" s="552"/>
      <c r="G273" s="552"/>
      <c r="H273" s="552"/>
      <c r="I273" s="552"/>
      <c r="J273" s="552"/>
      <c r="N273" s="599"/>
    </row>
    <row r="274" spans="1:14" ht="12" thickBot="1" x14ac:dyDescent="0.25">
      <c r="A274" s="605"/>
      <c r="B274" s="552"/>
      <c r="C274" s="552"/>
      <c r="D274" s="552"/>
      <c r="E274" s="552"/>
      <c r="F274" s="552"/>
      <c r="G274" s="552"/>
      <c r="H274" s="552"/>
      <c r="I274" s="552"/>
      <c r="J274" s="552"/>
      <c r="N274" s="599"/>
    </row>
    <row r="275" spans="1:14" x14ac:dyDescent="0.2">
      <c r="B275" s="552"/>
      <c r="C275" s="552"/>
      <c r="D275" s="552"/>
      <c r="E275" s="552"/>
      <c r="F275" s="552"/>
      <c r="G275" s="552"/>
      <c r="H275" s="552"/>
      <c r="I275" s="552"/>
      <c r="J275" s="552"/>
      <c r="N275" s="599"/>
    </row>
    <row r="276" spans="1:14" x14ac:dyDescent="0.2">
      <c r="B276" s="552"/>
      <c r="C276" s="552"/>
      <c r="D276" s="552"/>
      <c r="E276" s="552"/>
      <c r="F276" s="552"/>
      <c r="G276" s="552"/>
      <c r="H276" s="552"/>
      <c r="I276" s="552"/>
      <c r="J276" s="552"/>
      <c r="N276" s="599"/>
    </row>
    <row r="277" spans="1:14" x14ac:dyDescent="0.2">
      <c r="B277" s="552"/>
      <c r="C277" s="552"/>
      <c r="D277" s="552"/>
      <c r="E277" s="552"/>
      <c r="F277" s="552"/>
      <c r="G277" s="552"/>
      <c r="H277" s="552"/>
      <c r="I277" s="552"/>
      <c r="J277" s="552"/>
      <c r="N277" s="599"/>
    </row>
    <row r="278" spans="1:14" x14ac:dyDescent="0.2">
      <c r="B278" s="552"/>
      <c r="C278" s="552"/>
      <c r="D278" s="552"/>
      <c r="E278" s="552"/>
      <c r="F278" s="552"/>
      <c r="G278" s="552"/>
      <c r="H278" s="552"/>
      <c r="I278" s="552"/>
      <c r="J278" s="552"/>
      <c r="N278" s="599"/>
    </row>
    <row r="279" spans="1:14" x14ac:dyDescent="0.2">
      <c r="B279" s="552"/>
      <c r="C279" s="552"/>
      <c r="D279" s="552"/>
      <c r="E279" s="552"/>
      <c r="F279" s="552"/>
      <c r="G279" s="552"/>
      <c r="H279" s="552"/>
      <c r="I279" s="552"/>
      <c r="J279" s="552"/>
      <c r="N279" s="599"/>
    </row>
    <row r="280" spans="1:14" x14ac:dyDescent="0.2">
      <c r="B280" s="552"/>
      <c r="C280" s="552"/>
      <c r="D280" s="552"/>
      <c r="E280" s="552"/>
      <c r="F280" s="552"/>
      <c r="G280" s="552"/>
      <c r="H280" s="552"/>
      <c r="I280" s="552"/>
      <c r="J280" s="552"/>
      <c r="N280" s="599"/>
    </row>
    <row r="281" spans="1:14" x14ac:dyDescent="0.2">
      <c r="B281" s="552"/>
      <c r="C281" s="552"/>
      <c r="D281" s="552"/>
      <c r="E281" s="552"/>
      <c r="F281" s="552"/>
      <c r="G281" s="552"/>
      <c r="H281" s="552"/>
      <c r="I281" s="552"/>
      <c r="J281" s="552"/>
      <c r="N281" s="599"/>
    </row>
    <row r="282" spans="1:14" x14ac:dyDescent="0.2">
      <c r="B282" s="552"/>
      <c r="C282" s="552"/>
      <c r="D282" s="552"/>
      <c r="E282" s="552"/>
      <c r="F282" s="552"/>
      <c r="G282" s="552"/>
      <c r="H282" s="552"/>
      <c r="I282" s="552"/>
      <c r="J282" s="552"/>
      <c r="N282" s="599"/>
    </row>
    <row r="283" spans="1:14" x14ac:dyDescent="0.2">
      <c r="B283" s="552"/>
      <c r="C283" s="552"/>
      <c r="D283" s="552"/>
      <c r="E283" s="552"/>
      <c r="F283" s="552"/>
      <c r="G283" s="552"/>
      <c r="H283" s="552"/>
      <c r="I283" s="552"/>
      <c r="J283" s="552"/>
      <c r="N283" s="599"/>
    </row>
    <row r="284" spans="1:14" x14ac:dyDescent="0.2">
      <c r="B284" s="552"/>
      <c r="C284" s="552"/>
      <c r="D284" s="552"/>
      <c r="E284" s="552"/>
      <c r="F284" s="552"/>
      <c r="G284" s="552"/>
      <c r="H284" s="552"/>
      <c r="I284" s="552"/>
      <c r="J284" s="552"/>
      <c r="N284" s="599"/>
    </row>
    <row r="285" spans="1:14" x14ac:dyDescent="0.2">
      <c r="B285" s="552"/>
      <c r="C285" s="552"/>
      <c r="D285" s="552"/>
      <c r="E285" s="552"/>
      <c r="F285" s="552"/>
      <c r="G285" s="552"/>
      <c r="H285" s="552"/>
      <c r="I285" s="552"/>
      <c r="J285" s="552"/>
      <c r="N285" s="599"/>
    </row>
    <row r="286" spans="1:14" x14ac:dyDescent="0.2">
      <c r="B286" s="552"/>
      <c r="C286" s="552"/>
      <c r="D286" s="552"/>
      <c r="E286" s="552"/>
      <c r="F286" s="552"/>
      <c r="G286" s="552"/>
      <c r="H286" s="552"/>
      <c r="I286" s="552"/>
      <c r="J286" s="552"/>
      <c r="N286" s="599"/>
    </row>
    <row r="287" spans="1:14" x14ac:dyDescent="0.2">
      <c r="B287" s="552"/>
      <c r="C287" s="552"/>
      <c r="D287" s="552"/>
      <c r="E287" s="552"/>
      <c r="F287" s="552"/>
      <c r="G287" s="552"/>
      <c r="H287" s="552"/>
      <c r="I287" s="552"/>
      <c r="J287" s="552"/>
      <c r="N287" s="599"/>
    </row>
    <row r="288" spans="1:14" x14ac:dyDescent="0.2">
      <c r="B288" s="552"/>
      <c r="C288" s="552"/>
      <c r="D288" s="552"/>
      <c r="E288" s="552"/>
      <c r="F288" s="552"/>
      <c r="G288" s="552"/>
      <c r="H288" s="552"/>
      <c r="I288" s="552"/>
      <c r="J288" s="552"/>
      <c r="N288" s="599"/>
    </row>
    <row r="289" spans="1:14" x14ac:dyDescent="0.2">
      <c r="B289" s="552"/>
      <c r="C289" s="552"/>
      <c r="D289" s="552"/>
      <c r="E289" s="552"/>
      <c r="F289" s="552"/>
      <c r="G289" s="552"/>
      <c r="H289" s="552"/>
      <c r="I289" s="552"/>
      <c r="J289" s="552"/>
      <c r="N289" s="599"/>
    </row>
    <row r="290" spans="1:14" x14ac:dyDescent="0.2">
      <c r="B290" s="552"/>
      <c r="C290" s="552"/>
      <c r="D290" s="552"/>
      <c r="E290" s="552"/>
      <c r="F290" s="552"/>
      <c r="G290" s="552"/>
      <c r="H290" s="552"/>
      <c r="I290" s="552"/>
      <c r="J290" s="552"/>
      <c r="N290" s="599"/>
    </row>
    <row r="291" spans="1:14" x14ac:dyDescent="0.2">
      <c r="B291" s="552"/>
      <c r="C291" s="552"/>
      <c r="D291" s="552"/>
      <c r="E291" s="552"/>
      <c r="F291" s="552"/>
      <c r="G291" s="552"/>
      <c r="H291" s="552"/>
      <c r="I291" s="552"/>
      <c r="J291" s="552"/>
      <c r="N291" s="599"/>
    </row>
    <row r="292" spans="1:14" ht="12" thickBot="1" x14ac:dyDescent="0.25">
      <c r="B292" s="552"/>
      <c r="C292" s="552"/>
      <c r="D292" s="552"/>
      <c r="E292" s="552"/>
      <c r="F292" s="552"/>
      <c r="G292" s="552"/>
      <c r="H292" s="552"/>
      <c r="I292" s="552"/>
      <c r="J292" s="552"/>
      <c r="N292" s="599"/>
    </row>
    <row r="293" spans="1:14" x14ac:dyDescent="0.2">
      <c r="A293" s="600"/>
      <c r="B293" s="552"/>
      <c r="C293" s="552"/>
      <c r="D293" s="552"/>
      <c r="E293" s="552"/>
      <c r="F293" s="552"/>
      <c r="G293" s="552"/>
      <c r="H293" s="552"/>
      <c r="I293" s="552"/>
      <c r="J293" s="552"/>
      <c r="N293" s="599"/>
    </row>
    <row r="294" spans="1:14" x14ac:dyDescent="0.2">
      <c r="A294" s="603"/>
      <c r="B294" s="552"/>
      <c r="C294" s="552"/>
      <c r="D294" s="552"/>
      <c r="E294" s="552"/>
      <c r="F294" s="552"/>
      <c r="G294" s="552"/>
      <c r="H294" s="552"/>
      <c r="I294" s="552"/>
      <c r="J294" s="552"/>
      <c r="N294" s="599"/>
    </row>
    <row r="295" spans="1:14" x14ac:dyDescent="0.2">
      <c r="A295" s="603"/>
      <c r="B295" s="552"/>
      <c r="C295" s="552"/>
      <c r="D295" s="552"/>
      <c r="E295" s="552"/>
      <c r="F295" s="552"/>
      <c r="G295" s="552"/>
      <c r="H295" s="552"/>
      <c r="I295" s="552"/>
      <c r="J295" s="552"/>
      <c r="N295" s="599"/>
    </row>
    <row r="296" spans="1:14" x14ac:dyDescent="0.2">
      <c r="A296" s="603"/>
      <c r="B296" s="552"/>
      <c r="C296" s="552"/>
      <c r="D296" s="552"/>
      <c r="E296" s="552"/>
      <c r="F296" s="552"/>
      <c r="G296" s="552"/>
      <c r="H296" s="552"/>
      <c r="I296" s="552"/>
      <c r="J296" s="552"/>
      <c r="N296" s="599"/>
    </row>
    <row r="297" spans="1:14" x14ac:dyDescent="0.2">
      <c r="A297" s="603"/>
      <c r="B297" s="552"/>
      <c r="C297" s="552"/>
      <c r="D297" s="552"/>
      <c r="E297" s="552"/>
      <c r="F297" s="552"/>
      <c r="G297" s="552"/>
      <c r="H297" s="552"/>
      <c r="I297" s="552"/>
      <c r="J297" s="552"/>
      <c r="N297" s="599"/>
    </row>
    <row r="298" spans="1:14" x14ac:dyDescent="0.2">
      <c r="A298" s="603"/>
      <c r="B298" s="552"/>
      <c r="C298" s="552"/>
      <c r="D298" s="552"/>
      <c r="E298" s="552"/>
      <c r="F298" s="552"/>
      <c r="G298" s="552"/>
      <c r="H298" s="552"/>
      <c r="I298" s="552"/>
      <c r="J298" s="552"/>
      <c r="N298" s="599"/>
    </row>
    <row r="299" spans="1:14" x14ac:dyDescent="0.2">
      <c r="A299" s="603"/>
      <c r="B299" s="552"/>
      <c r="C299" s="552"/>
      <c r="D299" s="552"/>
      <c r="E299" s="552"/>
      <c r="F299" s="552"/>
      <c r="G299" s="552"/>
      <c r="H299" s="552"/>
      <c r="I299" s="552"/>
      <c r="J299" s="552"/>
      <c r="N299" s="599"/>
    </row>
    <row r="300" spans="1:14" x14ac:dyDescent="0.2">
      <c r="A300" s="603"/>
      <c r="B300" s="552"/>
      <c r="C300" s="552"/>
      <c r="D300" s="552"/>
      <c r="E300" s="552"/>
      <c r="F300" s="552"/>
      <c r="G300" s="552"/>
      <c r="H300" s="552"/>
      <c r="I300" s="552"/>
      <c r="J300" s="552"/>
      <c r="N300" s="599"/>
    </row>
    <row r="301" spans="1:14" ht="12" thickBot="1" x14ac:dyDescent="0.25">
      <c r="A301" s="605"/>
      <c r="B301" s="552"/>
      <c r="C301" s="552"/>
      <c r="D301" s="552"/>
      <c r="E301" s="552"/>
      <c r="F301" s="552"/>
      <c r="G301" s="552"/>
      <c r="H301" s="552"/>
      <c r="I301" s="552"/>
      <c r="J301" s="552"/>
      <c r="N301" s="599"/>
    </row>
    <row r="302" spans="1:14" x14ac:dyDescent="0.2">
      <c r="A302" s="600"/>
      <c r="B302" s="552"/>
      <c r="C302" s="552"/>
      <c r="D302" s="552"/>
      <c r="E302" s="552"/>
      <c r="F302" s="552"/>
      <c r="G302" s="552"/>
      <c r="H302" s="552"/>
      <c r="I302" s="552"/>
      <c r="J302" s="552"/>
      <c r="N302" s="599"/>
    </row>
    <row r="303" spans="1:14" x14ac:dyDescent="0.2">
      <c r="A303" s="603"/>
      <c r="B303" s="552"/>
      <c r="C303" s="552"/>
      <c r="D303" s="552"/>
      <c r="E303" s="552"/>
      <c r="F303" s="552"/>
      <c r="G303" s="552"/>
      <c r="H303" s="552"/>
      <c r="I303" s="552"/>
      <c r="J303" s="552"/>
      <c r="N303" s="599"/>
    </row>
    <row r="304" spans="1:14" x14ac:dyDescent="0.2">
      <c r="A304" s="603"/>
      <c r="B304" s="552"/>
      <c r="C304" s="552"/>
      <c r="D304" s="552"/>
      <c r="E304" s="552"/>
      <c r="F304" s="552"/>
      <c r="G304" s="552"/>
      <c r="H304" s="552"/>
      <c r="I304" s="552"/>
      <c r="J304" s="552"/>
      <c r="N304" s="599"/>
    </row>
    <row r="305" spans="1:14" x14ac:dyDescent="0.2">
      <c r="A305" s="603"/>
      <c r="B305" s="552"/>
      <c r="C305" s="552"/>
      <c r="D305" s="552"/>
      <c r="E305" s="552"/>
      <c r="F305" s="552"/>
      <c r="G305" s="552"/>
      <c r="H305" s="552"/>
      <c r="I305" s="552"/>
      <c r="J305" s="552"/>
      <c r="N305" s="599"/>
    </row>
    <row r="306" spans="1:14" x14ac:dyDescent="0.2">
      <c r="A306" s="603"/>
      <c r="B306" s="552"/>
      <c r="C306" s="552"/>
      <c r="D306" s="552"/>
      <c r="E306" s="552"/>
      <c r="F306" s="552"/>
      <c r="G306" s="552"/>
      <c r="H306" s="552"/>
      <c r="I306" s="552"/>
      <c r="J306" s="552"/>
      <c r="N306" s="599"/>
    </row>
    <row r="307" spans="1:14" x14ac:dyDescent="0.2">
      <c r="A307" s="603"/>
      <c r="B307" s="552"/>
      <c r="C307" s="552"/>
      <c r="D307" s="552"/>
      <c r="E307" s="552"/>
      <c r="F307" s="552"/>
      <c r="G307" s="552"/>
      <c r="H307" s="552"/>
      <c r="I307" s="552"/>
      <c r="J307" s="552"/>
      <c r="N307" s="599"/>
    </row>
    <row r="308" spans="1:14" x14ac:dyDescent="0.2">
      <c r="A308" s="603"/>
      <c r="B308" s="552"/>
      <c r="C308" s="552"/>
      <c r="D308" s="552"/>
      <c r="E308" s="552"/>
      <c r="F308" s="552"/>
      <c r="G308" s="552"/>
      <c r="H308" s="552"/>
      <c r="I308" s="552"/>
      <c r="J308" s="552"/>
      <c r="N308" s="599"/>
    </row>
    <row r="309" spans="1:14" x14ac:dyDescent="0.2">
      <c r="A309" s="603"/>
      <c r="B309" s="552"/>
      <c r="C309" s="552"/>
      <c r="D309" s="552"/>
      <c r="E309" s="552"/>
      <c r="F309" s="552"/>
      <c r="G309" s="552"/>
      <c r="H309" s="552"/>
      <c r="I309" s="552"/>
      <c r="J309" s="552"/>
      <c r="N309" s="599"/>
    </row>
    <row r="310" spans="1:14" ht="12" thickBot="1" x14ac:dyDescent="0.25">
      <c r="A310" s="605"/>
      <c r="B310" s="552"/>
      <c r="C310" s="552"/>
      <c r="D310" s="552"/>
      <c r="E310" s="552"/>
      <c r="F310" s="552"/>
      <c r="G310" s="552"/>
      <c r="H310" s="552"/>
      <c r="I310" s="552"/>
      <c r="J310" s="552"/>
      <c r="N310" s="599"/>
    </row>
    <row r="311" spans="1:14" x14ac:dyDescent="0.2">
      <c r="B311" s="552"/>
      <c r="C311" s="552"/>
      <c r="D311" s="552"/>
      <c r="E311" s="552"/>
      <c r="F311" s="552"/>
      <c r="G311" s="552"/>
      <c r="H311" s="552"/>
      <c r="I311" s="552"/>
      <c r="J311" s="552"/>
      <c r="N311" s="599"/>
    </row>
    <row r="312" spans="1:14" x14ac:dyDescent="0.2">
      <c r="B312" s="552"/>
      <c r="C312" s="552"/>
      <c r="D312" s="552"/>
      <c r="E312" s="552"/>
      <c r="F312" s="552"/>
      <c r="G312" s="552"/>
      <c r="H312" s="552"/>
      <c r="I312" s="552"/>
      <c r="J312" s="552"/>
      <c r="N312" s="599"/>
    </row>
    <row r="313" spans="1:14" x14ac:dyDescent="0.2">
      <c r="B313" s="552"/>
      <c r="C313" s="552"/>
      <c r="D313" s="552"/>
      <c r="E313" s="552"/>
      <c r="F313" s="552"/>
      <c r="G313" s="552"/>
      <c r="H313" s="552"/>
      <c r="I313" s="552"/>
      <c r="J313" s="552"/>
      <c r="N313" s="599"/>
    </row>
    <row r="314" spans="1:14" x14ac:dyDescent="0.2">
      <c r="B314" s="552"/>
      <c r="C314" s="552"/>
      <c r="D314" s="552"/>
      <c r="E314" s="552"/>
      <c r="F314" s="552"/>
      <c r="G314" s="552"/>
      <c r="H314" s="552"/>
      <c r="I314" s="552"/>
      <c r="J314" s="552"/>
      <c r="N314" s="599"/>
    </row>
    <row r="315" spans="1:14" x14ac:dyDescent="0.2">
      <c r="B315" s="552"/>
      <c r="C315" s="552"/>
      <c r="D315" s="552"/>
      <c r="E315" s="552"/>
      <c r="F315" s="552"/>
      <c r="G315" s="552"/>
      <c r="H315" s="552"/>
      <c r="I315" s="552"/>
      <c r="J315" s="552"/>
      <c r="N315" s="599"/>
    </row>
    <row r="316" spans="1:14" x14ac:dyDescent="0.2">
      <c r="B316" s="552"/>
      <c r="C316" s="552"/>
      <c r="D316" s="552"/>
      <c r="E316" s="552"/>
      <c r="F316" s="552"/>
      <c r="G316" s="552"/>
      <c r="H316" s="552"/>
      <c r="I316" s="552"/>
      <c r="J316" s="552"/>
      <c r="N316" s="599"/>
    </row>
    <row r="317" spans="1:14" x14ac:dyDescent="0.2">
      <c r="B317" s="552"/>
      <c r="C317" s="552"/>
      <c r="D317" s="552"/>
      <c r="E317" s="552"/>
      <c r="F317" s="552"/>
      <c r="G317" s="552"/>
      <c r="H317" s="552"/>
      <c r="I317" s="552"/>
      <c r="J317" s="552"/>
      <c r="N317" s="599"/>
    </row>
    <row r="318" spans="1:14" x14ac:dyDescent="0.2">
      <c r="B318" s="552"/>
      <c r="C318" s="552"/>
      <c r="D318" s="552"/>
      <c r="E318" s="552"/>
      <c r="F318" s="552"/>
      <c r="G318" s="552"/>
      <c r="H318" s="552"/>
      <c r="I318" s="552"/>
      <c r="J318" s="552"/>
      <c r="N318" s="599"/>
    </row>
    <row r="319" spans="1:14" x14ac:dyDescent="0.2">
      <c r="B319" s="552"/>
      <c r="C319" s="552"/>
      <c r="D319" s="552"/>
      <c r="E319" s="552"/>
      <c r="F319" s="552"/>
      <c r="G319" s="552"/>
      <c r="H319" s="552"/>
      <c r="I319" s="552"/>
      <c r="J319" s="552"/>
      <c r="N319" s="599"/>
    </row>
    <row r="320" spans="1:14" x14ac:dyDescent="0.2">
      <c r="B320" s="552"/>
      <c r="C320" s="552"/>
      <c r="D320" s="552"/>
      <c r="E320" s="552"/>
      <c r="F320" s="552"/>
      <c r="G320" s="552"/>
      <c r="H320" s="552"/>
      <c r="I320" s="552"/>
      <c r="J320" s="552"/>
      <c r="N320" s="599"/>
    </row>
    <row r="321" spans="1:14" x14ac:dyDescent="0.2">
      <c r="B321" s="552"/>
      <c r="C321" s="552"/>
      <c r="D321" s="552"/>
      <c r="E321" s="552"/>
      <c r="F321" s="552"/>
      <c r="G321" s="552"/>
      <c r="H321" s="552"/>
      <c r="I321" s="552"/>
      <c r="J321" s="552"/>
      <c r="N321" s="599"/>
    </row>
    <row r="322" spans="1:14" x14ac:dyDescent="0.2">
      <c r="B322" s="552"/>
      <c r="C322" s="552"/>
      <c r="D322" s="552"/>
      <c r="E322" s="552"/>
      <c r="F322" s="552"/>
      <c r="G322" s="552"/>
      <c r="H322" s="552"/>
      <c r="I322" s="552"/>
      <c r="J322" s="552"/>
      <c r="N322" s="599"/>
    </row>
    <row r="323" spans="1:14" x14ac:dyDescent="0.2">
      <c r="B323" s="552"/>
      <c r="C323" s="552"/>
      <c r="D323" s="552"/>
      <c r="E323" s="552"/>
      <c r="F323" s="552"/>
      <c r="G323" s="552"/>
      <c r="H323" s="552"/>
      <c r="I323" s="552"/>
      <c r="J323" s="552"/>
      <c r="N323" s="599"/>
    </row>
    <row r="324" spans="1:14" x14ac:dyDescent="0.2">
      <c r="B324" s="552"/>
      <c r="C324" s="552"/>
      <c r="D324" s="552"/>
      <c r="E324" s="552"/>
      <c r="F324" s="552"/>
      <c r="G324" s="552"/>
      <c r="H324" s="552"/>
      <c r="I324" s="552"/>
      <c r="J324" s="552"/>
      <c r="N324" s="599"/>
    </row>
    <row r="325" spans="1:14" x14ac:dyDescent="0.2">
      <c r="B325" s="552"/>
      <c r="C325" s="552"/>
      <c r="D325" s="552"/>
      <c r="E325" s="552"/>
      <c r="F325" s="552"/>
      <c r="G325" s="552"/>
      <c r="H325" s="552"/>
      <c r="I325" s="552"/>
      <c r="J325" s="552"/>
      <c r="N325" s="599"/>
    </row>
    <row r="326" spans="1:14" x14ac:dyDescent="0.2">
      <c r="B326" s="552"/>
      <c r="C326" s="552"/>
      <c r="D326" s="552"/>
      <c r="E326" s="552"/>
      <c r="F326" s="552"/>
      <c r="G326" s="552"/>
      <c r="H326" s="552"/>
      <c r="I326" s="552"/>
      <c r="J326" s="552"/>
      <c r="N326" s="599"/>
    </row>
    <row r="327" spans="1:14" x14ac:dyDescent="0.2">
      <c r="B327" s="552"/>
      <c r="C327" s="552"/>
      <c r="D327" s="552"/>
      <c r="E327" s="552"/>
      <c r="F327" s="552"/>
      <c r="G327" s="552"/>
      <c r="H327" s="552"/>
      <c r="I327" s="552"/>
      <c r="J327" s="552"/>
      <c r="N327" s="599"/>
    </row>
    <row r="328" spans="1:14" ht="12" thickBot="1" x14ac:dyDescent="0.25">
      <c r="B328" s="552"/>
      <c r="C328" s="552"/>
      <c r="D328" s="552"/>
      <c r="E328" s="552"/>
      <c r="F328" s="552"/>
      <c r="G328" s="552"/>
      <c r="H328" s="552"/>
      <c r="I328" s="552"/>
      <c r="J328" s="552"/>
      <c r="N328" s="599"/>
    </row>
    <row r="329" spans="1:14" x14ac:dyDescent="0.2">
      <c r="A329" s="600"/>
      <c r="B329" s="552"/>
      <c r="C329" s="552"/>
      <c r="D329" s="552"/>
      <c r="E329" s="552"/>
      <c r="F329" s="552"/>
      <c r="G329" s="552"/>
      <c r="H329" s="552"/>
      <c r="I329" s="552"/>
      <c r="J329" s="552"/>
      <c r="N329" s="599"/>
    </row>
    <row r="330" spans="1:14" x14ac:dyDescent="0.2">
      <c r="A330" s="603"/>
      <c r="B330" s="552"/>
      <c r="C330" s="552"/>
      <c r="D330" s="552"/>
      <c r="E330" s="552"/>
      <c r="F330" s="552"/>
      <c r="G330" s="552"/>
      <c r="H330" s="552"/>
      <c r="I330" s="552"/>
      <c r="J330" s="552"/>
      <c r="N330" s="599"/>
    </row>
    <row r="331" spans="1:14" x14ac:dyDescent="0.2">
      <c r="A331" s="603"/>
      <c r="B331" s="552"/>
      <c r="C331" s="552"/>
      <c r="D331" s="552"/>
      <c r="E331" s="552"/>
      <c r="F331" s="552"/>
      <c r="G331" s="552"/>
      <c r="H331" s="552"/>
      <c r="I331" s="552"/>
      <c r="J331" s="552"/>
      <c r="N331" s="599"/>
    </row>
    <row r="332" spans="1:14" x14ac:dyDescent="0.2">
      <c r="A332" s="603"/>
      <c r="B332" s="552"/>
      <c r="C332" s="552"/>
      <c r="D332" s="552"/>
      <c r="E332" s="552"/>
      <c r="F332" s="552"/>
      <c r="G332" s="552"/>
      <c r="H332" s="552"/>
      <c r="I332" s="552"/>
      <c r="J332" s="552"/>
      <c r="N332" s="599"/>
    </row>
    <row r="333" spans="1:14" x14ac:dyDescent="0.2">
      <c r="A333" s="603"/>
      <c r="B333" s="552"/>
      <c r="C333" s="552"/>
      <c r="D333" s="552"/>
      <c r="E333" s="552"/>
      <c r="F333" s="552"/>
      <c r="G333" s="552"/>
      <c r="H333" s="552"/>
      <c r="I333" s="552"/>
      <c r="J333" s="552"/>
      <c r="N333" s="599"/>
    </row>
    <row r="334" spans="1:14" x14ac:dyDescent="0.2">
      <c r="A334" s="603"/>
      <c r="B334" s="552"/>
      <c r="C334" s="552"/>
      <c r="D334" s="552"/>
      <c r="E334" s="552"/>
      <c r="F334" s="552"/>
      <c r="G334" s="552"/>
      <c r="H334" s="552"/>
      <c r="I334" s="552"/>
      <c r="J334" s="552"/>
      <c r="N334" s="599"/>
    </row>
    <row r="335" spans="1:14" x14ac:dyDescent="0.2">
      <c r="A335" s="603"/>
      <c r="B335" s="552"/>
      <c r="C335" s="552"/>
      <c r="D335" s="552"/>
      <c r="E335" s="552"/>
      <c r="F335" s="552"/>
      <c r="G335" s="552"/>
      <c r="H335" s="552"/>
      <c r="I335" s="552"/>
      <c r="J335" s="552"/>
      <c r="N335" s="599"/>
    </row>
    <row r="336" spans="1:14" x14ac:dyDescent="0.2">
      <c r="A336" s="603"/>
      <c r="B336" s="552"/>
      <c r="C336" s="552"/>
      <c r="D336" s="552"/>
      <c r="E336" s="552"/>
      <c r="F336" s="552"/>
      <c r="G336" s="552"/>
      <c r="H336" s="552"/>
      <c r="I336" s="552"/>
      <c r="J336" s="552"/>
      <c r="N336" s="599"/>
    </row>
    <row r="337" spans="1:14" ht="12" thickBot="1" x14ac:dyDescent="0.25">
      <c r="A337" s="605"/>
      <c r="B337" s="552"/>
      <c r="C337" s="552"/>
      <c r="D337" s="552"/>
      <c r="E337" s="552"/>
      <c r="F337" s="552"/>
      <c r="G337" s="552"/>
      <c r="H337" s="552"/>
      <c r="I337" s="552"/>
      <c r="J337" s="552"/>
      <c r="N337" s="599"/>
    </row>
    <row r="338" spans="1:14" x14ac:dyDescent="0.2">
      <c r="A338" s="600"/>
      <c r="B338" s="552"/>
      <c r="C338" s="552"/>
      <c r="D338" s="552"/>
      <c r="E338" s="552"/>
      <c r="F338" s="552"/>
      <c r="G338" s="552"/>
      <c r="H338" s="552"/>
      <c r="I338" s="552"/>
      <c r="J338" s="552"/>
      <c r="N338" s="599"/>
    </row>
    <row r="339" spans="1:14" x14ac:dyDescent="0.2">
      <c r="A339" s="603"/>
      <c r="B339" s="552"/>
      <c r="C339" s="552"/>
      <c r="D339" s="552"/>
      <c r="E339" s="552"/>
      <c r="F339" s="552"/>
      <c r="G339" s="552"/>
      <c r="H339" s="552"/>
      <c r="I339" s="552"/>
      <c r="J339" s="552"/>
      <c r="N339" s="599"/>
    </row>
    <row r="340" spans="1:14" x14ac:dyDescent="0.2">
      <c r="A340" s="603"/>
      <c r="B340" s="552"/>
      <c r="C340" s="552"/>
      <c r="D340" s="552"/>
      <c r="E340" s="552"/>
      <c r="F340" s="552"/>
      <c r="G340" s="552"/>
      <c r="H340" s="552"/>
      <c r="I340" s="552"/>
      <c r="J340" s="552"/>
      <c r="N340" s="599"/>
    </row>
    <row r="341" spans="1:14" x14ac:dyDescent="0.2">
      <c r="A341" s="603"/>
      <c r="B341" s="552"/>
      <c r="C341" s="552"/>
      <c r="D341" s="552"/>
      <c r="E341" s="552"/>
      <c r="F341" s="552"/>
      <c r="G341" s="552"/>
      <c r="H341" s="552"/>
      <c r="I341" s="552"/>
      <c r="J341" s="552"/>
      <c r="N341" s="599"/>
    </row>
    <row r="342" spans="1:14" x14ac:dyDescent="0.2">
      <c r="A342" s="603"/>
      <c r="B342" s="552"/>
      <c r="C342" s="552"/>
      <c r="D342" s="552"/>
      <c r="E342" s="552"/>
      <c r="F342" s="552"/>
      <c r="G342" s="552"/>
      <c r="H342" s="552"/>
      <c r="I342" s="552"/>
      <c r="J342" s="552"/>
      <c r="N342" s="599"/>
    </row>
    <row r="343" spans="1:14" x14ac:dyDescent="0.2">
      <c r="A343" s="603"/>
      <c r="B343" s="552"/>
      <c r="C343" s="552"/>
      <c r="D343" s="552"/>
      <c r="E343" s="552"/>
      <c r="F343" s="552"/>
      <c r="G343" s="552"/>
      <c r="H343" s="552"/>
      <c r="I343" s="552"/>
      <c r="J343" s="552"/>
      <c r="N343" s="599"/>
    </row>
    <row r="344" spans="1:14" x14ac:dyDescent="0.2">
      <c r="A344" s="603"/>
      <c r="B344" s="552"/>
      <c r="C344" s="552"/>
      <c r="D344" s="552"/>
      <c r="E344" s="552"/>
      <c r="F344" s="552"/>
      <c r="G344" s="552"/>
      <c r="H344" s="552"/>
      <c r="I344" s="552"/>
      <c r="J344" s="552"/>
      <c r="N344" s="599"/>
    </row>
    <row r="345" spans="1:14" x14ac:dyDescent="0.2">
      <c r="A345" s="603"/>
      <c r="B345" s="552"/>
      <c r="C345" s="552"/>
      <c r="D345" s="552"/>
      <c r="E345" s="552"/>
      <c r="F345" s="552"/>
      <c r="G345" s="552"/>
      <c r="H345" s="552"/>
      <c r="I345" s="552"/>
      <c r="J345" s="552"/>
      <c r="N345" s="599"/>
    </row>
    <row r="346" spans="1:14" ht="12" thickBot="1" x14ac:dyDescent="0.25">
      <c r="A346" s="605"/>
      <c r="B346" s="552"/>
      <c r="C346" s="552"/>
      <c r="D346" s="552"/>
      <c r="E346" s="552"/>
      <c r="F346" s="552"/>
      <c r="G346" s="552"/>
      <c r="H346" s="552"/>
      <c r="I346" s="552"/>
      <c r="J346" s="552"/>
      <c r="N346" s="599"/>
    </row>
    <row r="347" spans="1:14" x14ac:dyDescent="0.2">
      <c r="B347" s="552"/>
      <c r="C347" s="552"/>
      <c r="D347" s="552"/>
      <c r="E347" s="552"/>
      <c r="F347" s="552"/>
      <c r="G347" s="552"/>
      <c r="H347" s="552"/>
      <c r="I347" s="552"/>
      <c r="J347" s="552"/>
      <c r="N347" s="599"/>
    </row>
    <row r="348" spans="1:14" x14ac:dyDescent="0.2">
      <c r="B348" s="552"/>
      <c r="C348" s="552"/>
      <c r="D348" s="552"/>
      <c r="E348" s="552"/>
      <c r="F348" s="552"/>
      <c r="G348" s="552"/>
      <c r="H348" s="552"/>
      <c r="I348" s="552"/>
      <c r="J348" s="552"/>
      <c r="N348" s="599"/>
    </row>
    <row r="349" spans="1:14" x14ac:dyDescent="0.2">
      <c r="B349" s="552"/>
      <c r="C349" s="552"/>
      <c r="D349" s="552"/>
      <c r="E349" s="552"/>
      <c r="F349" s="552"/>
      <c r="G349" s="552"/>
      <c r="H349" s="552"/>
      <c r="I349" s="552"/>
      <c r="J349" s="552"/>
      <c r="N349" s="599"/>
    </row>
    <row r="350" spans="1:14" x14ac:dyDescent="0.2">
      <c r="B350" s="552"/>
      <c r="C350" s="552"/>
      <c r="D350" s="552"/>
      <c r="E350" s="552"/>
      <c r="F350" s="552"/>
      <c r="G350" s="552"/>
      <c r="H350" s="552"/>
      <c r="I350" s="552"/>
      <c r="J350" s="552"/>
      <c r="N350" s="599"/>
    </row>
    <row r="351" spans="1:14" x14ac:dyDescent="0.2">
      <c r="B351" s="552"/>
      <c r="C351" s="552"/>
      <c r="D351" s="552"/>
      <c r="E351" s="552"/>
      <c r="F351" s="552"/>
      <c r="G351" s="552"/>
      <c r="H351" s="552"/>
      <c r="I351" s="552"/>
      <c r="J351" s="552"/>
      <c r="N351" s="599"/>
    </row>
    <row r="352" spans="1:14" x14ac:dyDescent="0.2">
      <c r="B352" s="552"/>
      <c r="C352" s="552"/>
      <c r="D352" s="552"/>
      <c r="E352" s="552"/>
      <c r="F352" s="552"/>
      <c r="G352" s="552"/>
      <c r="H352" s="552"/>
      <c r="I352" s="552"/>
      <c r="J352" s="552"/>
      <c r="N352" s="599"/>
    </row>
    <row r="353" spans="1:14" x14ac:dyDescent="0.2">
      <c r="B353" s="552"/>
      <c r="C353" s="552"/>
      <c r="D353" s="552"/>
      <c r="E353" s="552"/>
      <c r="F353" s="552"/>
      <c r="G353" s="552"/>
      <c r="H353" s="552"/>
      <c r="I353" s="552"/>
      <c r="J353" s="552"/>
      <c r="N353" s="599"/>
    </row>
    <row r="354" spans="1:14" x14ac:dyDescent="0.2">
      <c r="B354" s="552"/>
      <c r="C354" s="552"/>
      <c r="D354" s="552"/>
      <c r="E354" s="552"/>
      <c r="F354" s="552"/>
      <c r="G354" s="552"/>
      <c r="H354" s="552"/>
      <c r="I354" s="552"/>
      <c r="J354" s="552"/>
      <c r="N354" s="599"/>
    </row>
    <row r="355" spans="1:14" x14ac:dyDescent="0.2">
      <c r="B355" s="552"/>
      <c r="C355" s="552"/>
      <c r="D355" s="552"/>
      <c r="E355" s="552"/>
      <c r="F355" s="552"/>
      <c r="G355" s="552"/>
      <c r="H355" s="552"/>
      <c r="I355" s="552"/>
      <c r="J355" s="552"/>
      <c r="N355" s="599"/>
    </row>
    <row r="356" spans="1:14" x14ac:dyDescent="0.2">
      <c r="B356" s="552"/>
      <c r="C356" s="552"/>
      <c r="D356" s="552"/>
      <c r="E356" s="552"/>
      <c r="F356" s="552"/>
      <c r="G356" s="552"/>
      <c r="H356" s="552"/>
      <c r="I356" s="552"/>
      <c r="J356" s="552"/>
      <c r="N356" s="599"/>
    </row>
    <row r="357" spans="1:14" x14ac:dyDescent="0.2">
      <c r="B357" s="552"/>
      <c r="C357" s="552"/>
      <c r="D357" s="552"/>
      <c r="E357" s="552"/>
      <c r="F357" s="552"/>
      <c r="G357" s="552"/>
      <c r="H357" s="552"/>
      <c r="I357" s="552"/>
      <c r="J357" s="552"/>
      <c r="N357" s="599"/>
    </row>
    <row r="358" spans="1:14" x14ac:dyDescent="0.2">
      <c r="B358" s="552"/>
      <c r="C358" s="552"/>
      <c r="D358" s="552"/>
      <c r="E358" s="552"/>
      <c r="F358" s="552"/>
      <c r="G358" s="552"/>
      <c r="H358" s="552"/>
      <c r="I358" s="552"/>
      <c r="J358" s="552"/>
      <c r="N358" s="599"/>
    </row>
    <row r="359" spans="1:14" x14ac:dyDescent="0.2">
      <c r="B359" s="552"/>
      <c r="C359" s="552"/>
      <c r="D359" s="552"/>
      <c r="E359" s="552"/>
      <c r="F359" s="552"/>
      <c r="G359" s="552"/>
      <c r="H359" s="552"/>
      <c r="I359" s="552"/>
      <c r="J359" s="552"/>
      <c r="N359" s="599"/>
    </row>
    <row r="360" spans="1:14" x14ac:dyDescent="0.2">
      <c r="B360" s="552"/>
      <c r="C360" s="552"/>
      <c r="D360" s="552"/>
      <c r="E360" s="552"/>
      <c r="F360" s="552"/>
      <c r="G360" s="552"/>
      <c r="H360" s="552"/>
      <c r="I360" s="552"/>
      <c r="J360" s="552"/>
      <c r="N360" s="599"/>
    </row>
    <row r="361" spans="1:14" x14ac:dyDescent="0.2">
      <c r="B361" s="552"/>
      <c r="C361" s="552"/>
      <c r="D361" s="552"/>
      <c r="E361" s="552"/>
      <c r="F361" s="552"/>
      <c r="G361" s="552"/>
      <c r="H361" s="552"/>
      <c r="I361" s="552"/>
      <c r="J361" s="552"/>
      <c r="N361" s="599"/>
    </row>
    <row r="362" spans="1:14" x14ac:dyDescent="0.2">
      <c r="B362" s="552"/>
      <c r="C362" s="552"/>
      <c r="D362" s="552"/>
      <c r="E362" s="552"/>
      <c r="F362" s="552"/>
      <c r="G362" s="552"/>
      <c r="H362" s="552"/>
      <c r="I362" s="552"/>
      <c r="J362" s="552"/>
      <c r="N362" s="599"/>
    </row>
    <row r="363" spans="1:14" x14ac:dyDescent="0.2">
      <c r="B363" s="552"/>
      <c r="C363" s="552"/>
      <c r="D363" s="552"/>
      <c r="E363" s="552"/>
      <c r="F363" s="552"/>
      <c r="G363" s="552"/>
      <c r="H363" s="552"/>
      <c r="I363" s="552"/>
      <c r="J363" s="552"/>
      <c r="N363" s="599"/>
    </row>
    <row r="364" spans="1:14" x14ac:dyDescent="0.2">
      <c r="B364" s="552"/>
      <c r="C364" s="552"/>
      <c r="D364" s="552"/>
      <c r="E364" s="552"/>
      <c r="F364" s="552"/>
      <c r="G364" s="552"/>
      <c r="H364" s="552"/>
      <c r="I364" s="552"/>
      <c r="J364" s="552"/>
      <c r="N364" s="599"/>
    </row>
    <row r="365" spans="1:14" ht="12" thickBot="1" x14ac:dyDescent="0.25">
      <c r="B365" s="552"/>
      <c r="C365" s="552"/>
      <c r="D365" s="552"/>
      <c r="E365" s="552"/>
      <c r="F365" s="552"/>
      <c r="G365" s="552"/>
      <c r="H365" s="552"/>
      <c r="I365" s="552"/>
      <c r="J365" s="552"/>
      <c r="N365" s="599"/>
    </row>
    <row r="366" spans="1:14" x14ac:dyDescent="0.2">
      <c r="A366" s="600"/>
      <c r="B366" s="552"/>
      <c r="C366" s="552"/>
      <c r="D366" s="552"/>
      <c r="E366" s="552"/>
      <c r="F366" s="552"/>
      <c r="G366" s="552"/>
      <c r="H366" s="552"/>
      <c r="I366" s="552"/>
      <c r="J366" s="552"/>
      <c r="N366" s="599"/>
    </row>
    <row r="367" spans="1:14" x14ac:dyDescent="0.2">
      <c r="A367" s="603"/>
      <c r="B367" s="552"/>
      <c r="C367" s="552"/>
      <c r="D367" s="552"/>
      <c r="E367" s="552"/>
      <c r="F367" s="552"/>
      <c r="G367" s="552"/>
      <c r="H367" s="552"/>
      <c r="I367" s="552"/>
      <c r="J367" s="552"/>
      <c r="N367" s="599"/>
    </row>
    <row r="368" spans="1:14" x14ac:dyDescent="0.2">
      <c r="A368" s="603"/>
      <c r="B368" s="552"/>
      <c r="C368" s="552"/>
      <c r="D368" s="552"/>
      <c r="E368" s="552"/>
      <c r="F368" s="552"/>
      <c r="G368" s="552"/>
      <c r="H368" s="552"/>
      <c r="I368" s="552"/>
      <c r="J368" s="552"/>
      <c r="N368" s="599"/>
    </row>
    <row r="369" spans="1:14" x14ac:dyDescent="0.2">
      <c r="A369" s="603"/>
      <c r="B369" s="552"/>
      <c r="C369" s="552"/>
      <c r="D369" s="552"/>
      <c r="E369" s="552"/>
      <c r="F369" s="552"/>
      <c r="G369" s="552"/>
      <c r="H369" s="552"/>
      <c r="I369" s="552"/>
      <c r="J369" s="552"/>
      <c r="N369" s="599"/>
    </row>
    <row r="370" spans="1:14" x14ac:dyDescent="0.2">
      <c r="A370" s="603"/>
      <c r="B370" s="552"/>
      <c r="C370" s="552"/>
      <c r="D370" s="552"/>
      <c r="E370" s="552"/>
      <c r="F370" s="552"/>
      <c r="G370" s="552"/>
      <c r="H370" s="552"/>
      <c r="I370" s="552"/>
      <c r="J370" s="552"/>
      <c r="N370" s="599"/>
    </row>
    <row r="371" spans="1:14" x14ac:dyDescent="0.2">
      <c r="A371" s="603"/>
      <c r="B371" s="552"/>
      <c r="C371" s="552"/>
      <c r="D371" s="552"/>
      <c r="E371" s="552"/>
      <c r="F371" s="552"/>
      <c r="G371" s="552"/>
      <c r="H371" s="552"/>
      <c r="I371" s="552"/>
      <c r="J371" s="552"/>
      <c r="N371" s="599"/>
    </row>
    <row r="372" spans="1:14" x14ac:dyDescent="0.2">
      <c r="A372" s="603"/>
      <c r="B372" s="552"/>
      <c r="C372" s="552"/>
      <c r="D372" s="552"/>
      <c r="E372" s="552"/>
      <c r="F372" s="552"/>
      <c r="G372" s="552"/>
      <c r="H372" s="552"/>
      <c r="I372" s="552"/>
      <c r="J372" s="552"/>
      <c r="N372" s="599"/>
    </row>
    <row r="373" spans="1:14" x14ac:dyDescent="0.2">
      <c r="A373" s="603"/>
      <c r="B373" s="552"/>
      <c r="C373" s="552"/>
      <c r="D373" s="552"/>
      <c r="E373" s="552"/>
      <c r="F373" s="552"/>
      <c r="G373" s="552"/>
      <c r="H373" s="552"/>
      <c r="I373" s="552"/>
      <c r="J373" s="552"/>
      <c r="N373" s="599"/>
    </row>
    <row r="374" spans="1:14" ht="12" thickBot="1" x14ac:dyDescent="0.25">
      <c r="A374" s="605"/>
      <c r="B374" s="552"/>
      <c r="C374" s="552"/>
      <c r="D374" s="552"/>
      <c r="E374" s="552"/>
      <c r="F374" s="552"/>
      <c r="G374" s="552"/>
      <c r="H374" s="552"/>
      <c r="I374" s="552"/>
      <c r="J374" s="552"/>
      <c r="N374" s="599"/>
    </row>
    <row r="375" spans="1:14" x14ac:dyDescent="0.2">
      <c r="B375" s="552"/>
      <c r="C375" s="552"/>
      <c r="D375" s="552"/>
      <c r="E375" s="552"/>
      <c r="F375" s="552"/>
      <c r="G375" s="552"/>
      <c r="H375" s="552"/>
      <c r="I375" s="552"/>
      <c r="J375" s="552"/>
      <c r="N375" s="599"/>
    </row>
    <row r="376" spans="1:14" x14ac:dyDescent="0.2">
      <c r="B376" s="552"/>
      <c r="C376" s="552"/>
      <c r="D376" s="552"/>
      <c r="E376" s="552"/>
      <c r="F376" s="552"/>
      <c r="G376" s="552"/>
      <c r="H376" s="552"/>
      <c r="I376" s="552"/>
      <c r="J376" s="552"/>
      <c r="N376" s="599"/>
    </row>
    <row r="377" spans="1:14" x14ac:dyDescent="0.2">
      <c r="B377" s="552"/>
      <c r="C377" s="552"/>
      <c r="D377" s="552"/>
      <c r="E377" s="552"/>
      <c r="F377" s="552"/>
      <c r="G377" s="552"/>
      <c r="H377" s="552"/>
      <c r="I377" s="552"/>
      <c r="J377" s="552"/>
      <c r="N377" s="599"/>
    </row>
    <row r="378" spans="1:14" x14ac:dyDescent="0.2">
      <c r="B378" s="552"/>
      <c r="C378" s="552"/>
      <c r="D378" s="552"/>
      <c r="E378" s="552"/>
      <c r="F378" s="552"/>
      <c r="G378" s="552"/>
      <c r="H378" s="552"/>
      <c r="I378" s="552"/>
      <c r="J378" s="552"/>
      <c r="N378" s="599"/>
    </row>
    <row r="379" spans="1:14" x14ac:dyDescent="0.2">
      <c r="B379" s="552"/>
      <c r="C379" s="552"/>
      <c r="D379" s="552"/>
      <c r="E379" s="552"/>
      <c r="F379" s="552"/>
      <c r="G379" s="552"/>
      <c r="H379" s="552"/>
      <c r="I379" s="552"/>
      <c r="J379" s="552"/>
      <c r="N379" s="599"/>
    </row>
    <row r="380" spans="1:14" x14ac:dyDescent="0.2">
      <c r="B380" s="552"/>
      <c r="C380" s="552"/>
      <c r="D380" s="552"/>
      <c r="E380" s="552"/>
      <c r="F380" s="552"/>
      <c r="G380" s="552"/>
      <c r="H380" s="552"/>
      <c r="I380" s="552"/>
      <c r="J380" s="552"/>
      <c r="N380" s="599"/>
    </row>
    <row r="381" spans="1:14" x14ac:dyDescent="0.2">
      <c r="B381" s="552"/>
      <c r="C381" s="552"/>
      <c r="D381" s="552"/>
      <c r="E381" s="552"/>
      <c r="F381" s="552"/>
      <c r="G381" s="552"/>
      <c r="H381" s="552"/>
      <c r="I381" s="552"/>
      <c r="J381" s="552"/>
      <c r="N381" s="599"/>
    </row>
    <row r="382" spans="1:14" x14ac:dyDescent="0.2">
      <c r="B382" s="552"/>
      <c r="C382" s="552"/>
      <c r="D382" s="552"/>
      <c r="E382" s="552"/>
      <c r="F382" s="552"/>
      <c r="G382" s="552"/>
      <c r="H382" s="552"/>
      <c r="I382" s="552"/>
      <c r="J382" s="552"/>
      <c r="N382" s="599"/>
    </row>
    <row r="383" spans="1:14" ht="12" thickBot="1" x14ac:dyDescent="0.25">
      <c r="B383" s="552"/>
      <c r="C383" s="552"/>
      <c r="D383" s="552"/>
      <c r="E383" s="552"/>
      <c r="F383" s="552"/>
      <c r="G383" s="552"/>
      <c r="H383" s="552"/>
      <c r="I383" s="552"/>
      <c r="J383" s="552"/>
      <c r="N383" s="599"/>
    </row>
    <row r="384" spans="1:14" x14ac:dyDescent="0.2">
      <c r="A384" s="600"/>
      <c r="B384" s="552"/>
      <c r="C384" s="552"/>
      <c r="D384" s="552"/>
      <c r="E384" s="552"/>
      <c r="F384" s="552"/>
      <c r="G384" s="552"/>
      <c r="H384" s="552"/>
      <c r="I384" s="552"/>
      <c r="J384" s="552"/>
      <c r="N384" s="599"/>
    </row>
    <row r="385" spans="1:14" x14ac:dyDescent="0.2">
      <c r="A385" s="603"/>
      <c r="B385" s="552"/>
      <c r="C385" s="552"/>
      <c r="D385" s="552"/>
      <c r="E385" s="552"/>
      <c r="F385" s="552"/>
      <c r="G385" s="552"/>
      <c r="H385" s="552"/>
      <c r="I385" s="552"/>
      <c r="J385" s="552"/>
      <c r="N385" s="599"/>
    </row>
    <row r="386" spans="1:14" x14ac:dyDescent="0.2">
      <c r="A386" s="603"/>
      <c r="B386" s="552"/>
      <c r="C386" s="552"/>
      <c r="D386" s="552"/>
      <c r="E386" s="552"/>
      <c r="F386" s="552"/>
      <c r="G386" s="552"/>
      <c r="H386" s="552"/>
      <c r="I386" s="552"/>
      <c r="J386" s="552"/>
      <c r="N386" s="599"/>
    </row>
    <row r="387" spans="1:14" x14ac:dyDescent="0.2">
      <c r="A387" s="603"/>
      <c r="B387" s="552"/>
      <c r="C387" s="552"/>
      <c r="D387" s="552"/>
      <c r="E387" s="552"/>
      <c r="F387" s="552"/>
      <c r="G387" s="552"/>
      <c r="H387" s="552"/>
      <c r="I387" s="552"/>
      <c r="J387" s="552"/>
      <c r="N387" s="599"/>
    </row>
    <row r="388" spans="1:14" x14ac:dyDescent="0.2">
      <c r="A388" s="603"/>
      <c r="B388" s="552"/>
      <c r="C388" s="552"/>
      <c r="D388" s="552"/>
      <c r="E388" s="552"/>
      <c r="F388" s="552"/>
      <c r="G388" s="552"/>
      <c r="H388" s="552"/>
      <c r="I388" s="552"/>
      <c r="J388" s="552"/>
      <c r="N388" s="599"/>
    </row>
    <row r="389" spans="1:14" x14ac:dyDescent="0.2">
      <c r="A389" s="603"/>
      <c r="B389" s="552"/>
      <c r="C389" s="552"/>
      <c r="D389" s="552"/>
      <c r="E389" s="552"/>
      <c r="F389" s="552"/>
      <c r="G389" s="552"/>
      <c r="H389" s="552"/>
      <c r="I389" s="552"/>
      <c r="J389" s="552"/>
      <c r="N389" s="599"/>
    </row>
    <row r="390" spans="1:14" x14ac:dyDescent="0.2">
      <c r="A390" s="603"/>
      <c r="B390" s="552"/>
      <c r="C390" s="552"/>
      <c r="D390" s="552"/>
      <c r="E390" s="552"/>
      <c r="F390" s="552"/>
      <c r="G390" s="552"/>
      <c r="H390" s="552"/>
      <c r="I390" s="552"/>
      <c r="J390" s="552"/>
      <c r="N390" s="599"/>
    </row>
    <row r="391" spans="1:14" x14ac:dyDescent="0.2">
      <c r="A391" s="603"/>
      <c r="B391" s="552"/>
      <c r="C391" s="552"/>
      <c r="D391" s="552"/>
      <c r="E391" s="552"/>
      <c r="F391" s="552"/>
      <c r="G391" s="552"/>
      <c r="H391" s="552"/>
      <c r="I391" s="552"/>
      <c r="J391" s="552"/>
      <c r="N391" s="599"/>
    </row>
    <row r="392" spans="1:14" ht="12" thickBot="1" x14ac:dyDescent="0.25">
      <c r="A392" s="605"/>
      <c r="B392" s="552"/>
      <c r="C392" s="552"/>
      <c r="D392" s="552"/>
      <c r="E392" s="552"/>
      <c r="F392" s="552"/>
      <c r="G392" s="552"/>
      <c r="H392" s="552"/>
      <c r="I392" s="552"/>
      <c r="J392" s="552"/>
      <c r="N392" s="599"/>
    </row>
    <row r="393" spans="1:14" x14ac:dyDescent="0.2">
      <c r="B393" s="552"/>
      <c r="C393" s="552"/>
      <c r="D393" s="552"/>
      <c r="E393" s="552"/>
      <c r="F393" s="552"/>
      <c r="G393" s="552"/>
      <c r="H393" s="552"/>
      <c r="I393" s="552"/>
      <c r="J393" s="552"/>
      <c r="N393" s="599"/>
    </row>
    <row r="394" spans="1:14" x14ac:dyDescent="0.2">
      <c r="B394" s="552"/>
      <c r="C394" s="552"/>
      <c r="D394" s="552"/>
      <c r="E394" s="552"/>
      <c r="F394" s="552"/>
      <c r="G394" s="552"/>
      <c r="H394" s="552"/>
      <c r="I394" s="552"/>
      <c r="J394" s="552"/>
      <c r="N394" s="599"/>
    </row>
    <row r="395" spans="1:14" x14ac:dyDescent="0.2">
      <c r="B395" s="552"/>
      <c r="C395" s="552"/>
      <c r="D395" s="552"/>
      <c r="E395" s="552"/>
      <c r="F395" s="552"/>
      <c r="G395" s="552"/>
      <c r="H395" s="552"/>
      <c r="I395" s="552"/>
      <c r="J395" s="552"/>
      <c r="N395" s="599"/>
    </row>
    <row r="396" spans="1:14" x14ac:dyDescent="0.2">
      <c r="B396" s="552"/>
      <c r="C396" s="552"/>
      <c r="D396" s="552"/>
      <c r="E396" s="552"/>
      <c r="F396" s="552"/>
      <c r="G396" s="552"/>
      <c r="H396" s="552"/>
      <c r="I396" s="552"/>
      <c r="J396" s="552"/>
      <c r="N396" s="599"/>
    </row>
    <row r="397" spans="1:14" x14ac:dyDescent="0.2">
      <c r="B397" s="552"/>
      <c r="C397" s="552"/>
      <c r="D397" s="552"/>
      <c r="E397" s="552"/>
      <c r="F397" s="552"/>
      <c r="G397" s="552"/>
      <c r="H397" s="552"/>
      <c r="I397" s="552"/>
      <c r="J397" s="552"/>
      <c r="N397" s="599"/>
    </row>
    <row r="398" spans="1:14" x14ac:dyDescent="0.2">
      <c r="B398" s="552"/>
      <c r="C398" s="552"/>
      <c r="D398" s="552"/>
      <c r="E398" s="552"/>
      <c r="F398" s="552"/>
      <c r="G398" s="552"/>
      <c r="H398" s="552"/>
      <c r="I398" s="552"/>
      <c r="J398" s="552"/>
      <c r="N398" s="599"/>
    </row>
    <row r="399" spans="1:14" x14ac:dyDescent="0.2">
      <c r="B399" s="552"/>
      <c r="C399" s="552"/>
      <c r="D399" s="552"/>
      <c r="E399" s="552"/>
      <c r="F399" s="552"/>
      <c r="G399" s="552"/>
      <c r="H399" s="552"/>
      <c r="I399" s="552"/>
      <c r="J399" s="552"/>
      <c r="N399" s="599"/>
    </row>
    <row r="400" spans="1:14" x14ac:dyDescent="0.2">
      <c r="B400" s="552"/>
      <c r="C400" s="552"/>
      <c r="D400" s="552"/>
      <c r="E400" s="552"/>
      <c r="F400" s="552"/>
      <c r="G400" s="552"/>
      <c r="H400" s="552"/>
      <c r="I400" s="552"/>
      <c r="J400" s="552"/>
      <c r="N400" s="599"/>
    </row>
    <row r="401" spans="2:14" x14ac:dyDescent="0.2">
      <c r="B401" s="552"/>
      <c r="C401" s="552"/>
      <c r="D401" s="552"/>
      <c r="E401" s="552"/>
      <c r="F401" s="552"/>
      <c r="G401" s="552"/>
      <c r="H401" s="552"/>
      <c r="I401" s="552"/>
      <c r="J401" s="552"/>
      <c r="N401" s="599"/>
    </row>
    <row r="402" spans="2:14" x14ac:dyDescent="0.2">
      <c r="B402" s="552"/>
      <c r="C402" s="552"/>
      <c r="D402" s="552"/>
      <c r="E402" s="552"/>
      <c r="F402" s="552"/>
      <c r="G402" s="552"/>
      <c r="H402" s="552"/>
      <c r="I402" s="552"/>
      <c r="J402" s="552"/>
      <c r="N402" s="599"/>
    </row>
    <row r="403" spans="2:14" x14ac:dyDescent="0.2">
      <c r="B403" s="552"/>
      <c r="C403" s="552"/>
      <c r="D403" s="552"/>
      <c r="E403" s="552"/>
      <c r="F403" s="552"/>
      <c r="G403" s="552"/>
      <c r="H403" s="552"/>
      <c r="I403" s="552"/>
      <c r="J403" s="552"/>
      <c r="N403" s="599"/>
    </row>
    <row r="404" spans="2:14" x14ac:dyDescent="0.2">
      <c r="B404" s="552"/>
      <c r="C404" s="552"/>
      <c r="D404" s="552"/>
      <c r="E404" s="552"/>
      <c r="F404" s="552"/>
      <c r="G404" s="552"/>
      <c r="H404" s="552"/>
      <c r="I404" s="552"/>
      <c r="J404" s="552"/>
      <c r="N404" s="599"/>
    </row>
    <row r="405" spans="2:14" x14ac:dyDescent="0.2">
      <c r="B405" s="552"/>
      <c r="C405" s="552"/>
      <c r="D405" s="552"/>
      <c r="E405" s="552"/>
      <c r="F405" s="552"/>
      <c r="G405" s="552"/>
      <c r="H405" s="552"/>
      <c r="I405" s="552"/>
      <c r="J405" s="552"/>
      <c r="N405" s="599"/>
    </row>
    <row r="406" spans="2:14" x14ac:dyDescent="0.2">
      <c r="B406" s="552"/>
      <c r="C406" s="552"/>
      <c r="D406" s="552"/>
      <c r="E406" s="552"/>
      <c r="F406" s="552"/>
      <c r="G406" s="552"/>
      <c r="H406" s="552"/>
      <c r="I406" s="552"/>
      <c r="J406" s="552"/>
      <c r="N406" s="599"/>
    </row>
    <row r="407" spans="2:14" x14ac:dyDescent="0.2">
      <c r="B407" s="552"/>
      <c r="C407" s="552"/>
      <c r="D407" s="552"/>
      <c r="E407" s="552"/>
      <c r="F407" s="552"/>
      <c r="G407" s="552"/>
      <c r="H407" s="552"/>
      <c r="I407" s="552"/>
      <c r="J407" s="552"/>
      <c r="N407" s="599"/>
    </row>
    <row r="408" spans="2:14" x14ac:dyDescent="0.2">
      <c r="B408" s="552"/>
      <c r="C408" s="552"/>
      <c r="D408" s="552"/>
      <c r="E408" s="552"/>
      <c r="F408" s="552"/>
      <c r="G408" s="552"/>
      <c r="H408" s="552"/>
      <c r="I408" s="552"/>
      <c r="J408" s="552"/>
      <c r="N408" s="599"/>
    </row>
    <row r="409" spans="2:14" x14ac:dyDescent="0.2">
      <c r="B409" s="552"/>
      <c r="C409" s="552"/>
      <c r="D409" s="552"/>
      <c r="E409" s="552"/>
      <c r="F409" s="552"/>
      <c r="G409" s="552"/>
      <c r="H409" s="552"/>
      <c r="I409" s="552"/>
      <c r="J409" s="552"/>
      <c r="N409" s="599"/>
    </row>
    <row r="410" spans="2:14" x14ac:dyDescent="0.2">
      <c r="B410" s="552"/>
      <c r="C410" s="552"/>
      <c r="D410" s="552"/>
      <c r="E410" s="552"/>
      <c r="F410" s="552"/>
      <c r="G410" s="552"/>
      <c r="H410" s="552"/>
      <c r="I410" s="552"/>
      <c r="J410" s="552"/>
      <c r="N410" s="599"/>
    </row>
    <row r="411" spans="2:14" x14ac:dyDescent="0.2">
      <c r="B411" s="552"/>
      <c r="C411" s="552"/>
      <c r="D411" s="552"/>
      <c r="E411" s="552"/>
      <c r="F411" s="552"/>
      <c r="G411" s="552"/>
      <c r="H411" s="552"/>
      <c r="I411" s="552"/>
      <c r="J411" s="552"/>
      <c r="N411" s="599"/>
    </row>
    <row r="412" spans="2:14" x14ac:dyDescent="0.2">
      <c r="B412" s="552"/>
      <c r="C412" s="552"/>
      <c r="D412" s="552"/>
      <c r="E412" s="552"/>
      <c r="F412" s="552"/>
      <c r="G412" s="552"/>
      <c r="H412" s="552"/>
      <c r="I412" s="552"/>
      <c r="J412" s="552"/>
      <c r="N412" s="599"/>
    </row>
    <row r="413" spans="2:14" x14ac:dyDescent="0.2">
      <c r="B413" s="552"/>
      <c r="C413" s="552"/>
      <c r="D413" s="552"/>
      <c r="E413" s="552"/>
      <c r="F413" s="552"/>
      <c r="G413" s="552"/>
      <c r="H413" s="552"/>
      <c r="I413" s="552"/>
      <c r="J413" s="552"/>
      <c r="N413" s="599"/>
    </row>
    <row r="414" spans="2:14" x14ac:dyDescent="0.2">
      <c r="B414" s="552"/>
      <c r="C414" s="552"/>
      <c r="D414" s="552"/>
      <c r="E414" s="552"/>
      <c r="F414" s="552"/>
      <c r="G414" s="552"/>
      <c r="H414" s="552"/>
      <c r="I414" s="552"/>
      <c r="J414" s="552"/>
      <c r="N414" s="599"/>
    </row>
    <row r="415" spans="2:14" x14ac:dyDescent="0.2">
      <c r="B415" s="552"/>
      <c r="C415" s="552"/>
      <c r="D415" s="552"/>
      <c r="E415" s="552"/>
      <c r="F415" s="552"/>
      <c r="G415" s="552"/>
      <c r="H415" s="552"/>
      <c r="I415" s="552"/>
      <c r="J415" s="552"/>
      <c r="N415" s="599"/>
    </row>
    <row r="416" spans="2:14" x14ac:dyDescent="0.2">
      <c r="B416" s="552"/>
      <c r="C416" s="552"/>
      <c r="D416" s="552"/>
      <c r="E416" s="552"/>
      <c r="F416" s="552"/>
      <c r="G416" s="552"/>
      <c r="H416" s="552"/>
      <c r="I416" s="552"/>
      <c r="J416" s="552"/>
      <c r="N416" s="599"/>
    </row>
    <row r="417" spans="1:14" x14ac:dyDescent="0.2">
      <c r="B417" s="552"/>
      <c r="C417" s="552"/>
      <c r="D417" s="552"/>
      <c r="E417" s="552"/>
      <c r="F417" s="552"/>
      <c r="G417" s="552"/>
      <c r="H417" s="552"/>
      <c r="I417" s="552"/>
      <c r="J417" s="552"/>
      <c r="N417" s="599"/>
    </row>
    <row r="418" spans="1:14" x14ac:dyDescent="0.2">
      <c r="B418" s="552"/>
      <c r="C418" s="552"/>
      <c r="D418" s="552"/>
      <c r="E418" s="552"/>
      <c r="F418" s="552"/>
      <c r="G418" s="552"/>
      <c r="H418" s="552"/>
      <c r="I418" s="552"/>
      <c r="J418" s="552"/>
      <c r="N418" s="599"/>
    </row>
    <row r="419" spans="1:14" ht="12" thickBot="1" x14ac:dyDescent="0.25">
      <c r="B419" s="552"/>
      <c r="C419" s="552"/>
      <c r="D419" s="552"/>
      <c r="E419" s="552"/>
      <c r="F419" s="552"/>
      <c r="G419" s="552"/>
      <c r="H419" s="552"/>
      <c r="I419" s="552"/>
      <c r="J419" s="552"/>
      <c r="N419" s="599"/>
    </row>
    <row r="420" spans="1:14" x14ac:dyDescent="0.2">
      <c r="A420" s="600"/>
      <c r="B420" s="552"/>
      <c r="C420" s="552"/>
      <c r="D420" s="552"/>
      <c r="E420" s="552"/>
      <c r="F420" s="552"/>
      <c r="G420" s="552"/>
      <c r="H420" s="552"/>
      <c r="I420" s="552"/>
      <c r="J420" s="552"/>
      <c r="N420" s="599"/>
    </row>
    <row r="421" spans="1:14" x14ac:dyDescent="0.2">
      <c r="A421" s="603"/>
      <c r="B421" s="552"/>
      <c r="C421" s="552"/>
      <c r="D421" s="552"/>
      <c r="E421" s="552"/>
      <c r="F421" s="552"/>
      <c r="G421" s="552"/>
      <c r="H421" s="552"/>
      <c r="I421" s="552"/>
      <c r="J421" s="552"/>
      <c r="N421" s="599"/>
    </row>
    <row r="422" spans="1:14" x14ac:dyDescent="0.2">
      <c r="A422" s="603"/>
      <c r="B422" s="552"/>
      <c r="C422" s="552"/>
      <c r="D422" s="552"/>
      <c r="E422" s="552"/>
      <c r="F422" s="552"/>
      <c r="G422" s="552"/>
      <c r="H422" s="552"/>
      <c r="I422" s="552"/>
      <c r="J422" s="552"/>
      <c r="N422" s="599"/>
    </row>
    <row r="423" spans="1:14" x14ac:dyDescent="0.2">
      <c r="A423" s="603"/>
      <c r="B423" s="552"/>
      <c r="C423" s="552"/>
      <c r="D423" s="552"/>
      <c r="E423" s="552"/>
      <c r="F423" s="552"/>
      <c r="G423" s="552"/>
      <c r="H423" s="552"/>
      <c r="I423" s="552"/>
      <c r="J423" s="552"/>
      <c r="N423" s="599"/>
    </row>
    <row r="424" spans="1:14" x14ac:dyDescent="0.2">
      <c r="A424" s="603"/>
      <c r="B424" s="552"/>
      <c r="C424" s="552"/>
      <c r="D424" s="552"/>
      <c r="E424" s="552"/>
      <c r="F424" s="552"/>
      <c r="G424" s="552"/>
      <c r="H424" s="552"/>
      <c r="I424" s="552"/>
      <c r="J424" s="552"/>
      <c r="N424" s="599"/>
    </row>
    <row r="425" spans="1:14" x14ac:dyDescent="0.2">
      <c r="A425" s="603"/>
      <c r="B425" s="552"/>
      <c r="C425" s="552"/>
      <c r="D425" s="552"/>
      <c r="E425" s="552"/>
      <c r="F425" s="552"/>
      <c r="G425" s="552"/>
      <c r="H425" s="552"/>
      <c r="I425" s="552"/>
      <c r="J425" s="552"/>
      <c r="N425" s="599"/>
    </row>
    <row r="426" spans="1:14" x14ac:dyDescent="0.2">
      <c r="A426" s="603"/>
      <c r="B426" s="552"/>
      <c r="C426" s="552"/>
      <c r="D426" s="552"/>
      <c r="E426" s="552"/>
      <c r="F426" s="552"/>
      <c r="G426" s="552"/>
      <c r="H426" s="552"/>
      <c r="I426" s="552"/>
      <c r="J426" s="552"/>
      <c r="N426" s="599"/>
    </row>
    <row r="427" spans="1:14" x14ac:dyDescent="0.2">
      <c r="A427" s="603"/>
      <c r="B427" s="552"/>
      <c r="C427" s="552"/>
      <c r="D427" s="552"/>
      <c r="E427" s="552"/>
      <c r="F427" s="552"/>
      <c r="G427" s="552"/>
      <c r="H427" s="552"/>
      <c r="I427" s="552"/>
      <c r="J427" s="552"/>
      <c r="N427" s="599"/>
    </row>
    <row r="428" spans="1:14" x14ac:dyDescent="0.2">
      <c r="A428" s="603"/>
      <c r="B428" s="552"/>
      <c r="C428" s="552"/>
      <c r="D428" s="552"/>
      <c r="E428" s="552"/>
      <c r="F428" s="552"/>
      <c r="G428" s="552"/>
      <c r="H428" s="552"/>
      <c r="I428" s="552"/>
      <c r="J428" s="552"/>
      <c r="N428" s="599"/>
    </row>
    <row r="429" spans="1:14" x14ac:dyDescent="0.2">
      <c r="A429" s="603"/>
      <c r="B429" s="552"/>
      <c r="C429" s="552"/>
      <c r="D429" s="552"/>
      <c r="E429" s="552"/>
      <c r="F429" s="552"/>
      <c r="G429" s="552"/>
      <c r="H429" s="552"/>
      <c r="I429" s="552"/>
      <c r="J429" s="552"/>
      <c r="N429" s="599"/>
    </row>
    <row r="430" spans="1:14" x14ac:dyDescent="0.2">
      <c r="A430" s="603"/>
      <c r="B430" s="552"/>
      <c r="C430" s="552"/>
      <c r="D430" s="552"/>
      <c r="E430" s="552"/>
      <c r="F430" s="552"/>
      <c r="G430" s="552"/>
      <c r="H430" s="552"/>
      <c r="I430" s="552"/>
      <c r="J430" s="552"/>
      <c r="N430" s="599"/>
    </row>
    <row r="431" spans="1:14" x14ac:dyDescent="0.2">
      <c r="A431" s="603"/>
      <c r="B431" s="552"/>
      <c r="C431" s="552"/>
      <c r="D431" s="552"/>
      <c r="E431" s="552"/>
      <c r="F431" s="552"/>
      <c r="G431" s="552"/>
      <c r="H431" s="552"/>
      <c r="I431" s="552"/>
      <c r="J431" s="552"/>
      <c r="N431" s="599"/>
    </row>
    <row r="432" spans="1:14" x14ac:dyDescent="0.2">
      <c r="A432" s="603"/>
      <c r="B432" s="552"/>
      <c r="C432" s="552"/>
      <c r="D432" s="552"/>
      <c r="E432" s="552"/>
      <c r="F432" s="552"/>
      <c r="G432" s="552"/>
      <c r="H432" s="552"/>
      <c r="I432" s="552"/>
      <c r="J432" s="552"/>
      <c r="N432" s="599"/>
    </row>
    <row r="433" spans="1:14" ht="12" thickBot="1" x14ac:dyDescent="0.25">
      <c r="A433" s="605"/>
      <c r="B433" s="552"/>
      <c r="C433" s="552"/>
      <c r="D433" s="552"/>
      <c r="E433" s="552"/>
      <c r="F433" s="552"/>
      <c r="G433" s="552"/>
      <c r="H433" s="552"/>
      <c r="I433" s="552"/>
      <c r="J433" s="552"/>
      <c r="N433" s="599"/>
    </row>
    <row r="434" spans="1:14" x14ac:dyDescent="0.2">
      <c r="A434" s="600"/>
      <c r="B434" s="552"/>
      <c r="C434" s="552"/>
      <c r="D434" s="552"/>
      <c r="E434" s="552"/>
      <c r="F434" s="552"/>
      <c r="G434" s="552"/>
      <c r="H434" s="552"/>
      <c r="I434" s="552"/>
      <c r="J434" s="552"/>
      <c r="N434" s="599"/>
    </row>
    <row r="435" spans="1:14" x14ac:dyDescent="0.2">
      <c r="A435" s="603"/>
      <c r="B435" s="552"/>
      <c r="C435" s="552"/>
      <c r="D435" s="552"/>
      <c r="E435" s="552"/>
      <c r="F435" s="552"/>
      <c r="G435" s="552"/>
      <c r="H435" s="552"/>
      <c r="I435" s="552"/>
      <c r="J435" s="552"/>
      <c r="N435" s="599"/>
    </row>
    <row r="436" spans="1:14" x14ac:dyDescent="0.2">
      <c r="A436" s="603"/>
      <c r="B436" s="552"/>
      <c r="C436" s="552"/>
      <c r="D436" s="552"/>
      <c r="E436" s="552"/>
      <c r="F436" s="552"/>
      <c r="G436" s="552"/>
      <c r="H436" s="552"/>
      <c r="I436" s="552"/>
      <c r="J436" s="552"/>
      <c r="N436" s="599"/>
    </row>
    <row r="437" spans="1:14" x14ac:dyDescent="0.2">
      <c r="A437" s="603"/>
      <c r="B437" s="552"/>
      <c r="C437" s="552"/>
      <c r="D437" s="552"/>
      <c r="E437" s="552"/>
      <c r="F437" s="552"/>
      <c r="G437" s="552"/>
      <c r="H437" s="552"/>
      <c r="I437" s="552"/>
      <c r="J437" s="552"/>
      <c r="N437" s="599"/>
    </row>
    <row r="438" spans="1:14" x14ac:dyDescent="0.2">
      <c r="A438" s="603"/>
      <c r="B438" s="552"/>
      <c r="C438" s="552"/>
      <c r="D438" s="552"/>
      <c r="E438" s="552"/>
      <c r="F438" s="552"/>
      <c r="G438" s="552"/>
      <c r="H438" s="552"/>
      <c r="I438" s="552"/>
      <c r="J438" s="552"/>
      <c r="N438" s="599"/>
    </row>
    <row r="439" spans="1:14" x14ac:dyDescent="0.2">
      <c r="A439" s="603"/>
      <c r="B439" s="552"/>
      <c r="C439" s="552"/>
      <c r="D439" s="552"/>
      <c r="E439" s="552"/>
      <c r="F439" s="552"/>
      <c r="G439" s="552"/>
      <c r="H439" s="552"/>
      <c r="I439" s="552"/>
      <c r="J439" s="552"/>
      <c r="N439" s="599"/>
    </row>
    <row r="440" spans="1:14" x14ac:dyDescent="0.2">
      <c r="A440" s="603"/>
      <c r="B440" s="552"/>
      <c r="C440" s="552"/>
      <c r="D440" s="552"/>
      <c r="E440" s="552"/>
      <c r="F440" s="552"/>
      <c r="G440" s="552"/>
      <c r="H440" s="552"/>
      <c r="I440" s="552"/>
      <c r="J440" s="552"/>
      <c r="N440" s="599"/>
    </row>
    <row r="441" spans="1:14" x14ac:dyDescent="0.2">
      <c r="A441" s="603"/>
      <c r="B441" s="552"/>
      <c r="C441" s="552"/>
      <c r="D441" s="552"/>
      <c r="E441" s="552"/>
      <c r="F441" s="552"/>
      <c r="G441" s="552"/>
      <c r="H441" s="552"/>
      <c r="I441" s="552"/>
      <c r="J441" s="552"/>
      <c r="N441" s="599"/>
    </row>
    <row r="442" spans="1:14" x14ac:dyDescent="0.2">
      <c r="A442" s="603"/>
      <c r="B442" s="552"/>
      <c r="C442" s="552"/>
      <c r="D442" s="552"/>
      <c r="E442" s="552"/>
      <c r="F442" s="552"/>
      <c r="G442" s="552"/>
      <c r="H442" s="552"/>
      <c r="I442" s="552"/>
      <c r="J442" s="552"/>
      <c r="N442" s="599"/>
    </row>
    <row r="443" spans="1:14" x14ac:dyDescent="0.2">
      <c r="A443" s="603"/>
      <c r="B443" s="552"/>
      <c r="C443" s="552"/>
      <c r="D443" s="552"/>
      <c r="E443" s="552"/>
      <c r="F443" s="552"/>
      <c r="G443" s="552"/>
      <c r="H443" s="552"/>
      <c r="I443" s="552"/>
      <c r="J443" s="552"/>
      <c r="N443" s="599"/>
    </row>
    <row r="444" spans="1:14" x14ac:dyDescent="0.2">
      <c r="A444" s="603"/>
      <c r="B444" s="552"/>
      <c r="C444" s="552"/>
      <c r="D444" s="552"/>
      <c r="E444" s="552"/>
      <c r="F444" s="552"/>
      <c r="G444" s="552"/>
      <c r="H444" s="552"/>
      <c r="I444" s="552"/>
      <c r="J444" s="552"/>
      <c r="N444" s="599"/>
    </row>
    <row r="445" spans="1:14" x14ac:dyDescent="0.2">
      <c r="A445" s="603"/>
      <c r="B445" s="552"/>
      <c r="C445" s="552"/>
      <c r="D445" s="552"/>
      <c r="E445" s="552"/>
      <c r="F445" s="552"/>
      <c r="G445" s="552"/>
      <c r="H445" s="552"/>
      <c r="I445" s="552"/>
      <c r="J445" s="552"/>
      <c r="N445" s="599"/>
    </row>
    <row r="446" spans="1:14" x14ac:dyDescent="0.2">
      <c r="A446" s="603"/>
      <c r="B446" s="552"/>
      <c r="C446" s="552"/>
      <c r="D446" s="552"/>
      <c r="E446" s="552"/>
      <c r="F446" s="552"/>
      <c r="G446" s="552"/>
      <c r="H446" s="552"/>
      <c r="I446" s="552"/>
      <c r="J446" s="552"/>
      <c r="N446" s="599"/>
    </row>
    <row r="447" spans="1:14" ht="12" thickBot="1" x14ac:dyDescent="0.25">
      <c r="A447" s="605"/>
      <c r="B447" s="552"/>
      <c r="C447" s="552"/>
      <c r="D447" s="552"/>
      <c r="E447" s="552"/>
      <c r="F447" s="552"/>
      <c r="G447" s="552"/>
      <c r="H447" s="552"/>
      <c r="I447" s="552"/>
      <c r="J447" s="552"/>
      <c r="N447" s="599"/>
    </row>
    <row r="448" spans="1:14" x14ac:dyDescent="0.2">
      <c r="B448" s="552"/>
      <c r="C448" s="552"/>
      <c r="D448" s="552"/>
      <c r="E448" s="552"/>
      <c r="F448" s="552"/>
      <c r="G448" s="552"/>
      <c r="H448" s="552"/>
      <c r="I448" s="552"/>
      <c r="J448" s="552"/>
      <c r="N448" s="599"/>
    </row>
    <row r="449" spans="1:14" x14ac:dyDescent="0.2">
      <c r="B449" s="552"/>
      <c r="C449" s="552"/>
      <c r="D449" s="552"/>
      <c r="E449" s="552"/>
      <c r="F449" s="552"/>
      <c r="G449" s="552"/>
      <c r="H449" s="552"/>
      <c r="I449" s="552"/>
      <c r="J449" s="552"/>
      <c r="N449" s="599"/>
    </row>
    <row r="450" spans="1:14" x14ac:dyDescent="0.2">
      <c r="B450" s="552"/>
      <c r="C450" s="552"/>
      <c r="D450" s="552"/>
      <c r="E450" s="552"/>
      <c r="F450" s="552"/>
      <c r="G450" s="552"/>
      <c r="H450" s="552"/>
      <c r="I450" s="552"/>
      <c r="J450" s="552"/>
      <c r="N450" s="599"/>
    </row>
    <row r="451" spans="1:14" x14ac:dyDescent="0.2">
      <c r="B451" s="552"/>
      <c r="C451" s="552"/>
      <c r="D451" s="552"/>
      <c r="E451" s="552"/>
      <c r="F451" s="552"/>
      <c r="G451" s="552"/>
      <c r="H451" s="552"/>
      <c r="I451" s="552"/>
      <c r="J451" s="552"/>
      <c r="N451" s="599"/>
    </row>
    <row r="452" spans="1:14" x14ac:dyDescent="0.2">
      <c r="B452" s="552"/>
      <c r="C452" s="552"/>
      <c r="D452" s="552"/>
      <c r="E452" s="552"/>
      <c r="F452" s="552"/>
      <c r="G452" s="552"/>
      <c r="H452" s="552"/>
      <c r="I452" s="552"/>
      <c r="J452" s="552"/>
      <c r="N452" s="599"/>
    </row>
    <row r="453" spans="1:14" x14ac:dyDescent="0.2">
      <c r="B453" s="552"/>
      <c r="C453" s="552"/>
      <c r="D453" s="552"/>
      <c r="E453" s="552"/>
      <c r="F453" s="552"/>
      <c r="G453" s="552"/>
      <c r="H453" s="552"/>
      <c r="I453" s="552"/>
      <c r="J453" s="552"/>
      <c r="N453" s="599"/>
    </row>
    <row r="454" spans="1:14" x14ac:dyDescent="0.2">
      <c r="B454" s="552"/>
      <c r="C454" s="552"/>
      <c r="D454" s="552"/>
      <c r="E454" s="552"/>
      <c r="F454" s="552"/>
      <c r="G454" s="552"/>
      <c r="H454" s="552"/>
      <c r="I454" s="552"/>
      <c r="J454" s="552"/>
      <c r="N454" s="599"/>
    </row>
    <row r="455" spans="1:14" x14ac:dyDescent="0.2">
      <c r="B455" s="552"/>
      <c r="C455" s="552"/>
      <c r="D455" s="552"/>
      <c r="E455" s="552"/>
      <c r="F455" s="552"/>
      <c r="G455" s="552"/>
      <c r="H455" s="552"/>
      <c r="I455" s="552"/>
      <c r="J455" s="552"/>
      <c r="N455" s="599"/>
    </row>
    <row r="456" spans="1:14" ht="12" thickBot="1" x14ac:dyDescent="0.25">
      <c r="B456" s="552"/>
      <c r="C456" s="552"/>
      <c r="D456" s="552"/>
      <c r="E456" s="552"/>
      <c r="F456" s="552"/>
      <c r="G456" s="552"/>
      <c r="H456" s="552"/>
      <c r="I456" s="552"/>
      <c r="J456" s="552"/>
      <c r="N456" s="599"/>
    </row>
    <row r="457" spans="1:14" x14ac:dyDescent="0.2">
      <c r="A457" s="600"/>
      <c r="B457" s="552"/>
      <c r="C457" s="552"/>
      <c r="D457" s="552"/>
      <c r="E457" s="552"/>
      <c r="F457" s="552"/>
      <c r="G457" s="552"/>
      <c r="H457" s="552"/>
      <c r="I457" s="552"/>
      <c r="J457" s="552"/>
      <c r="N457" s="599"/>
    </row>
    <row r="458" spans="1:14" x14ac:dyDescent="0.2">
      <c r="A458" s="603"/>
      <c r="B458" s="552"/>
      <c r="C458" s="552"/>
      <c r="D458" s="552"/>
      <c r="E458" s="552"/>
      <c r="F458" s="552"/>
      <c r="G458" s="552"/>
      <c r="H458" s="552"/>
      <c r="I458" s="552"/>
      <c r="J458" s="552"/>
      <c r="N458" s="599"/>
    </row>
    <row r="459" spans="1:14" x14ac:dyDescent="0.2">
      <c r="A459" s="603"/>
      <c r="B459" s="552"/>
      <c r="C459" s="552"/>
      <c r="D459" s="552"/>
      <c r="E459" s="552"/>
      <c r="F459" s="552"/>
      <c r="G459" s="552"/>
      <c r="H459" s="552"/>
      <c r="I459" s="552"/>
      <c r="J459" s="552"/>
      <c r="N459" s="599"/>
    </row>
    <row r="460" spans="1:14" x14ac:dyDescent="0.2">
      <c r="A460" s="603"/>
      <c r="B460" s="552"/>
      <c r="C460" s="552"/>
      <c r="D460" s="552"/>
      <c r="E460" s="552"/>
      <c r="F460" s="552"/>
      <c r="G460" s="552"/>
      <c r="H460" s="552"/>
      <c r="I460" s="552"/>
      <c r="J460" s="552"/>
      <c r="N460" s="599"/>
    </row>
    <row r="461" spans="1:14" x14ac:dyDescent="0.2">
      <c r="A461" s="603"/>
      <c r="B461" s="552"/>
      <c r="C461" s="552"/>
      <c r="D461" s="552"/>
      <c r="E461" s="552"/>
      <c r="F461" s="552"/>
      <c r="G461" s="552"/>
      <c r="H461" s="552"/>
      <c r="I461" s="552"/>
      <c r="J461" s="552"/>
      <c r="N461" s="599"/>
    </row>
    <row r="462" spans="1:14" x14ac:dyDescent="0.2">
      <c r="A462" s="603"/>
      <c r="B462" s="552"/>
      <c r="C462" s="552"/>
      <c r="D462" s="552"/>
      <c r="E462" s="552"/>
      <c r="F462" s="552"/>
      <c r="G462" s="552"/>
      <c r="H462" s="552"/>
      <c r="I462" s="552"/>
      <c r="J462" s="552"/>
      <c r="N462" s="599"/>
    </row>
    <row r="463" spans="1:14" x14ac:dyDescent="0.2">
      <c r="A463" s="603"/>
      <c r="B463" s="552"/>
      <c r="C463" s="552"/>
      <c r="D463" s="552"/>
      <c r="E463" s="552"/>
      <c r="F463" s="552"/>
      <c r="G463" s="552"/>
      <c r="H463" s="552"/>
      <c r="I463" s="552"/>
      <c r="J463" s="552"/>
      <c r="N463" s="599"/>
    </row>
    <row r="464" spans="1:14" x14ac:dyDescent="0.2">
      <c r="A464" s="603"/>
      <c r="B464" s="552"/>
      <c r="C464" s="552"/>
      <c r="D464" s="552"/>
      <c r="E464" s="552"/>
      <c r="F464" s="552"/>
      <c r="G464" s="552"/>
      <c r="H464" s="552"/>
      <c r="I464" s="552"/>
      <c r="J464" s="552"/>
      <c r="N464" s="599"/>
    </row>
    <row r="465" spans="1:14" ht="12" thickBot="1" x14ac:dyDescent="0.25">
      <c r="A465" s="605"/>
      <c r="B465" s="552"/>
      <c r="C465" s="552"/>
      <c r="D465" s="552"/>
      <c r="E465" s="552"/>
      <c r="F465" s="552"/>
      <c r="G465" s="552"/>
      <c r="H465" s="552"/>
      <c r="I465" s="552"/>
      <c r="J465" s="552"/>
      <c r="N465" s="599"/>
    </row>
    <row r="466" spans="1:14" x14ac:dyDescent="0.2">
      <c r="B466" s="552"/>
      <c r="C466" s="552"/>
      <c r="D466" s="552"/>
      <c r="E466" s="552"/>
      <c r="F466" s="552"/>
      <c r="G466" s="552"/>
      <c r="H466" s="552"/>
      <c r="I466" s="552"/>
      <c r="J466" s="552"/>
      <c r="N466" s="599"/>
    </row>
    <row r="467" spans="1:14" x14ac:dyDescent="0.2">
      <c r="B467" s="552"/>
      <c r="C467" s="552"/>
      <c r="D467" s="552"/>
      <c r="E467" s="552"/>
      <c r="F467" s="552"/>
      <c r="G467" s="552"/>
      <c r="H467" s="552"/>
      <c r="I467" s="552"/>
      <c r="J467" s="552"/>
      <c r="N467" s="599"/>
    </row>
    <row r="468" spans="1:14" x14ac:dyDescent="0.2">
      <c r="B468" s="552"/>
      <c r="C468" s="552"/>
      <c r="D468" s="552"/>
      <c r="E468" s="552"/>
      <c r="F468" s="552"/>
      <c r="G468" s="552"/>
      <c r="H468" s="552"/>
      <c r="I468" s="552"/>
      <c r="J468" s="552"/>
      <c r="N468" s="599"/>
    </row>
    <row r="469" spans="1:14" x14ac:dyDescent="0.2">
      <c r="B469" s="552"/>
      <c r="C469" s="552"/>
      <c r="D469" s="552"/>
      <c r="E469" s="552"/>
      <c r="F469" s="552"/>
      <c r="G469" s="552"/>
      <c r="H469" s="552"/>
      <c r="I469" s="552"/>
      <c r="J469" s="552"/>
      <c r="N469" s="599"/>
    </row>
    <row r="470" spans="1:14" x14ac:dyDescent="0.2">
      <c r="B470" s="552"/>
      <c r="C470" s="552"/>
      <c r="D470" s="552"/>
      <c r="E470" s="552"/>
      <c r="F470" s="552"/>
      <c r="G470" s="552"/>
      <c r="H470" s="552"/>
      <c r="I470" s="552"/>
      <c r="J470" s="552"/>
      <c r="N470" s="599"/>
    </row>
    <row r="471" spans="1:14" x14ac:dyDescent="0.2">
      <c r="B471" s="552"/>
      <c r="C471" s="552"/>
      <c r="D471" s="552"/>
      <c r="E471" s="552"/>
      <c r="F471" s="552"/>
      <c r="G471" s="552"/>
      <c r="H471" s="552"/>
      <c r="I471" s="552"/>
      <c r="J471" s="552"/>
      <c r="N471" s="599"/>
    </row>
    <row r="472" spans="1:14" x14ac:dyDescent="0.2">
      <c r="B472" s="552"/>
      <c r="C472" s="552"/>
      <c r="D472" s="552"/>
      <c r="E472" s="552"/>
      <c r="F472" s="552"/>
      <c r="G472" s="552"/>
      <c r="H472" s="552"/>
      <c r="I472" s="552"/>
      <c r="J472" s="552"/>
      <c r="N472" s="599"/>
    </row>
    <row r="473" spans="1:14" x14ac:dyDescent="0.2">
      <c r="B473" s="552"/>
      <c r="C473" s="552"/>
      <c r="D473" s="552"/>
      <c r="E473" s="552"/>
      <c r="F473" s="552"/>
      <c r="G473" s="552"/>
      <c r="H473" s="552"/>
      <c r="I473" s="552"/>
      <c r="J473" s="552"/>
      <c r="N473" s="599"/>
    </row>
    <row r="474" spans="1:14" x14ac:dyDescent="0.2">
      <c r="B474" s="552"/>
      <c r="C474" s="552"/>
      <c r="D474" s="552"/>
      <c r="E474" s="552"/>
      <c r="F474" s="552"/>
      <c r="G474" s="552"/>
      <c r="H474" s="552"/>
      <c r="I474" s="552"/>
      <c r="J474" s="552"/>
      <c r="N474" s="599"/>
    </row>
    <row r="475" spans="1:14" x14ac:dyDescent="0.2">
      <c r="B475" s="552"/>
      <c r="C475" s="552"/>
      <c r="D475" s="552"/>
      <c r="E475" s="552"/>
      <c r="F475" s="552"/>
      <c r="G475" s="552"/>
      <c r="H475" s="552"/>
      <c r="I475" s="552"/>
      <c r="J475" s="552"/>
      <c r="N475" s="599"/>
    </row>
    <row r="476" spans="1:14" x14ac:dyDescent="0.2">
      <c r="B476" s="552"/>
      <c r="C476" s="552"/>
      <c r="D476" s="552"/>
      <c r="E476" s="552"/>
      <c r="F476" s="552"/>
      <c r="G476" s="552"/>
      <c r="H476" s="552"/>
      <c r="I476" s="552"/>
      <c r="J476" s="552"/>
      <c r="N476" s="599"/>
    </row>
    <row r="477" spans="1:14" x14ac:dyDescent="0.2">
      <c r="B477" s="552"/>
      <c r="C477" s="552"/>
      <c r="D477" s="552"/>
      <c r="E477" s="552"/>
      <c r="F477" s="552"/>
      <c r="G477" s="552"/>
      <c r="H477" s="552"/>
      <c r="I477" s="552"/>
      <c r="J477" s="552"/>
      <c r="N477" s="599"/>
    </row>
    <row r="478" spans="1:14" x14ac:dyDescent="0.2">
      <c r="B478" s="552"/>
      <c r="C478" s="552"/>
      <c r="D478" s="552"/>
      <c r="E478" s="552"/>
      <c r="F478" s="552"/>
      <c r="G478" s="552"/>
      <c r="H478" s="552"/>
      <c r="I478" s="552"/>
      <c r="J478" s="552"/>
      <c r="N478" s="599"/>
    </row>
    <row r="479" spans="1:14" x14ac:dyDescent="0.2">
      <c r="B479" s="552"/>
      <c r="C479" s="552"/>
      <c r="D479" s="552"/>
      <c r="E479" s="552"/>
      <c r="F479" s="552"/>
      <c r="G479" s="552"/>
      <c r="H479" s="552"/>
      <c r="I479" s="552"/>
      <c r="J479" s="552"/>
      <c r="N479" s="599"/>
    </row>
    <row r="480" spans="1:14" x14ac:dyDescent="0.2">
      <c r="B480" s="552"/>
      <c r="C480" s="552"/>
      <c r="D480" s="552"/>
      <c r="E480" s="552"/>
      <c r="F480" s="552"/>
      <c r="G480" s="552"/>
      <c r="H480" s="552"/>
      <c r="I480" s="552"/>
      <c r="J480" s="552"/>
      <c r="N480" s="599"/>
    </row>
    <row r="481" spans="2:14" x14ac:dyDescent="0.2">
      <c r="B481" s="552"/>
      <c r="C481" s="552"/>
      <c r="D481" s="552"/>
      <c r="E481" s="552"/>
      <c r="F481" s="552"/>
      <c r="G481" s="552"/>
      <c r="H481" s="552"/>
      <c r="I481" s="552"/>
      <c r="J481" s="552"/>
      <c r="N481" s="599"/>
    </row>
    <row r="482" spans="2:14" x14ac:dyDescent="0.2">
      <c r="B482" s="552"/>
      <c r="C482" s="552"/>
      <c r="D482" s="552"/>
      <c r="E482" s="552"/>
      <c r="F482" s="552"/>
      <c r="G482" s="552"/>
      <c r="H482" s="552"/>
      <c r="I482" s="552"/>
      <c r="J482" s="552"/>
      <c r="N482" s="599"/>
    </row>
    <row r="483" spans="2:14" x14ac:dyDescent="0.2">
      <c r="B483" s="552"/>
      <c r="C483" s="552"/>
      <c r="D483" s="552"/>
      <c r="E483" s="552"/>
      <c r="F483" s="552"/>
      <c r="G483" s="552"/>
      <c r="H483" s="552"/>
      <c r="I483" s="552"/>
      <c r="J483" s="552"/>
      <c r="N483" s="599"/>
    </row>
    <row r="484" spans="2:14" x14ac:dyDescent="0.2">
      <c r="B484" s="552"/>
      <c r="C484" s="552"/>
      <c r="D484" s="552"/>
      <c r="E484" s="552"/>
      <c r="F484" s="552"/>
      <c r="G484" s="552"/>
      <c r="H484" s="552"/>
      <c r="I484" s="552"/>
      <c r="J484" s="552"/>
      <c r="N484" s="599"/>
    </row>
    <row r="485" spans="2:14" x14ac:dyDescent="0.2">
      <c r="B485" s="552"/>
      <c r="C485" s="552"/>
      <c r="D485" s="552"/>
      <c r="E485" s="552"/>
      <c r="F485" s="552"/>
      <c r="G485" s="552"/>
      <c r="H485" s="552"/>
      <c r="I485" s="552"/>
      <c r="J485" s="552"/>
      <c r="N485" s="599"/>
    </row>
    <row r="486" spans="2:14" x14ac:dyDescent="0.2">
      <c r="B486" s="552"/>
      <c r="C486" s="552"/>
      <c r="D486" s="552"/>
      <c r="E486" s="552"/>
      <c r="F486" s="552"/>
      <c r="G486" s="552"/>
      <c r="H486" s="552"/>
      <c r="I486" s="552"/>
      <c r="J486" s="552"/>
      <c r="N486" s="599"/>
    </row>
    <row r="487" spans="2:14" x14ac:dyDescent="0.2">
      <c r="B487" s="552"/>
      <c r="C487" s="552"/>
      <c r="D487" s="552"/>
      <c r="E487" s="552"/>
      <c r="F487" s="552"/>
      <c r="G487" s="552"/>
      <c r="H487" s="552"/>
      <c r="I487" s="552"/>
      <c r="J487" s="552"/>
      <c r="N487" s="599"/>
    </row>
    <row r="488" spans="2:14" x14ac:dyDescent="0.2">
      <c r="B488" s="552"/>
      <c r="C488" s="552"/>
      <c r="D488" s="552"/>
      <c r="E488" s="552"/>
      <c r="F488" s="552"/>
      <c r="G488" s="552"/>
      <c r="H488" s="552"/>
      <c r="I488" s="552"/>
      <c r="J488" s="552"/>
      <c r="N488" s="599"/>
    </row>
    <row r="489" spans="2:14" x14ac:dyDescent="0.2">
      <c r="B489" s="552"/>
      <c r="C489" s="552"/>
      <c r="D489" s="552"/>
      <c r="E489" s="552"/>
      <c r="F489" s="552"/>
      <c r="G489" s="552"/>
      <c r="H489" s="552"/>
      <c r="I489" s="552"/>
      <c r="J489" s="552"/>
      <c r="N489" s="599"/>
    </row>
    <row r="490" spans="2:14" x14ac:dyDescent="0.2">
      <c r="B490" s="552"/>
      <c r="C490" s="552"/>
      <c r="D490" s="552"/>
      <c r="E490" s="552"/>
      <c r="F490" s="552"/>
      <c r="G490" s="552"/>
      <c r="H490" s="552"/>
      <c r="I490" s="552"/>
      <c r="J490" s="552"/>
      <c r="N490" s="599"/>
    </row>
    <row r="491" spans="2:14" x14ac:dyDescent="0.2">
      <c r="B491" s="552"/>
      <c r="C491" s="552"/>
      <c r="D491" s="552"/>
      <c r="E491" s="552"/>
      <c r="F491" s="552"/>
      <c r="G491" s="552"/>
      <c r="H491" s="552"/>
      <c r="I491" s="552"/>
      <c r="J491" s="552"/>
      <c r="N491" s="599"/>
    </row>
    <row r="492" spans="2:14" x14ac:dyDescent="0.2">
      <c r="B492" s="552"/>
      <c r="C492" s="552"/>
      <c r="D492" s="552"/>
      <c r="E492" s="552"/>
      <c r="F492" s="552"/>
      <c r="G492" s="552"/>
      <c r="H492" s="552"/>
      <c r="I492" s="552"/>
      <c r="J492" s="552"/>
      <c r="N492" s="599"/>
    </row>
    <row r="493" spans="2:14" x14ac:dyDescent="0.2">
      <c r="B493" s="552"/>
      <c r="C493" s="552"/>
      <c r="D493" s="552"/>
      <c r="E493" s="552"/>
      <c r="F493" s="552"/>
      <c r="G493" s="552"/>
      <c r="H493" s="552"/>
      <c r="I493" s="552"/>
      <c r="J493" s="552"/>
      <c r="N493" s="599"/>
    </row>
    <row r="494" spans="2:14" x14ac:dyDescent="0.2">
      <c r="B494" s="552"/>
      <c r="C494" s="552"/>
      <c r="D494" s="552"/>
      <c r="E494" s="552"/>
      <c r="F494" s="552"/>
      <c r="G494" s="552"/>
      <c r="H494" s="552"/>
      <c r="I494" s="552"/>
      <c r="J494" s="552"/>
      <c r="N494" s="599"/>
    </row>
    <row r="495" spans="2:14" x14ac:dyDescent="0.2">
      <c r="B495" s="552"/>
      <c r="C495" s="552"/>
      <c r="D495" s="552"/>
      <c r="E495" s="552"/>
      <c r="F495" s="552"/>
      <c r="G495" s="552"/>
      <c r="H495" s="552"/>
      <c r="I495" s="552"/>
      <c r="J495" s="552"/>
      <c r="N495" s="599"/>
    </row>
    <row r="496" spans="2:14" x14ac:dyDescent="0.2">
      <c r="B496" s="552"/>
      <c r="C496" s="552"/>
      <c r="D496" s="552"/>
      <c r="E496" s="552"/>
      <c r="F496" s="552"/>
      <c r="G496" s="552"/>
      <c r="H496" s="552"/>
      <c r="I496" s="552"/>
      <c r="J496" s="552"/>
      <c r="N496" s="599"/>
    </row>
    <row r="497" spans="2:14" x14ac:dyDescent="0.2">
      <c r="B497" s="552"/>
      <c r="C497" s="552"/>
      <c r="D497" s="552"/>
      <c r="E497" s="552"/>
      <c r="F497" s="552"/>
      <c r="G497" s="552"/>
      <c r="H497" s="552"/>
      <c r="I497" s="552"/>
      <c r="J497" s="552"/>
      <c r="N497" s="599"/>
    </row>
    <row r="498" spans="2:14" x14ac:dyDescent="0.2">
      <c r="B498" s="552"/>
      <c r="C498" s="552"/>
      <c r="D498" s="552"/>
      <c r="E498" s="552"/>
      <c r="F498" s="552"/>
      <c r="G498" s="552"/>
      <c r="H498" s="552"/>
      <c r="I498" s="552"/>
      <c r="J498" s="552"/>
      <c r="N498" s="599"/>
    </row>
    <row r="499" spans="2:14" x14ac:dyDescent="0.2">
      <c r="B499" s="552"/>
      <c r="C499" s="552"/>
      <c r="D499" s="552"/>
      <c r="E499" s="552"/>
      <c r="F499" s="552"/>
      <c r="G499" s="552"/>
      <c r="H499" s="552"/>
      <c r="I499" s="552"/>
      <c r="J499" s="552"/>
      <c r="N499" s="599"/>
    </row>
    <row r="500" spans="2:14" x14ac:dyDescent="0.2">
      <c r="B500" s="552"/>
      <c r="C500" s="552"/>
      <c r="D500" s="552"/>
      <c r="E500" s="552"/>
      <c r="F500" s="552"/>
      <c r="G500" s="552"/>
      <c r="H500" s="552"/>
      <c r="I500" s="552"/>
      <c r="J500" s="552"/>
      <c r="N500" s="599"/>
    </row>
    <row r="501" spans="2:14" x14ac:dyDescent="0.2">
      <c r="B501" s="552"/>
      <c r="C501" s="552"/>
      <c r="D501" s="552"/>
      <c r="E501" s="552"/>
      <c r="F501" s="552"/>
      <c r="G501" s="552"/>
      <c r="H501" s="552"/>
      <c r="I501" s="552"/>
      <c r="J501" s="552"/>
      <c r="N501" s="599"/>
    </row>
    <row r="502" spans="2:14" x14ac:dyDescent="0.2">
      <c r="B502" s="552"/>
      <c r="C502" s="552"/>
      <c r="D502" s="552"/>
      <c r="E502" s="552"/>
      <c r="F502" s="552"/>
      <c r="G502" s="552"/>
      <c r="H502" s="552"/>
      <c r="I502" s="552"/>
      <c r="J502" s="552"/>
      <c r="N502" s="599"/>
    </row>
    <row r="503" spans="2:14" x14ac:dyDescent="0.2">
      <c r="B503" s="552"/>
      <c r="C503" s="552"/>
      <c r="D503" s="552"/>
      <c r="E503" s="552"/>
      <c r="F503" s="552"/>
      <c r="G503" s="552"/>
      <c r="H503" s="552"/>
      <c r="I503" s="552"/>
      <c r="J503" s="552"/>
      <c r="N503" s="599"/>
    </row>
    <row r="504" spans="2:14" x14ac:dyDescent="0.2">
      <c r="B504" s="552"/>
      <c r="C504" s="552"/>
      <c r="D504" s="552"/>
      <c r="E504" s="552"/>
      <c r="F504" s="552"/>
      <c r="G504" s="552"/>
      <c r="H504" s="552"/>
      <c r="I504" s="552"/>
      <c r="J504" s="552"/>
      <c r="N504" s="599"/>
    </row>
    <row r="505" spans="2:14" x14ac:dyDescent="0.2">
      <c r="B505" s="552"/>
      <c r="C505" s="552"/>
      <c r="D505" s="552"/>
      <c r="E505" s="552"/>
      <c r="F505" s="552"/>
      <c r="G505" s="552"/>
      <c r="H505" s="552"/>
      <c r="I505" s="552"/>
      <c r="J505" s="552"/>
      <c r="N505" s="599"/>
    </row>
    <row r="506" spans="2:14" x14ac:dyDescent="0.2">
      <c r="B506" s="552"/>
      <c r="C506" s="552"/>
      <c r="D506" s="552"/>
      <c r="E506" s="552"/>
      <c r="F506" s="552">
        <v>415162</v>
      </c>
      <c r="G506" s="552"/>
      <c r="H506" s="552"/>
      <c r="I506" s="552"/>
      <c r="J506" s="552"/>
      <c r="N506" s="599"/>
    </row>
    <row r="507" spans="2:14" x14ac:dyDescent="0.2">
      <c r="B507" s="552"/>
      <c r="C507" s="552"/>
      <c r="D507" s="552"/>
      <c r="E507" s="552"/>
      <c r="F507" s="552"/>
      <c r="G507" s="552"/>
      <c r="H507" s="552"/>
      <c r="I507" s="552"/>
      <c r="J507" s="552"/>
      <c r="N507" s="599"/>
    </row>
    <row r="508" spans="2:14" x14ac:dyDescent="0.2">
      <c r="B508" s="552"/>
      <c r="C508" s="552"/>
      <c r="D508" s="552"/>
      <c r="E508" s="552"/>
      <c r="F508" s="552"/>
      <c r="G508" s="552"/>
      <c r="H508" s="552"/>
      <c r="I508" s="552"/>
      <c r="J508" s="552"/>
      <c r="N508" s="599"/>
    </row>
    <row r="509" spans="2:14" x14ac:dyDescent="0.2">
      <c r="B509" s="552"/>
      <c r="C509" s="552"/>
      <c r="D509" s="552"/>
      <c r="E509" s="552"/>
      <c r="F509" s="552"/>
      <c r="G509" s="552"/>
      <c r="H509" s="552"/>
      <c r="I509" s="552"/>
      <c r="J509" s="552"/>
      <c r="N509" s="599"/>
    </row>
    <row r="510" spans="2:14" x14ac:dyDescent="0.2">
      <c r="B510" s="552"/>
      <c r="C510" s="552"/>
      <c r="D510" s="552"/>
      <c r="E510" s="552"/>
      <c r="F510" s="552"/>
      <c r="G510" s="552"/>
      <c r="H510" s="552"/>
      <c r="I510" s="552"/>
      <c r="J510" s="552"/>
      <c r="N510" s="599"/>
    </row>
    <row r="511" spans="2:14" x14ac:dyDescent="0.2">
      <c r="B511" s="552"/>
      <c r="C511" s="552"/>
      <c r="D511" s="552"/>
      <c r="E511" s="552"/>
      <c r="F511" s="552"/>
      <c r="G511" s="552"/>
      <c r="H511" s="552"/>
      <c r="I511" s="552"/>
      <c r="J511" s="552"/>
      <c r="N511" s="599"/>
    </row>
    <row r="512" spans="2:14" x14ac:dyDescent="0.2">
      <c r="B512" s="552"/>
      <c r="C512" s="552"/>
      <c r="D512" s="552"/>
      <c r="E512" s="552"/>
      <c r="F512" s="552"/>
      <c r="G512" s="552"/>
      <c r="H512" s="552"/>
      <c r="I512" s="552"/>
      <c r="J512" s="552"/>
      <c r="N512" s="599"/>
    </row>
    <row r="513" spans="2:14" x14ac:dyDescent="0.2">
      <c r="B513" s="552"/>
      <c r="C513" s="552"/>
      <c r="D513" s="552"/>
      <c r="E513" s="552"/>
      <c r="F513" s="552"/>
      <c r="G513" s="552"/>
      <c r="H513" s="552"/>
      <c r="I513" s="552"/>
      <c r="J513" s="552"/>
      <c r="N513" s="599"/>
    </row>
    <row r="514" spans="2:14" x14ac:dyDescent="0.2">
      <c r="B514" s="552"/>
      <c r="C514" s="552"/>
      <c r="D514" s="552"/>
      <c r="E514" s="552"/>
      <c r="F514" s="552"/>
      <c r="G514" s="552"/>
      <c r="H514" s="552"/>
      <c r="I514" s="552"/>
      <c r="J514" s="552"/>
      <c r="N514" s="599"/>
    </row>
    <row r="515" spans="2:14" x14ac:dyDescent="0.2">
      <c r="B515" s="552"/>
      <c r="C515" s="552"/>
      <c r="D515" s="552"/>
      <c r="E515" s="552"/>
      <c r="F515" s="552"/>
      <c r="G515" s="552"/>
      <c r="H515" s="552"/>
      <c r="I515" s="552"/>
      <c r="J515" s="552"/>
      <c r="N515" s="599"/>
    </row>
    <row r="516" spans="2:14" x14ac:dyDescent="0.2">
      <c r="B516" s="552"/>
      <c r="C516" s="552"/>
      <c r="D516" s="552"/>
      <c r="E516" s="552"/>
      <c r="F516" s="552"/>
      <c r="G516" s="552"/>
      <c r="H516" s="552"/>
      <c r="I516" s="552"/>
      <c r="J516" s="552"/>
      <c r="N516" s="599"/>
    </row>
    <row r="517" spans="2:14" x14ac:dyDescent="0.2">
      <c r="B517" s="552"/>
      <c r="C517" s="552"/>
      <c r="D517" s="552"/>
      <c r="E517" s="552"/>
      <c r="F517" s="552"/>
      <c r="G517" s="552"/>
      <c r="H517" s="552"/>
      <c r="I517" s="552"/>
      <c r="J517" s="552"/>
      <c r="N517" s="599"/>
    </row>
    <row r="518" spans="2:14" x14ac:dyDescent="0.2">
      <c r="B518" s="552"/>
      <c r="C518" s="552"/>
      <c r="D518" s="552"/>
      <c r="E518" s="552"/>
      <c r="F518" s="552"/>
      <c r="G518" s="552"/>
      <c r="H518" s="552"/>
      <c r="I518" s="552"/>
      <c r="J518" s="552"/>
      <c r="N518" s="599"/>
    </row>
    <row r="519" spans="2:14" x14ac:dyDescent="0.2">
      <c r="B519" s="552"/>
      <c r="C519" s="552"/>
      <c r="D519" s="552"/>
      <c r="E519" s="552"/>
      <c r="F519" s="552"/>
      <c r="G519" s="552"/>
      <c r="H519" s="552"/>
      <c r="I519" s="552"/>
      <c r="J519" s="552"/>
      <c r="N519" s="599"/>
    </row>
    <row r="520" spans="2:14" x14ac:dyDescent="0.2">
      <c r="B520" s="552"/>
      <c r="C520" s="552"/>
      <c r="D520" s="552"/>
      <c r="E520" s="552"/>
      <c r="F520" s="552"/>
      <c r="G520" s="552"/>
      <c r="H520" s="552"/>
      <c r="I520" s="552"/>
      <c r="J520" s="552"/>
      <c r="N520" s="599"/>
    </row>
    <row r="521" spans="2:14" x14ac:dyDescent="0.2">
      <c r="B521" s="552"/>
      <c r="C521" s="552"/>
      <c r="D521" s="552"/>
      <c r="E521" s="552"/>
      <c r="F521" s="552"/>
      <c r="G521" s="552"/>
      <c r="H521" s="552"/>
      <c r="I521" s="552"/>
      <c r="J521" s="552"/>
      <c r="N521" s="599"/>
    </row>
    <row r="522" spans="2:14" x14ac:dyDescent="0.2">
      <c r="B522" s="552"/>
      <c r="C522" s="552"/>
      <c r="D522" s="552"/>
      <c r="E522" s="552"/>
      <c r="F522" s="552"/>
      <c r="G522" s="552"/>
      <c r="H522" s="552"/>
      <c r="I522" s="552"/>
      <c r="J522" s="552"/>
      <c r="N522" s="599"/>
    </row>
    <row r="523" spans="2:14" x14ac:dyDescent="0.2">
      <c r="B523" s="552"/>
      <c r="C523" s="552"/>
      <c r="D523" s="552"/>
      <c r="E523" s="552"/>
      <c r="F523" s="552"/>
      <c r="G523" s="552"/>
      <c r="H523" s="552"/>
      <c r="I523" s="552"/>
      <c r="J523" s="552"/>
      <c r="N523" s="599"/>
    </row>
    <row r="524" spans="2:14" x14ac:dyDescent="0.2">
      <c r="B524" s="552"/>
      <c r="C524" s="552"/>
      <c r="D524" s="552"/>
      <c r="E524" s="552"/>
      <c r="F524" s="552"/>
      <c r="G524" s="552"/>
      <c r="H524" s="552"/>
      <c r="I524" s="552"/>
      <c r="J524" s="552"/>
      <c r="N524" s="599"/>
    </row>
    <row r="525" spans="2:14" x14ac:dyDescent="0.2">
      <c r="B525" s="552"/>
      <c r="C525" s="552"/>
      <c r="D525" s="552"/>
      <c r="E525" s="552"/>
      <c r="F525" s="552"/>
      <c r="G525" s="552"/>
      <c r="H525" s="552"/>
      <c r="I525" s="552"/>
      <c r="J525" s="552"/>
      <c r="N525" s="599"/>
    </row>
    <row r="526" spans="2:14" x14ac:dyDescent="0.2">
      <c r="B526" s="552"/>
      <c r="C526" s="552"/>
      <c r="D526" s="552"/>
      <c r="E526" s="552"/>
      <c r="F526" s="552"/>
      <c r="G526" s="552"/>
      <c r="H526" s="552"/>
      <c r="I526" s="552"/>
      <c r="J526" s="552"/>
      <c r="N526" s="599"/>
    </row>
    <row r="527" spans="2:14" x14ac:dyDescent="0.2">
      <c r="B527" s="552"/>
      <c r="C527" s="552"/>
      <c r="D527" s="552"/>
      <c r="E527" s="552"/>
      <c r="F527" s="552"/>
      <c r="G527" s="552"/>
      <c r="H527" s="552"/>
      <c r="I527" s="552"/>
      <c r="J527" s="552"/>
      <c r="N527" s="599"/>
    </row>
    <row r="528" spans="2:14" x14ac:dyDescent="0.2">
      <c r="B528" s="552"/>
      <c r="C528" s="552"/>
      <c r="D528" s="552"/>
      <c r="E528" s="552"/>
      <c r="F528" s="552"/>
      <c r="G528" s="552"/>
      <c r="H528" s="552"/>
      <c r="I528" s="552"/>
      <c r="J528" s="552"/>
      <c r="N528" s="599"/>
    </row>
    <row r="529" spans="1:14" x14ac:dyDescent="0.2">
      <c r="B529" s="552"/>
      <c r="C529" s="552"/>
      <c r="D529" s="552"/>
      <c r="E529" s="552"/>
      <c r="F529" s="552"/>
      <c r="G529" s="552"/>
      <c r="H529" s="552"/>
      <c r="I529" s="552"/>
      <c r="J529" s="552"/>
      <c r="N529" s="599"/>
    </row>
    <row r="530" spans="1:14" x14ac:dyDescent="0.2">
      <c r="B530" s="552"/>
      <c r="C530" s="552"/>
      <c r="D530" s="552"/>
      <c r="E530" s="552"/>
      <c r="F530" s="552"/>
      <c r="G530" s="552"/>
      <c r="H530" s="552"/>
      <c r="I530" s="552"/>
      <c r="J530" s="552"/>
      <c r="N530" s="599"/>
    </row>
    <row r="531" spans="1:14" x14ac:dyDescent="0.2">
      <c r="B531" s="552"/>
      <c r="C531" s="552"/>
      <c r="D531" s="552"/>
      <c r="E531" s="552"/>
      <c r="F531" s="552"/>
      <c r="G531" s="552"/>
      <c r="H531" s="552"/>
      <c r="I531" s="552"/>
      <c r="J531" s="552"/>
      <c r="N531" s="599"/>
    </row>
    <row r="532" spans="1:14" x14ac:dyDescent="0.2">
      <c r="B532" s="552"/>
      <c r="C532" s="552"/>
      <c r="D532" s="552"/>
      <c r="E532" s="552"/>
      <c r="F532" s="552"/>
      <c r="G532" s="552"/>
      <c r="H532" s="552"/>
      <c r="I532" s="552"/>
      <c r="J532" s="552"/>
      <c r="N532" s="599"/>
    </row>
    <row r="533" spans="1:14" x14ac:dyDescent="0.2">
      <c r="B533" s="552"/>
      <c r="C533" s="552"/>
      <c r="D533" s="552"/>
      <c r="E533" s="552"/>
      <c r="F533" s="552"/>
      <c r="G533" s="552"/>
      <c r="H533" s="552"/>
      <c r="I533" s="552"/>
      <c r="J533" s="552"/>
      <c r="N533" s="599"/>
    </row>
    <row r="534" spans="1:14" x14ac:dyDescent="0.2">
      <c r="B534" s="552"/>
      <c r="C534" s="552"/>
      <c r="D534" s="552"/>
      <c r="E534" s="552"/>
      <c r="F534" s="552"/>
      <c r="G534" s="552"/>
      <c r="H534" s="552"/>
      <c r="I534" s="552"/>
      <c r="J534" s="552"/>
      <c r="N534" s="599"/>
    </row>
    <row r="535" spans="1:14" x14ac:dyDescent="0.2">
      <c r="B535" s="552"/>
      <c r="C535" s="552"/>
      <c r="D535" s="552"/>
      <c r="E535" s="552"/>
      <c r="F535" s="552"/>
      <c r="G535" s="552"/>
      <c r="H535" s="552"/>
      <c r="I535" s="552"/>
      <c r="J535" s="552"/>
      <c r="N535" s="599"/>
    </row>
    <row r="536" spans="1:14" x14ac:dyDescent="0.2">
      <c r="B536" s="552"/>
      <c r="C536" s="552"/>
      <c r="D536" s="552"/>
      <c r="E536" s="552"/>
      <c r="F536" s="552"/>
      <c r="G536" s="552"/>
      <c r="H536" s="552"/>
      <c r="I536" s="552"/>
      <c r="J536" s="552"/>
      <c r="N536" s="599"/>
    </row>
    <row r="537" spans="1:14" x14ac:dyDescent="0.2">
      <c r="B537" s="552"/>
      <c r="C537" s="552"/>
      <c r="D537" s="552"/>
      <c r="E537" s="552"/>
      <c r="F537" s="552"/>
      <c r="G537" s="552"/>
      <c r="H537" s="552"/>
      <c r="I537" s="552"/>
      <c r="J537" s="552"/>
      <c r="N537" s="599"/>
    </row>
    <row r="538" spans="1:14" ht="12" thickBot="1" x14ac:dyDescent="0.25">
      <c r="B538" s="552"/>
      <c r="C538" s="552"/>
      <c r="D538" s="552"/>
      <c r="E538" s="552"/>
      <c r="F538" s="552"/>
      <c r="G538" s="552"/>
      <c r="H538" s="552"/>
      <c r="I538" s="552"/>
      <c r="J538" s="552"/>
      <c r="N538" s="599"/>
    </row>
    <row r="539" spans="1:14" x14ac:dyDescent="0.2">
      <c r="A539" s="600"/>
      <c r="B539" s="552"/>
      <c r="C539" s="552"/>
      <c r="D539" s="552"/>
      <c r="E539" s="552"/>
      <c r="F539" s="552"/>
      <c r="G539" s="552"/>
      <c r="H539" s="552"/>
      <c r="I539" s="552"/>
      <c r="J539" s="552"/>
      <c r="N539" s="599"/>
    </row>
    <row r="540" spans="1:14" x14ac:dyDescent="0.2">
      <c r="A540" s="603"/>
      <c r="B540" s="552"/>
      <c r="C540" s="552"/>
      <c r="D540" s="552"/>
      <c r="E540" s="552"/>
      <c r="F540" s="552"/>
      <c r="G540" s="552"/>
      <c r="H540" s="552"/>
      <c r="I540" s="552"/>
      <c r="J540" s="552"/>
      <c r="N540" s="599"/>
    </row>
    <row r="541" spans="1:14" x14ac:dyDescent="0.2">
      <c r="A541" s="603"/>
      <c r="B541" s="552"/>
      <c r="C541" s="552"/>
      <c r="D541" s="552"/>
      <c r="E541" s="552"/>
      <c r="F541" s="552"/>
      <c r="G541" s="552"/>
      <c r="H541" s="552"/>
      <c r="I541" s="552"/>
      <c r="J541" s="552"/>
      <c r="N541" s="599"/>
    </row>
    <row r="542" spans="1:14" x14ac:dyDescent="0.2">
      <c r="A542" s="603"/>
      <c r="B542" s="552"/>
      <c r="C542" s="552"/>
      <c r="D542" s="552"/>
      <c r="E542" s="552"/>
      <c r="F542" s="552"/>
      <c r="G542" s="552"/>
      <c r="H542" s="552"/>
      <c r="I542" s="552"/>
      <c r="J542" s="552"/>
      <c r="N542" s="599"/>
    </row>
    <row r="543" spans="1:14" x14ac:dyDescent="0.2">
      <c r="A543" s="603"/>
      <c r="B543" s="552"/>
      <c r="C543" s="552"/>
      <c r="D543" s="552"/>
      <c r="E543" s="552"/>
      <c r="F543" s="552"/>
      <c r="G543" s="552"/>
      <c r="H543" s="552"/>
      <c r="I543" s="552"/>
      <c r="J543" s="552"/>
      <c r="N543" s="599"/>
    </row>
    <row r="544" spans="1:14" x14ac:dyDescent="0.2">
      <c r="A544" s="603"/>
      <c r="B544" s="552"/>
      <c r="C544" s="552"/>
      <c r="D544" s="552"/>
      <c r="E544" s="552"/>
      <c r="F544" s="552"/>
      <c r="G544" s="552"/>
      <c r="H544" s="552"/>
      <c r="I544" s="552"/>
      <c r="J544" s="552"/>
      <c r="N544" s="599"/>
    </row>
    <row r="545" spans="1:14" x14ac:dyDescent="0.2">
      <c r="A545" s="603"/>
      <c r="B545" s="552"/>
      <c r="C545" s="552"/>
      <c r="D545" s="552"/>
      <c r="E545" s="552"/>
      <c r="F545" s="552"/>
      <c r="G545" s="552"/>
      <c r="H545" s="552"/>
      <c r="I545" s="552"/>
      <c r="J545" s="552"/>
      <c r="N545" s="599"/>
    </row>
    <row r="546" spans="1:14" ht="12" thickBot="1" x14ac:dyDescent="0.25">
      <c r="A546" s="605"/>
      <c r="B546" s="552"/>
      <c r="C546" s="552"/>
      <c r="D546" s="552"/>
      <c r="E546" s="552"/>
      <c r="F546" s="552"/>
      <c r="G546" s="552"/>
      <c r="H546" s="552"/>
      <c r="I546" s="552"/>
      <c r="J546" s="552"/>
      <c r="N546" s="599"/>
    </row>
    <row r="547" spans="1:14" x14ac:dyDescent="0.2">
      <c r="A547" s="600"/>
      <c r="B547" s="552"/>
      <c r="C547" s="552"/>
      <c r="D547" s="552"/>
      <c r="E547" s="552"/>
      <c r="F547" s="552"/>
      <c r="G547" s="552"/>
      <c r="H547" s="552"/>
      <c r="I547" s="552"/>
      <c r="J547" s="552"/>
      <c r="N547" s="599"/>
    </row>
    <row r="548" spans="1:14" x14ac:dyDescent="0.2">
      <c r="A548" s="603"/>
      <c r="B548" s="552"/>
      <c r="C548" s="552"/>
      <c r="D548" s="552"/>
      <c r="E548" s="552"/>
      <c r="F548" s="552"/>
      <c r="G548" s="552"/>
      <c r="H548" s="552"/>
      <c r="I548" s="552"/>
      <c r="J548" s="552"/>
      <c r="N548" s="599"/>
    </row>
    <row r="549" spans="1:14" x14ac:dyDescent="0.2">
      <c r="A549" s="603"/>
      <c r="B549" s="552"/>
      <c r="C549" s="552"/>
      <c r="D549" s="552"/>
      <c r="E549" s="552"/>
      <c r="F549" s="552"/>
      <c r="G549" s="552"/>
      <c r="H549" s="552"/>
      <c r="I549" s="552"/>
      <c r="J549" s="552"/>
      <c r="N549" s="599"/>
    </row>
    <row r="550" spans="1:14" ht="12" thickBot="1" x14ac:dyDescent="0.25">
      <c r="A550" s="605"/>
      <c r="B550" s="606"/>
      <c r="C550" s="606"/>
      <c r="D550" s="606"/>
      <c r="E550" s="606"/>
      <c r="F550" s="606"/>
      <c r="G550" s="606"/>
      <c r="H550" s="606"/>
      <c r="I550" s="606"/>
      <c r="J550" s="940"/>
      <c r="K550" s="606"/>
      <c r="L550" s="606"/>
      <c r="M550" s="606"/>
      <c r="N550" s="607"/>
    </row>
  </sheetData>
  <mergeCells count="30">
    <mergeCell ref="M1:N1"/>
    <mergeCell ref="K8:K9"/>
    <mergeCell ref="L8:L9"/>
    <mergeCell ref="M8:M9"/>
    <mergeCell ref="I7:I9"/>
    <mergeCell ref="A5:N5"/>
    <mergeCell ref="A6:A9"/>
    <mergeCell ref="B6:B9"/>
    <mergeCell ref="C6:C9"/>
    <mergeCell ref="D6:H6"/>
    <mergeCell ref="K7:M7"/>
    <mergeCell ref="J7:J9"/>
    <mergeCell ref="H8:H9"/>
    <mergeCell ref="G7:H7"/>
    <mergeCell ref="I6:M6"/>
    <mergeCell ref="N6:N9"/>
    <mergeCell ref="A22:A30"/>
    <mergeCell ref="A14:A21"/>
    <mergeCell ref="F7:F9"/>
    <mergeCell ref="D7:D9"/>
    <mergeCell ref="E7:E9"/>
    <mergeCell ref="A10:B10"/>
    <mergeCell ref="L46:L47"/>
    <mergeCell ref="G8:G9"/>
    <mergeCell ref="N22:N30"/>
    <mergeCell ref="C24:C27"/>
    <mergeCell ref="C29:C30"/>
    <mergeCell ref="C15:C18"/>
    <mergeCell ref="C20:C21"/>
    <mergeCell ref="N14:N21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5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T577"/>
  <sheetViews>
    <sheetView showGridLines="0" view="pageBreakPreview" zoomScaleNormal="100" zoomScaleSheetLayoutView="100" workbookViewId="0">
      <selection activeCell="O1" sqref="O1"/>
    </sheetView>
  </sheetViews>
  <sheetFormatPr defaultRowHeight="12.75" x14ac:dyDescent="0.2"/>
  <cols>
    <col min="1" max="1" width="3.42578125" style="196" customWidth="1"/>
    <col min="2" max="2" width="51.140625" style="196" customWidth="1"/>
    <col min="3" max="3" width="11.42578125" style="197" customWidth="1"/>
    <col min="4" max="4" width="12.7109375" style="196" customWidth="1"/>
    <col min="5" max="5" width="12.140625" style="196" customWidth="1"/>
    <col min="6" max="6" width="13.140625" style="196" customWidth="1"/>
    <col min="7" max="8" width="12.7109375" style="196" customWidth="1"/>
    <col min="9" max="9" width="12.42578125" style="196" customWidth="1"/>
    <col min="10" max="10" width="9.42578125" style="196" customWidth="1"/>
    <col min="11" max="11" width="10.85546875" style="196" customWidth="1"/>
    <col min="12" max="12" width="10.42578125" style="196" customWidth="1"/>
    <col min="13" max="13" width="13.5703125" style="196" customWidth="1"/>
    <col min="14" max="14" width="13.140625" style="384" customWidth="1"/>
    <col min="15" max="16384" width="9.140625" style="196"/>
  </cols>
  <sheetData>
    <row r="1" spans="1:60" ht="21" customHeight="1" x14ac:dyDescent="0.3">
      <c r="A1" s="2257"/>
      <c r="K1" s="5"/>
      <c r="M1" s="3029" t="s">
        <v>349</v>
      </c>
      <c r="N1" s="3029"/>
    </row>
    <row r="2" spans="1:60" ht="6" customHeight="1" x14ac:dyDescent="0.2">
      <c r="A2" s="2257"/>
      <c r="H2" s="199"/>
      <c r="I2" s="199"/>
      <c r="J2" s="199"/>
      <c r="K2" s="199"/>
      <c r="L2" s="199"/>
      <c r="M2" s="199"/>
      <c r="N2" s="198"/>
    </row>
    <row r="3" spans="1:60" ht="15" customHeight="1" thickBot="1" x14ac:dyDescent="0.25">
      <c r="A3" s="2257"/>
      <c r="B3" s="2257"/>
      <c r="C3" s="200"/>
      <c r="D3" s="2257"/>
      <c r="E3" s="2257"/>
      <c r="F3" s="2257"/>
      <c r="G3" s="2257"/>
      <c r="H3" s="201"/>
      <c r="I3" s="201"/>
      <c r="J3" s="201"/>
      <c r="K3" s="201"/>
      <c r="L3" s="201"/>
      <c r="M3" s="201"/>
      <c r="N3" s="198"/>
    </row>
    <row r="4" spans="1:60" ht="53.25" customHeight="1" x14ac:dyDescent="0.45">
      <c r="A4" s="3050" t="s">
        <v>256</v>
      </c>
      <c r="B4" s="3051"/>
      <c r="C4" s="3051"/>
      <c r="D4" s="3051"/>
      <c r="E4" s="3051"/>
      <c r="F4" s="3051"/>
      <c r="G4" s="3051"/>
      <c r="H4" s="3051"/>
      <c r="I4" s="3051"/>
      <c r="J4" s="3051"/>
      <c r="K4" s="3051"/>
      <c r="L4" s="3051"/>
      <c r="M4" s="3051"/>
      <c r="N4" s="3052"/>
    </row>
    <row r="5" spans="1:60" ht="9.75" customHeight="1" thickBot="1" x14ac:dyDescent="0.5">
      <c r="A5" s="2644"/>
      <c r="B5" s="2645"/>
      <c r="C5" s="2646"/>
      <c r="D5" s="2645"/>
      <c r="E5" s="2645"/>
      <c r="F5" s="2645"/>
      <c r="G5" s="2645"/>
      <c r="H5" s="2645"/>
      <c r="I5" s="2645"/>
      <c r="J5" s="2645"/>
      <c r="K5" s="2645"/>
      <c r="L5" s="2645"/>
      <c r="M5" s="2645"/>
      <c r="N5" s="2647"/>
    </row>
    <row r="6" spans="1:60" ht="48" customHeight="1" x14ac:dyDescent="0.2">
      <c r="A6" s="3053" t="s">
        <v>25</v>
      </c>
      <c r="B6" s="3056" t="s">
        <v>26</v>
      </c>
      <c r="C6" s="3057" t="s">
        <v>27</v>
      </c>
      <c r="D6" s="3026" t="s">
        <v>338</v>
      </c>
      <c r="E6" s="3027"/>
      <c r="F6" s="3027"/>
      <c r="G6" s="3027"/>
      <c r="H6" s="3028"/>
      <c r="I6" s="3026" t="s">
        <v>316</v>
      </c>
      <c r="J6" s="3027"/>
      <c r="K6" s="3027"/>
      <c r="L6" s="3027"/>
      <c r="M6" s="3028"/>
      <c r="N6" s="3060" t="s">
        <v>28</v>
      </c>
    </row>
    <row r="7" spans="1:60" ht="27" customHeight="1" x14ac:dyDescent="0.2">
      <c r="A7" s="3054"/>
      <c r="B7" s="3015"/>
      <c r="C7" s="3058"/>
      <c r="D7" s="3011" t="s">
        <v>0</v>
      </c>
      <c r="E7" s="3014" t="s">
        <v>188</v>
      </c>
      <c r="F7" s="3017" t="s">
        <v>332</v>
      </c>
      <c r="G7" s="3020" t="s">
        <v>292</v>
      </c>
      <c r="H7" s="3021"/>
      <c r="I7" s="3002" t="s">
        <v>302</v>
      </c>
      <c r="J7" s="3064" t="s">
        <v>339</v>
      </c>
      <c r="K7" s="2999" t="s">
        <v>321</v>
      </c>
      <c r="L7" s="3000"/>
      <c r="M7" s="3001"/>
      <c r="N7" s="3061"/>
    </row>
    <row r="8" spans="1:60" ht="48.75" customHeight="1" x14ac:dyDescent="0.2">
      <c r="A8" s="3054"/>
      <c r="B8" s="3015"/>
      <c r="C8" s="3058"/>
      <c r="D8" s="3012"/>
      <c r="E8" s="3015"/>
      <c r="F8" s="3018"/>
      <c r="G8" s="3022" t="s">
        <v>301</v>
      </c>
      <c r="H8" s="3024" t="s">
        <v>251</v>
      </c>
      <c r="I8" s="3003"/>
      <c r="J8" s="3065"/>
      <c r="K8" s="3007" t="s">
        <v>304</v>
      </c>
      <c r="L8" s="3084" t="s">
        <v>340</v>
      </c>
      <c r="M8" s="3086" t="s">
        <v>341</v>
      </c>
      <c r="N8" s="3062"/>
    </row>
    <row r="9" spans="1:60" ht="46.5" customHeight="1" thickBot="1" x14ac:dyDescent="0.25">
      <c r="A9" s="3055"/>
      <c r="B9" s="3016"/>
      <c r="C9" s="3059"/>
      <c r="D9" s="3013"/>
      <c r="E9" s="3016"/>
      <c r="F9" s="3019"/>
      <c r="G9" s="3023"/>
      <c r="H9" s="3025"/>
      <c r="I9" s="3004"/>
      <c r="J9" s="3066"/>
      <c r="K9" s="3008"/>
      <c r="L9" s="3085"/>
      <c r="M9" s="3087"/>
      <c r="N9" s="3063"/>
    </row>
    <row r="10" spans="1:60" s="203" customFormat="1" ht="13.5" customHeight="1" thickBot="1" x14ac:dyDescent="0.25">
      <c r="A10" s="3090">
        <v>1</v>
      </c>
      <c r="B10" s="3091"/>
      <c r="C10" s="135">
        <v>2</v>
      </c>
      <c r="D10" s="202">
        <v>3</v>
      </c>
      <c r="E10" s="134">
        <v>4</v>
      </c>
      <c r="F10" s="134">
        <v>5</v>
      </c>
      <c r="G10" s="134">
        <v>6</v>
      </c>
      <c r="H10" s="135">
        <v>7</v>
      </c>
      <c r="I10" s="202">
        <v>8</v>
      </c>
      <c r="J10" s="134">
        <v>9</v>
      </c>
      <c r="K10" s="134">
        <v>10</v>
      </c>
      <c r="L10" s="389">
        <v>11</v>
      </c>
      <c r="M10" s="135">
        <v>12</v>
      </c>
      <c r="N10" s="898">
        <v>13</v>
      </c>
    </row>
    <row r="11" spans="1:60" s="145" customFormat="1" ht="18" customHeight="1" thickBot="1" x14ac:dyDescent="0.25">
      <c r="A11" s="138"/>
      <c r="B11" s="139" t="s">
        <v>189</v>
      </c>
      <c r="C11" s="204"/>
      <c r="D11" s="20">
        <f t="shared" ref="D11:I11" si="0">D12+D13</f>
        <v>752023427.11999989</v>
      </c>
      <c r="E11" s="21">
        <f t="shared" si="0"/>
        <v>244302819</v>
      </c>
      <c r="F11" s="871">
        <f t="shared" si="0"/>
        <v>168606299.12</v>
      </c>
      <c r="G11" s="19">
        <f t="shared" si="0"/>
        <v>176259960</v>
      </c>
      <c r="H11" s="22">
        <f t="shared" si="0"/>
        <v>162854349</v>
      </c>
      <c r="I11" s="20">
        <f t="shared" si="0"/>
        <v>425490452.07999998</v>
      </c>
      <c r="J11" s="94">
        <f>I11/D11*100</f>
        <v>56.579414514982233</v>
      </c>
      <c r="K11" s="21">
        <f>K12+K13</f>
        <v>12581333.959999997</v>
      </c>
      <c r="L11" s="24">
        <f>K11/G11*100</f>
        <v>7.1379421395534175</v>
      </c>
      <c r="M11" s="22">
        <f>+K11-G11*0.5</f>
        <v>-75548646.040000007</v>
      </c>
      <c r="N11" s="20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</row>
    <row r="12" spans="1:60" s="212" customFormat="1" ht="14.25" customHeight="1" thickTop="1" x14ac:dyDescent="0.2">
      <c r="A12" s="206"/>
      <c r="B12" s="207" t="s">
        <v>190</v>
      </c>
      <c r="C12" s="208"/>
      <c r="D12" s="28">
        <f t="shared" ref="D12:I12" si="1">D458</f>
        <v>1260729</v>
      </c>
      <c r="E12" s="29">
        <f t="shared" si="1"/>
        <v>1193650</v>
      </c>
      <c r="F12" s="2259">
        <f t="shared" si="1"/>
        <v>67079</v>
      </c>
      <c r="G12" s="27">
        <f t="shared" si="1"/>
        <v>0</v>
      </c>
      <c r="H12" s="30">
        <f t="shared" si="1"/>
        <v>0</v>
      </c>
      <c r="I12" s="31">
        <f t="shared" si="1"/>
        <v>1260729</v>
      </c>
      <c r="J12" s="95">
        <f>I12/D12*100</f>
        <v>100</v>
      </c>
      <c r="K12" s="209">
        <f>K458</f>
        <v>0</v>
      </c>
      <c r="L12" s="892">
        <v>0</v>
      </c>
      <c r="M12" s="30">
        <f t="shared" ref="M12" si="2">+K12-G12*0.25</f>
        <v>0</v>
      </c>
      <c r="N12" s="211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</row>
    <row r="13" spans="1:60" s="145" customFormat="1" ht="14.25" customHeight="1" thickBot="1" x14ac:dyDescent="0.25">
      <c r="A13" s="146"/>
      <c r="B13" s="213" t="s">
        <v>191</v>
      </c>
      <c r="C13" s="214"/>
      <c r="D13" s="156">
        <f t="shared" ref="D13:I13" si="3">D51+D65+D81+D95+D111+D127+D141+D153+D162+D174+D183+D192+D204+D216+D225+D237+D246+D258+D267+D276+D285+D294+D303+D312+D321+D330+D339+D348+D360+D385+D394+D403+D435</f>
        <v>750762698.11999989</v>
      </c>
      <c r="E13" s="154">
        <f t="shared" si="3"/>
        <v>243109169</v>
      </c>
      <c r="F13" s="872">
        <f t="shared" si="3"/>
        <v>168539220.12</v>
      </c>
      <c r="G13" s="155">
        <f t="shared" si="3"/>
        <v>176259960</v>
      </c>
      <c r="H13" s="215">
        <f t="shared" si="3"/>
        <v>162854349</v>
      </c>
      <c r="I13" s="216">
        <f t="shared" si="3"/>
        <v>424229723.07999998</v>
      </c>
      <c r="J13" s="99">
        <f>I13/D13*100</f>
        <v>56.506499875702701</v>
      </c>
      <c r="K13" s="154">
        <f t="shared" ref="K13" si="4">K51+K65+K81+K95+K111+K127+K141+K153+K162+K174+K183+K192+K204+K216+K225+K237+K246+K258+K267+K276+K285+K294+K303+K312+K321+K330+K339+K348+K360+K385+K394+K403+K435</f>
        <v>12581333.959999997</v>
      </c>
      <c r="L13" s="37">
        <f>K13/G13*100</f>
        <v>7.1379421395534175</v>
      </c>
      <c r="M13" s="2115">
        <f>+K13-G13*0.5</f>
        <v>-75548646.040000007</v>
      </c>
      <c r="N13" s="20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</row>
    <row r="14" spans="1:60" ht="13.5" customHeight="1" x14ac:dyDescent="0.2">
      <c r="A14" s="3067"/>
      <c r="B14" s="217" t="s">
        <v>3</v>
      </c>
      <c r="C14" s="218"/>
      <c r="D14" s="2260">
        <f t="shared" ref="D14:H14" si="5">+D15+D21</f>
        <v>752023427.12000012</v>
      </c>
      <c r="E14" s="2261">
        <f t="shared" si="5"/>
        <v>244302819</v>
      </c>
      <c r="F14" s="2261">
        <f t="shared" si="5"/>
        <v>168606299.12</v>
      </c>
      <c r="G14" s="2261">
        <f t="shared" si="5"/>
        <v>176259960</v>
      </c>
      <c r="H14" s="2262">
        <f t="shared" si="5"/>
        <v>162854349</v>
      </c>
      <c r="I14" s="219">
        <f t="shared" ref="I14" si="6">+I15+I21</f>
        <v>425490452.08000004</v>
      </c>
      <c r="J14" s="220">
        <f>I14/D14*100</f>
        <v>56.579414514982219</v>
      </c>
      <c r="K14" s="219">
        <f t="shared" ref="K14" si="7">+K15+K21</f>
        <v>12581333.959999999</v>
      </c>
      <c r="L14" s="2263">
        <f t="shared" ref="L14:L33" si="8">K14/G14*100</f>
        <v>7.1379421395534184</v>
      </c>
      <c r="M14" s="2264">
        <f>+K14-G14*0.5</f>
        <v>-75548646.040000007</v>
      </c>
      <c r="N14" s="3070"/>
    </row>
    <row r="15" spans="1:60" s="225" customFormat="1" ht="13.5" customHeight="1" x14ac:dyDescent="0.2">
      <c r="A15" s="3068"/>
      <c r="B15" s="222" t="s">
        <v>4</v>
      </c>
      <c r="C15" s="3073"/>
      <c r="D15" s="2265">
        <f t="shared" ref="D15:H15" si="9">+D16+D17+D18+D19+D20</f>
        <v>285233168.69</v>
      </c>
      <c r="E15" s="1191">
        <f t="shared" si="9"/>
        <v>110685046</v>
      </c>
      <c r="F15" s="1191">
        <f t="shared" si="9"/>
        <v>41517182.689999998</v>
      </c>
      <c r="G15" s="1191">
        <f t="shared" si="9"/>
        <v>68281250</v>
      </c>
      <c r="H15" s="242">
        <f t="shared" si="9"/>
        <v>64749690</v>
      </c>
      <c r="I15" s="223">
        <f>+I16+I17+I18+I19+I20</f>
        <v>155756434.96000001</v>
      </c>
      <c r="J15" s="224">
        <f>I15/D15*100</f>
        <v>54.606704989937825</v>
      </c>
      <c r="K15" s="223">
        <f t="shared" ref="K15" si="10">+K16+K17+K18+K19+K20</f>
        <v>3554206.2699999996</v>
      </c>
      <c r="L15" s="684">
        <f t="shared" si="8"/>
        <v>5.2052448805491984</v>
      </c>
      <c r="M15" s="2266">
        <f t="shared" ref="M15:M33" si="11">+K15-G15*0.5</f>
        <v>-30586418.73</v>
      </c>
      <c r="N15" s="3071"/>
    </row>
    <row r="16" spans="1:60" ht="13.5" customHeight="1" x14ac:dyDescent="0.2">
      <c r="A16" s="3068"/>
      <c r="B16" s="226" t="s">
        <v>5</v>
      </c>
      <c r="C16" s="3074"/>
      <c r="D16" s="245">
        <f t="shared" ref="D16:H16" si="12">+D37+D369+D423+D451</f>
        <v>139712341.61000001</v>
      </c>
      <c r="E16" s="246">
        <f t="shared" si="12"/>
        <v>40869037</v>
      </c>
      <c r="F16" s="246">
        <f>+F37+F369+F423+F451</f>
        <v>22689395.609999999</v>
      </c>
      <c r="G16" s="246">
        <f t="shared" si="12"/>
        <v>46464334</v>
      </c>
      <c r="H16" s="1184">
        <f t="shared" si="12"/>
        <v>29689575</v>
      </c>
      <c r="I16" s="227">
        <f>+I37+I369+I423+I451</f>
        <v>67005533.580000006</v>
      </c>
      <c r="J16" s="228">
        <f t="shared" ref="J16:J33" si="13">I16/D16*100</f>
        <v>47.959638216531069</v>
      </c>
      <c r="K16" s="229">
        <f t="shared" ref="K16" si="14">+K37+K369+K423+K451</f>
        <v>3447100.9699999997</v>
      </c>
      <c r="L16" s="1178">
        <f t="shared" si="8"/>
        <v>7.4188106731498618</v>
      </c>
      <c r="M16" s="2267">
        <f t="shared" si="11"/>
        <v>-19785066.030000001</v>
      </c>
      <c r="N16" s="3071"/>
    </row>
    <row r="17" spans="1:14" ht="12" customHeight="1" x14ac:dyDescent="0.2">
      <c r="A17" s="3068"/>
      <c r="B17" s="230" t="s">
        <v>29</v>
      </c>
      <c r="C17" s="3074"/>
      <c r="D17" s="245">
        <f>++D424</f>
        <v>14587500</v>
      </c>
      <c r="E17" s="246">
        <f t="shared" ref="E17:H17" si="15">++E424</f>
        <v>0</v>
      </c>
      <c r="F17" s="246">
        <f t="shared" si="15"/>
        <v>0</v>
      </c>
      <c r="G17" s="246">
        <f t="shared" si="15"/>
        <v>0</v>
      </c>
      <c r="H17" s="1184">
        <f t="shared" si="15"/>
        <v>14587500</v>
      </c>
      <c r="I17" s="227">
        <f>++I424</f>
        <v>0</v>
      </c>
      <c r="J17" s="228">
        <f t="shared" si="13"/>
        <v>0</v>
      </c>
      <c r="K17" s="229">
        <f t="shared" ref="K17" si="16">++K424</f>
        <v>0</v>
      </c>
      <c r="L17" s="803">
        <v>0</v>
      </c>
      <c r="M17" s="2267">
        <f t="shared" si="11"/>
        <v>0</v>
      </c>
      <c r="N17" s="3071"/>
    </row>
    <row r="18" spans="1:14" ht="13.5" customHeight="1" x14ac:dyDescent="0.2">
      <c r="A18" s="3068"/>
      <c r="B18" s="226" t="s">
        <v>10</v>
      </c>
      <c r="C18" s="3074"/>
      <c r="D18" s="245">
        <f t="shared" ref="D18:H18" si="17">+D38</f>
        <v>16413791.07</v>
      </c>
      <c r="E18" s="246">
        <f t="shared" si="17"/>
        <v>12750783</v>
      </c>
      <c r="F18" s="246">
        <f t="shared" si="17"/>
        <v>3663008.07</v>
      </c>
      <c r="G18" s="246">
        <f t="shared" si="17"/>
        <v>0</v>
      </c>
      <c r="H18" s="1184">
        <f t="shared" si="17"/>
        <v>0</v>
      </c>
      <c r="I18" s="227">
        <f t="shared" ref="I18" si="18">+I38</f>
        <v>16413791.07</v>
      </c>
      <c r="J18" s="228">
        <f t="shared" si="13"/>
        <v>100</v>
      </c>
      <c r="K18" s="229">
        <f t="shared" ref="K18" si="19">+K38</f>
        <v>0</v>
      </c>
      <c r="L18" s="803">
        <v>0</v>
      </c>
      <c r="M18" s="2267">
        <f t="shared" si="11"/>
        <v>0</v>
      </c>
      <c r="N18" s="3071"/>
    </row>
    <row r="19" spans="1:14" ht="13.5" customHeight="1" x14ac:dyDescent="0.2">
      <c r="A19" s="3068"/>
      <c r="B19" s="226" t="s">
        <v>11</v>
      </c>
      <c r="C19" s="3074"/>
      <c r="D19" s="245">
        <f t="shared" ref="D19:H19" si="20">+D425</f>
        <v>39488536</v>
      </c>
      <c r="E19" s="246">
        <f t="shared" si="20"/>
        <v>0</v>
      </c>
      <c r="F19" s="246">
        <f t="shared" si="20"/>
        <v>0</v>
      </c>
      <c r="G19" s="246">
        <f t="shared" si="20"/>
        <v>20000000</v>
      </c>
      <c r="H19" s="1184">
        <f t="shared" si="20"/>
        <v>19488536</v>
      </c>
      <c r="I19" s="227">
        <f t="shared" ref="I19" si="21">+I425</f>
        <v>0</v>
      </c>
      <c r="J19" s="228">
        <f t="shared" si="13"/>
        <v>0</v>
      </c>
      <c r="K19" s="229">
        <f t="shared" ref="K19" si="22">+K425</f>
        <v>0</v>
      </c>
      <c r="L19" s="1178">
        <f t="shared" si="8"/>
        <v>0</v>
      </c>
      <c r="M19" s="2267">
        <f t="shared" si="11"/>
        <v>-10000000</v>
      </c>
      <c r="N19" s="3071"/>
    </row>
    <row r="20" spans="1:14" ht="13.5" customHeight="1" x14ac:dyDescent="0.2">
      <c r="A20" s="3068"/>
      <c r="B20" s="226" t="s">
        <v>12</v>
      </c>
      <c r="C20" s="3074"/>
      <c r="D20" s="245">
        <f t="shared" ref="D20:H20" si="23">D39</f>
        <v>75031000.010000005</v>
      </c>
      <c r="E20" s="246">
        <f t="shared" si="23"/>
        <v>57065226</v>
      </c>
      <c r="F20" s="246">
        <f t="shared" si="23"/>
        <v>15164779.01</v>
      </c>
      <c r="G20" s="246">
        <f t="shared" si="23"/>
        <v>1816916</v>
      </c>
      <c r="H20" s="1184">
        <f t="shared" si="23"/>
        <v>984079</v>
      </c>
      <c r="I20" s="229">
        <f t="shared" ref="I20" si="24">I39</f>
        <v>72337110.310000002</v>
      </c>
      <c r="J20" s="228">
        <f t="shared" si="13"/>
        <v>96.409631086296372</v>
      </c>
      <c r="K20" s="229">
        <f t="shared" ref="K20" si="25">K39</f>
        <v>107105.3</v>
      </c>
      <c r="L20" s="1178">
        <f t="shared" si="8"/>
        <v>5.8948955262653859</v>
      </c>
      <c r="M20" s="2267">
        <f t="shared" si="11"/>
        <v>-801352.7</v>
      </c>
      <c r="N20" s="3071"/>
    </row>
    <row r="21" spans="1:14" s="225" customFormat="1" ht="13.5" customHeight="1" x14ac:dyDescent="0.2">
      <c r="A21" s="3068"/>
      <c r="B21" s="222" t="s">
        <v>13</v>
      </c>
      <c r="C21" s="3074"/>
      <c r="D21" s="2265">
        <f t="shared" ref="D21:H21" si="26">+D22+D23+D24</f>
        <v>466790258.43000007</v>
      </c>
      <c r="E21" s="1191">
        <f t="shared" si="26"/>
        <v>133617773</v>
      </c>
      <c r="F21" s="1191">
        <f t="shared" si="26"/>
        <v>127089116.43000002</v>
      </c>
      <c r="G21" s="1191">
        <f t="shared" si="26"/>
        <v>107978710</v>
      </c>
      <c r="H21" s="242">
        <f t="shared" si="26"/>
        <v>98104659</v>
      </c>
      <c r="I21" s="223">
        <f t="shared" ref="I21" si="27">+I22+I23+I24</f>
        <v>269734017.12</v>
      </c>
      <c r="J21" s="224">
        <f t="shared" si="13"/>
        <v>57.784842817247728</v>
      </c>
      <c r="K21" s="223">
        <f t="shared" ref="K21" si="28">+K22+K23+K24</f>
        <v>9027127.6899999995</v>
      </c>
      <c r="L21" s="684">
        <f t="shared" si="8"/>
        <v>8.3600995881502946</v>
      </c>
      <c r="M21" s="2266">
        <f t="shared" si="11"/>
        <v>-44962227.310000002</v>
      </c>
      <c r="N21" s="3071"/>
    </row>
    <row r="22" spans="1:14" s="225" customFormat="1" ht="13.5" hidden="1" customHeight="1" x14ac:dyDescent="0.2">
      <c r="A22" s="3068"/>
      <c r="B22" s="226" t="s">
        <v>12</v>
      </c>
      <c r="C22" s="3074"/>
      <c r="D22" s="2268">
        <f t="shared" ref="D22:H22" si="29">+D41</f>
        <v>0</v>
      </c>
      <c r="E22" s="233">
        <f t="shared" si="29"/>
        <v>0</v>
      </c>
      <c r="F22" s="233">
        <f t="shared" si="29"/>
        <v>0</v>
      </c>
      <c r="G22" s="233">
        <f t="shared" si="29"/>
        <v>0</v>
      </c>
      <c r="H22" s="234">
        <f t="shared" si="29"/>
        <v>0</v>
      </c>
      <c r="I22" s="232">
        <f t="shared" ref="I22" si="30">+I41</f>
        <v>0</v>
      </c>
      <c r="J22" s="232" t="e">
        <f t="shared" si="13"/>
        <v>#DIV/0!</v>
      </c>
      <c r="K22" s="232">
        <f t="shared" ref="K22" si="31">+K41</f>
        <v>0</v>
      </c>
      <c r="L22" s="233" t="e">
        <f t="shared" si="8"/>
        <v>#DIV/0!</v>
      </c>
      <c r="M22" s="234">
        <f t="shared" si="11"/>
        <v>0</v>
      </c>
      <c r="N22" s="3071"/>
    </row>
    <row r="23" spans="1:14" ht="13.5" customHeight="1" x14ac:dyDescent="0.2">
      <c r="A23" s="3068"/>
      <c r="B23" s="235" t="s">
        <v>14</v>
      </c>
      <c r="C23" s="3074"/>
      <c r="D23" s="245">
        <f t="shared" ref="D23:H23" si="32">+D371+D453</f>
        <v>15935018</v>
      </c>
      <c r="E23" s="246">
        <f t="shared" si="32"/>
        <v>6952595</v>
      </c>
      <c r="F23" s="246">
        <f t="shared" si="32"/>
        <v>8982423</v>
      </c>
      <c r="G23" s="246">
        <f t="shared" si="32"/>
        <v>0</v>
      </c>
      <c r="H23" s="1184">
        <f t="shared" si="32"/>
        <v>0</v>
      </c>
      <c r="I23" s="227">
        <f t="shared" ref="I23" si="33">+I371+I453</f>
        <v>15935018</v>
      </c>
      <c r="J23" s="228">
        <f t="shared" si="13"/>
        <v>100</v>
      </c>
      <c r="K23" s="229">
        <f t="shared" ref="K23" si="34">+K371+K453</f>
        <v>0</v>
      </c>
      <c r="L23" s="803">
        <v>0</v>
      </c>
      <c r="M23" s="2267">
        <f t="shared" si="11"/>
        <v>0</v>
      </c>
      <c r="N23" s="3071"/>
    </row>
    <row r="24" spans="1:14" ht="13.5" customHeight="1" x14ac:dyDescent="0.2">
      <c r="A24" s="3068"/>
      <c r="B24" s="235" t="s">
        <v>15</v>
      </c>
      <c r="C24" s="3074"/>
      <c r="D24" s="245">
        <f t="shared" ref="D24:I24" si="35">+D42+D427</f>
        <v>450855240.43000007</v>
      </c>
      <c r="E24" s="246">
        <f t="shared" si="35"/>
        <v>126665178</v>
      </c>
      <c r="F24" s="246">
        <f t="shared" si="35"/>
        <v>118106693.43000002</v>
      </c>
      <c r="G24" s="246">
        <f t="shared" si="35"/>
        <v>107978710</v>
      </c>
      <c r="H24" s="1184">
        <f t="shared" si="35"/>
        <v>98104659</v>
      </c>
      <c r="I24" s="229">
        <f t="shared" si="35"/>
        <v>253798999.12</v>
      </c>
      <c r="J24" s="228">
        <f t="shared" si="13"/>
        <v>56.292791202324935</v>
      </c>
      <c r="K24" s="229">
        <f>+K42+K427</f>
        <v>9027127.6899999995</v>
      </c>
      <c r="L24" s="1178">
        <f t="shared" si="8"/>
        <v>8.3600995881502946</v>
      </c>
      <c r="M24" s="2267">
        <f t="shared" si="11"/>
        <v>-44962227.310000002</v>
      </c>
      <c r="N24" s="3071"/>
    </row>
    <row r="25" spans="1:14" x14ac:dyDescent="0.2">
      <c r="A25" s="3068"/>
      <c r="B25" s="236" t="s">
        <v>17</v>
      </c>
      <c r="C25" s="237"/>
      <c r="D25" s="2269">
        <f t="shared" ref="D25:H25" si="36">+D26+D31</f>
        <v>613111084.95000005</v>
      </c>
      <c r="E25" s="2270">
        <f t="shared" si="36"/>
        <v>157106076</v>
      </c>
      <c r="F25" s="2270">
        <f t="shared" si="36"/>
        <v>166773252.94999999</v>
      </c>
      <c r="G25" s="2270">
        <f t="shared" si="36"/>
        <v>151060436</v>
      </c>
      <c r="H25" s="2271">
        <f t="shared" si="36"/>
        <v>138171320</v>
      </c>
      <c r="I25" s="238">
        <f t="shared" ref="I25" si="37">+I26+I31</f>
        <v>329211631.94999999</v>
      </c>
      <c r="J25" s="2272">
        <f t="shared" si="13"/>
        <v>53.695266654141079</v>
      </c>
      <c r="K25" s="238">
        <f t="shared" ref="K25" si="38">+K26+K31</f>
        <v>5332303</v>
      </c>
      <c r="L25" s="2273">
        <f t="shared" si="8"/>
        <v>3.5299136830241906</v>
      </c>
      <c r="M25" s="2271">
        <f t="shared" si="11"/>
        <v>-70197915</v>
      </c>
      <c r="N25" s="3071"/>
    </row>
    <row r="26" spans="1:14" ht="13.5" customHeight="1" x14ac:dyDescent="0.2">
      <c r="A26" s="3068"/>
      <c r="B26" s="1060" t="s">
        <v>18</v>
      </c>
      <c r="C26" s="3075"/>
      <c r="D26" s="2274">
        <f t="shared" ref="D26:H26" si="39">+D27+D28+D29+D30</f>
        <v>146320826.94999999</v>
      </c>
      <c r="E26" s="1190">
        <f t="shared" si="39"/>
        <v>71895903</v>
      </c>
      <c r="F26" s="1190">
        <f t="shared" si="39"/>
        <v>31899167.949999999</v>
      </c>
      <c r="G26" s="1190">
        <f t="shared" si="39"/>
        <v>13762857</v>
      </c>
      <c r="H26" s="681">
        <f t="shared" si="39"/>
        <v>28762899</v>
      </c>
      <c r="I26" s="680">
        <f t="shared" ref="I26" si="40">+I27+I28+I29+I30</f>
        <v>104584906.95</v>
      </c>
      <c r="J26" s="2275">
        <f t="shared" si="13"/>
        <v>71.476432391773059</v>
      </c>
      <c r="K26" s="680">
        <f t="shared" ref="K26" si="41">+K27+K28+K29+K30</f>
        <v>789836</v>
      </c>
      <c r="L26" s="2276">
        <f t="shared" si="8"/>
        <v>5.7388956377298701</v>
      </c>
      <c r="M26" s="681">
        <f t="shared" si="11"/>
        <v>-6091592.5</v>
      </c>
      <c r="N26" s="3071"/>
    </row>
    <row r="27" spans="1:14" ht="13.5" customHeight="1" x14ac:dyDescent="0.2">
      <c r="A27" s="3068"/>
      <c r="B27" s="230" t="s">
        <v>29</v>
      </c>
      <c r="C27" s="3076"/>
      <c r="D27" s="245">
        <f t="shared" ref="D27:H27" si="42">+D430</f>
        <v>14587500</v>
      </c>
      <c r="E27" s="246">
        <f t="shared" si="42"/>
        <v>0</v>
      </c>
      <c r="F27" s="246">
        <f t="shared" si="42"/>
        <v>0</v>
      </c>
      <c r="G27" s="246">
        <f t="shared" si="42"/>
        <v>0</v>
      </c>
      <c r="H27" s="1184">
        <f t="shared" si="42"/>
        <v>14587500</v>
      </c>
      <c r="I27" s="244">
        <f t="shared" ref="I27" si="43">+I430</f>
        <v>0</v>
      </c>
      <c r="J27" s="2277">
        <f t="shared" si="13"/>
        <v>0</v>
      </c>
      <c r="K27" s="247">
        <f t="shared" ref="K27" si="44">+K430</f>
        <v>0</v>
      </c>
      <c r="L27" s="233">
        <v>0</v>
      </c>
      <c r="M27" s="1184">
        <f t="shared" si="11"/>
        <v>0</v>
      </c>
      <c r="N27" s="3071"/>
    </row>
    <row r="28" spans="1:14" ht="12" customHeight="1" x14ac:dyDescent="0.2">
      <c r="A28" s="3068"/>
      <c r="B28" s="248" t="s">
        <v>10</v>
      </c>
      <c r="C28" s="3076"/>
      <c r="D28" s="245">
        <f t="shared" ref="D28:H28" si="45">+D45</f>
        <v>17213791</v>
      </c>
      <c r="E28" s="246">
        <f t="shared" si="45"/>
        <v>12750783</v>
      </c>
      <c r="F28" s="246">
        <f t="shared" si="45"/>
        <v>3663008</v>
      </c>
      <c r="G28" s="246">
        <f t="shared" si="45"/>
        <v>800000</v>
      </c>
      <c r="H28" s="1184">
        <f t="shared" si="45"/>
        <v>0</v>
      </c>
      <c r="I28" s="227">
        <f t="shared" ref="I28" si="46">+I45</f>
        <v>16413791</v>
      </c>
      <c r="J28" s="1178">
        <f t="shared" si="13"/>
        <v>95.352563534668221</v>
      </c>
      <c r="K28" s="229">
        <f t="shared" ref="K28" si="47">+K45</f>
        <v>0</v>
      </c>
      <c r="L28" s="1178">
        <f t="shared" si="8"/>
        <v>0</v>
      </c>
      <c r="M28" s="2267">
        <f t="shared" si="11"/>
        <v>-400000</v>
      </c>
      <c r="N28" s="3071"/>
    </row>
    <row r="29" spans="1:14" ht="12.75" customHeight="1" x14ac:dyDescent="0.2">
      <c r="A29" s="3068"/>
      <c r="B29" s="248" t="s">
        <v>30</v>
      </c>
      <c r="C29" s="3076"/>
      <c r="D29" s="245">
        <f t="shared" ref="D29:H29" si="48">+D431</f>
        <v>39488536</v>
      </c>
      <c r="E29" s="246">
        <f t="shared" si="48"/>
        <v>14488536</v>
      </c>
      <c r="F29" s="246">
        <f t="shared" si="48"/>
        <v>6250000</v>
      </c>
      <c r="G29" s="246">
        <f t="shared" si="48"/>
        <v>6250000</v>
      </c>
      <c r="H29" s="1184">
        <f t="shared" si="48"/>
        <v>12500000</v>
      </c>
      <c r="I29" s="227">
        <f t="shared" ref="I29" si="49">+I431</f>
        <v>20738536</v>
      </c>
      <c r="J29" s="1178">
        <f t="shared" si="13"/>
        <v>52.517864931736135</v>
      </c>
      <c r="K29" s="229">
        <f t="shared" ref="K29" si="50">+K431</f>
        <v>0</v>
      </c>
      <c r="L29" s="1178">
        <f t="shared" si="8"/>
        <v>0</v>
      </c>
      <c r="M29" s="2267">
        <f t="shared" si="11"/>
        <v>-3125000</v>
      </c>
      <c r="N29" s="3071"/>
    </row>
    <row r="30" spans="1:14" ht="12.75" customHeight="1" x14ac:dyDescent="0.2">
      <c r="A30" s="3068"/>
      <c r="B30" s="226" t="s">
        <v>12</v>
      </c>
      <c r="C30" s="3076"/>
      <c r="D30" s="245">
        <f t="shared" ref="D30:H30" si="51">D46</f>
        <v>75030999.950000003</v>
      </c>
      <c r="E30" s="246">
        <f t="shared" si="51"/>
        <v>44656584</v>
      </c>
      <c r="F30" s="246">
        <f t="shared" si="51"/>
        <v>21986159.949999999</v>
      </c>
      <c r="G30" s="246">
        <f t="shared" si="51"/>
        <v>6712857</v>
      </c>
      <c r="H30" s="1184">
        <f t="shared" si="51"/>
        <v>1675399</v>
      </c>
      <c r="I30" s="229">
        <f t="shared" ref="I30" si="52">I46</f>
        <v>67432579.950000003</v>
      </c>
      <c r="J30" s="1178">
        <f t="shared" si="13"/>
        <v>89.872959170124986</v>
      </c>
      <c r="K30" s="229">
        <f t="shared" ref="K30" si="53">K46</f>
        <v>789836</v>
      </c>
      <c r="L30" s="1178">
        <f t="shared" si="8"/>
        <v>11.766018552160428</v>
      </c>
      <c r="M30" s="2267">
        <f t="shared" si="11"/>
        <v>-2566592.5</v>
      </c>
      <c r="N30" s="3071"/>
    </row>
    <row r="31" spans="1:14" ht="12.75" customHeight="1" x14ac:dyDescent="0.2">
      <c r="A31" s="3068"/>
      <c r="B31" s="249" t="s">
        <v>13</v>
      </c>
      <c r="C31" s="3076"/>
      <c r="D31" s="2265">
        <f t="shared" ref="D31:K31" si="54">+D32+D33</f>
        <v>466790258</v>
      </c>
      <c r="E31" s="1191">
        <f t="shared" si="54"/>
        <v>85210173</v>
      </c>
      <c r="F31" s="1191">
        <f t="shared" si="54"/>
        <v>134874085</v>
      </c>
      <c r="G31" s="1191">
        <f t="shared" si="54"/>
        <v>137297579</v>
      </c>
      <c r="H31" s="242">
        <f t="shared" si="54"/>
        <v>109408421</v>
      </c>
      <c r="I31" s="240">
        <f t="shared" si="54"/>
        <v>224626725</v>
      </c>
      <c r="J31" s="2278">
        <f t="shared" si="13"/>
        <v>48.121553770730152</v>
      </c>
      <c r="K31" s="241">
        <f t="shared" si="54"/>
        <v>4542467</v>
      </c>
      <c r="L31" s="2278">
        <f t="shared" si="8"/>
        <v>3.3084829558429432</v>
      </c>
      <c r="M31" s="242">
        <f t="shared" si="11"/>
        <v>-64106322.5</v>
      </c>
      <c r="N31" s="3071"/>
    </row>
    <row r="32" spans="1:14" ht="13.5" customHeight="1" x14ac:dyDescent="0.2">
      <c r="A32" s="3068"/>
      <c r="B32" s="235" t="s">
        <v>14</v>
      </c>
      <c r="C32" s="3076"/>
      <c r="D32" s="245">
        <f t="shared" ref="D32:H32" si="55">+D374+D456</f>
        <v>15935018</v>
      </c>
      <c r="E32" s="246">
        <f t="shared" si="55"/>
        <v>1104265</v>
      </c>
      <c r="F32" s="246">
        <f t="shared" si="55"/>
        <v>2454397</v>
      </c>
      <c r="G32" s="246">
        <f t="shared" si="55"/>
        <v>12376356</v>
      </c>
      <c r="H32" s="1184">
        <f t="shared" si="55"/>
        <v>0</v>
      </c>
      <c r="I32" s="227">
        <f t="shared" ref="I32" si="56">+I374+I456</f>
        <v>3633938</v>
      </c>
      <c r="J32" s="1178">
        <f t="shared" si="13"/>
        <v>22.8047310646276</v>
      </c>
      <c r="K32" s="229">
        <f t="shared" ref="K32" si="57">+K374+K456</f>
        <v>75276</v>
      </c>
      <c r="L32" s="1178">
        <f t="shared" si="8"/>
        <v>0.60822426245657446</v>
      </c>
      <c r="M32" s="2267">
        <f t="shared" si="11"/>
        <v>-6112902</v>
      </c>
      <c r="N32" s="3071"/>
    </row>
    <row r="33" spans="1:14" ht="13.5" thickBot="1" x14ac:dyDescent="0.25">
      <c r="A33" s="3069"/>
      <c r="B33" s="948" t="s">
        <v>15</v>
      </c>
      <c r="C33" s="3077"/>
      <c r="D33" s="2279">
        <f t="shared" ref="D33:I33" si="58">+D49+D433</f>
        <v>450855240</v>
      </c>
      <c r="E33" s="2280">
        <f t="shared" si="58"/>
        <v>84105908</v>
      </c>
      <c r="F33" s="2280">
        <f t="shared" si="58"/>
        <v>132419688</v>
      </c>
      <c r="G33" s="2280">
        <f t="shared" si="58"/>
        <v>124921223</v>
      </c>
      <c r="H33" s="2281">
        <f t="shared" si="58"/>
        <v>109408421</v>
      </c>
      <c r="I33" s="949">
        <f t="shared" si="58"/>
        <v>220992787</v>
      </c>
      <c r="J33" s="2282">
        <f t="shared" si="13"/>
        <v>49.016351013243188</v>
      </c>
      <c r="K33" s="949">
        <f>+K49+K433</f>
        <v>4467191</v>
      </c>
      <c r="L33" s="2282">
        <f t="shared" si="8"/>
        <v>3.5760064564849801</v>
      </c>
      <c r="M33" s="2283">
        <f t="shared" si="11"/>
        <v>-57993420.5</v>
      </c>
      <c r="N33" s="3072"/>
    </row>
    <row r="34" spans="1:14" ht="18" customHeight="1" x14ac:dyDescent="0.2">
      <c r="A34" s="3078" t="s">
        <v>31</v>
      </c>
      <c r="B34" s="251" t="s">
        <v>32</v>
      </c>
      <c r="C34" s="1519"/>
      <c r="D34" s="253"/>
      <c r="E34" s="254"/>
      <c r="F34" s="254"/>
      <c r="G34" s="254"/>
      <c r="H34" s="2284"/>
      <c r="I34" s="1468"/>
      <c r="J34" s="2285"/>
      <c r="K34" s="254"/>
      <c r="L34" s="893"/>
      <c r="M34" s="2284"/>
      <c r="N34" s="3081"/>
    </row>
    <row r="35" spans="1:14" ht="13.5" customHeight="1" x14ac:dyDescent="0.2">
      <c r="A35" s="3079"/>
      <c r="B35" s="1056" t="s">
        <v>3</v>
      </c>
      <c r="C35" s="1520"/>
      <c r="D35" s="1058">
        <f t="shared" ref="D35:I35" si="59">+D36+D40</f>
        <v>593007771.24000001</v>
      </c>
      <c r="E35" s="1059">
        <f t="shared" si="59"/>
        <v>236123294</v>
      </c>
      <c r="F35" s="1059">
        <f>+F36+F40</f>
        <v>157832713.24000001</v>
      </c>
      <c r="G35" s="1059">
        <f t="shared" si="59"/>
        <v>136197415</v>
      </c>
      <c r="H35" s="2286">
        <f t="shared" si="59"/>
        <v>62854349</v>
      </c>
      <c r="I35" s="1469">
        <f t="shared" si="59"/>
        <v>406534490.70000005</v>
      </c>
      <c r="J35" s="1065">
        <f>I35/D35*100</f>
        <v>68.554664949823874</v>
      </c>
      <c r="K35" s="1059">
        <f>+K36+K40</f>
        <v>12578483.459999999</v>
      </c>
      <c r="L35" s="2287">
        <f>K35/G35*100</f>
        <v>9.2354788525171347</v>
      </c>
      <c r="M35" s="2288">
        <f>+K35-G35*0.5</f>
        <v>-55520224.039999999</v>
      </c>
      <c r="N35" s="3082"/>
    </row>
    <row r="36" spans="1:14" s="225" customFormat="1" ht="13.5" customHeight="1" x14ac:dyDescent="0.2">
      <c r="A36" s="3079"/>
      <c r="B36" s="1289" t="s">
        <v>18</v>
      </c>
      <c r="C36" s="3088"/>
      <c r="D36" s="263">
        <f t="shared" ref="D36:I36" si="60">+D37+D38+D39</f>
        <v>212152530.81</v>
      </c>
      <c r="E36" s="264">
        <f t="shared" si="60"/>
        <v>109458116</v>
      </c>
      <c r="F36" s="264">
        <f>+F37+F38+F39</f>
        <v>39726019.810000002</v>
      </c>
      <c r="G36" s="264">
        <f t="shared" si="60"/>
        <v>48218705</v>
      </c>
      <c r="H36" s="2289">
        <f t="shared" si="60"/>
        <v>14749690</v>
      </c>
      <c r="I36" s="1470">
        <f t="shared" si="60"/>
        <v>152735491.58000001</v>
      </c>
      <c r="J36" s="2290">
        <f t="shared" ref="J36:J49" si="61">I36/D36*100</f>
        <v>71.993245141528476</v>
      </c>
      <c r="K36" s="264">
        <f>+K37+K38+K39</f>
        <v>3551355.7699999996</v>
      </c>
      <c r="L36" s="2291">
        <f t="shared" ref="L36:L49" si="62">K36/G36*100</f>
        <v>7.3650998507736762</v>
      </c>
      <c r="M36" s="2292">
        <f t="shared" ref="M36:M49" si="63">+K36-G36*0.5</f>
        <v>-20557996.73</v>
      </c>
      <c r="N36" s="3082"/>
    </row>
    <row r="37" spans="1:14" ht="13.5" customHeight="1" x14ac:dyDescent="0.2">
      <c r="A37" s="3079"/>
      <c r="B37" s="257" t="s">
        <v>5</v>
      </c>
      <c r="C37" s="3088"/>
      <c r="D37" s="258">
        <f t="shared" ref="D37:H37" si="64">+D155+D164+D53+D176+D185+D67+D83+D194+D206+D218+D97+D227+D239+D248+D260++D269+D113+D278+D129+D287+D143+D296+D305+D314+D323++D332+D341+D350</f>
        <v>120707739.73000002</v>
      </c>
      <c r="E37" s="259">
        <f t="shared" si="64"/>
        <v>39642107</v>
      </c>
      <c r="F37" s="259">
        <f t="shared" si="64"/>
        <v>20898232.73</v>
      </c>
      <c r="G37" s="259">
        <f t="shared" si="64"/>
        <v>46401789</v>
      </c>
      <c r="H37" s="2293">
        <f t="shared" si="64"/>
        <v>13765611</v>
      </c>
      <c r="I37" s="1471">
        <f>+I155+I164+I53+I176+I185+I67+I83+I194+I206+I218+I97+I227+I239+I248+I260++I269+I113+I278+I129+I287+I143+I296+I305+I314+I323++I332+I341+I350</f>
        <v>63984590.200000003</v>
      </c>
      <c r="J37" s="2294">
        <f t="shared" si="61"/>
        <v>53.007860426449213</v>
      </c>
      <c r="K37" s="259">
        <f>+K155+K164+K53+K176+K185+K67+K83+K194+K206+K218+K97+K227+K239+K248+K260++K269+K113+K278+K129+K287+K143+K296+K305+K314+K323++K332+K341+K350</f>
        <v>3444250.4699999997</v>
      </c>
      <c r="L37" s="2295">
        <f t="shared" si="62"/>
        <v>7.4226674105172963</v>
      </c>
      <c r="M37" s="2296">
        <f t="shared" si="63"/>
        <v>-19756644.030000001</v>
      </c>
      <c r="N37" s="3082"/>
    </row>
    <row r="38" spans="1:14" ht="13.5" customHeight="1" x14ac:dyDescent="0.2">
      <c r="A38" s="3079"/>
      <c r="B38" s="260" t="s">
        <v>10</v>
      </c>
      <c r="C38" s="3088"/>
      <c r="D38" s="258">
        <f t="shared" ref="D38:I38" si="65">+D165+D195+D351+D207+D228+D68+D249+D114+D98</f>
        <v>16413791.07</v>
      </c>
      <c r="E38" s="259">
        <f t="shared" si="65"/>
        <v>12750783</v>
      </c>
      <c r="F38" s="259">
        <f t="shared" si="65"/>
        <v>3663008.07</v>
      </c>
      <c r="G38" s="259">
        <f t="shared" si="65"/>
        <v>0</v>
      </c>
      <c r="H38" s="2293">
        <f t="shared" si="65"/>
        <v>0</v>
      </c>
      <c r="I38" s="1471">
        <f t="shared" si="65"/>
        <v>16413791.07</v>
      </c>
      <c r="J38" s="2294">
        <f t="shared" si="61"/>
        <v>100</v>
      </c>
      <c r="K38" s="261">
        <f>+K165+K195+K351+K207+K228+K68+K249+K114+K98</f>
        <v>0</v>
      </c>
      <c r="L38" s="2297">
        <v>0</v>
      </c>
      <c r="M38" s="2296">
        <f t="shared" si="63"/>
        <v>0</v>
      </c>
      <c r="N38" s="3082"/>
    </row>
    <row r="39" spans="1:14" ht="13.5" customHeight="1" x14ac:dyDescent="0.2">
      <c r="A39" s="3079"/>
      <c r="B39" s="260" t="s">
        <v>12</v>
      </c>
      <c r="C39" s="3088"/>
      <c r="D39" s="258">
        <f t="shared" ref="D39:K39" si="66">D54+D69+D84+D99+D115+D130+D144</f>
        <v>75031000.010000005</v>
      </c>
      <c r="E39" s="259">
        <f t="shared" si="66"/>
        <v>57065226</v>
      </c>
      <c r="F39" s="259">
        <f t="shared" si="66"/>
        <v>15164779.01</v>
      </c>
      <c r="G39" s="259">
        <f t="shared" si="66"/>
        <v>1816916</v>
      </c>
      <c r="H39" s="2293">
        <f>H54+H69+H84+H99+H115+H130+H144</f>
        <v>984079</v>
      </c>
      <c r="I39" s="1471">
        <f>I54+I69+I84+I99+I115+I130+I144</f>
        <v>72337110.310000002</v>
      </c>
      <c r="J39" s="2294">
        <f t="shared" si="61"/>
        <v>96.409631086296372</v>
      </c>
      <c r="K39" s="259">
        <f t="shared" si="66"/>
        <v>107105.3</v>
      </c>
      <c r="L39" s="2295">
        <f t="shared" si="62"/>
        <v>5.8948955262653859</v>
      </c>
      <c r="M39" s="2296">
        <f t="shared" si="63"/>
        <v>-801352.7</v>
      </c>
      <c r="N39" s="3082"/>
    </row>
    <row r="40" spans="1:14" s="225" customFormat="1" ht="13.5" customHeight="1" x14ac:dyDescent="0.2">
      <c r="A40" s="3079"/>
      <c r="B40" s="262" t="s">
        <v>13</v>
      </c>
      <c r="C40" s="3088"/>
      <c r="D40" s="263">
        <f t="shared" ref="D40:I40" si="67">+D41+D42</f>
        <v>380855240.43000007</v>
      </c>
      <c r="E40" s="264">
        <f t="shared" si="67"/>
        <v>126665178</v>
      </c>
      <c r="F40" s="264">
        <f t="shared" si="67"/>
        <v>118106693.43000002</v>
      </c>
      <c r="G40" s="264">
        <f t="shared" si="67"/>
        <v>87978710</v>
      </c>
      <c r="H40" s="2289">
        <f t="shared" si="67"/>
        <v>48104659</v>
      </c>
      <c r="I40" s="1470">
        <f t="shared" si="67"/>
        <v>253798999.12</v>
      </c>
      <c r="J40" s="2290">
        <f t="shared" si="61"/>
        <v>66.639229864200175</v>
      </c>
      <c r="K40" s="264">
        <f>+K41+K42</f>
        <v>9027127.6899999995</v>
      </c>
      <c r="L40" s="2291">
        <f t="shared" si="62"/>
        <v>10.26058200898831</v>
      </c>
      <c r="M40" s="2292">
        <f t="shared" si="63"/>
        <v>-34962227.310000002</v>
      </c>
      <c r="N40" s="3082"/>
    </row>
    <row r="41" spans="1:14" s="225" customFormat="1" ht="13.5" hidden="1" customHeight="1" x14ac:dyDescent="0.2">
      <c r="A41" s="3079"/>
      <c r="B41" s="260" t="s">
        <v>12</v>
      </c>
      <c r="C41" s="3088"/>
      <c r="D41" s="2298">
        <f t="shared" ref="D41:I41" si="68">+D56+D71+D86+D101+D117+D132</f>
        <v>0</v>
      </c>
      <c r="E41" s="265">
        <f t="shared" si="68"/>
        <v>0</v>
      </c>
      <c r="F41" s="265">
        <f t="shared" si="68"/>
        <v>0</v>
      </c>
      <c r="G41" s="265">
        <f t="shared" si="68"/>
        <v>0</v>
      </c>
      <c r="H41" s="2299">
        <f t="shared" si="68"/>
        <v>0</v>
      </c>
      <c r="I41" s="1472">
        <f t="shared" si="68"/>
        <v>0</v>
      </c>
      <c r="J41" s="266" t="e">
        <f t="shared" si="61"/>
        <v>#DIV/0!</v>
      </c>
      <c r="K41" s="265">
        <f>+K56+K71+K86+K101+K117+K132</f>
        <v>0</v>
      </c>
      <c r="L41" s="1472" t="e">
        <f t="shared" si="62"/>
        <v>#DIV/0!</v>
      </c>
      <c r="M41" s="2300">
        <f t="shared" si="63"/>
        <v>0</v>
      </c>
      <c r="N41" s="3082"/>
    </row>
    <row r="42" spans="1:14" ht="13.5" customHeight="1" x14ac:dyDescent="0.2">
      <c r="A42" s="3079"/>
      <c r="B42" s="257" t="s">
        <v>15</v>
      </c>
      <c r="C42" s="3088"/>
      <c r="D42" s="267">
        <f t="shared" ref="D42:K42" si="69">+D157+D167+D57+D178+D187+D72+D87+D197+D209+D220+D102+D230+D241+D251+D262+D271+D118+D280+D133+D289+D146+D298+D307+D316+D325+D334+D343+D353+D362</f>
        <v>380855240.43000007</v>
      </c>
      <c r="E42" s="268">
        <f t="shared" si="69"/>
        <v>126665178</v>
      </c>
      <c r="F42" s="268">
        <f t="shared" si="69"/>
        <v>118106693.43000002</v>
      </c>
      <c r="G42" s="268">
        <f t="shared" si="69"/>
        <v>87978710</v>
      </c>
      <c r="H42" s="2301">
        <f t="shared" si="69"/>
        <v>48104659</v>
      </c>
      <c r="I42" s="1466">
        <f t="shared" si="69"/>
        <v>253798999.12</v>
      </c>
      <c r="J42" s="2302">
        <f t="shared" si="61"/>
        <v>66.639229864200175</v>
      </c>
      <c r="K42" s="268">
        <f t="shared" si="69"/>
        <v>9027127.6899999995</v>
      </c>
      <c r="L42" s="2303">
        <f t="shared" si="62"/>
        <v>10.26058200898831</v>
      </c>
      <c r="M42" s="2304">
        <f t="shared" si="63"/>
        <v>-34962227.310000002</v>
      </c>
      <c r="N42" s="3082"/>
    </row>
    <row r="43" spans="1:14" ht="13.5" customHeight="1" x14ac:dyDescent="0.2">
      <c r="A43" s="3079"/>
      <c r="B43" s="236" t="s">
        <v>17</v>
      </c>
      <c r="C43" s="2141"/>
      <c r="D43" s="302">
        <f t="shared" ref="D43:I43" si="70">+D44+D47</f>
        <v>473100030.94999999</v>
      </c>
      <c r="E43" s="304">
        <f t="shared" si="70"/>
        <v>141513275</v>
      </c>
      <c r="F43" s="304">
        <f t="shared" si="70"/>
        <v>158068855.94999999</v>
      </c>
      <c r="G43" s="304">
        <f t="shared" si="70"/>
        <v>112434080</v>
      </c>
      <c r="H43" s="1185">
        <f t="shared" si="70"/>
        <v>61083820</v>
      </c>
      <c r="I43" s="1238">
        <f t="shared" si="70"/>
        <v>304839157.94999999</v>
      </c>
      <c r="J43" s="1181">
        <f t="shared" si="61"/>
        <v>64.434398226073512</v>
      </c>
      <c r="K43" s="304">
        <f>+K44+K47</f>
        <v>5257027</v>
      </c>
      <c r="L43" s="2287">
        <f t="shared" si="62"/>
        <v>4.6756526135136252</v>
      </c>
      <c r="M43" s="1695">
        <f t="shared" si="63"/>
        <v>-50960013</v>
      </c>
      <c r="N43" s="3082"/>
    </row>
    <row r="44" spans="1:14" ht="13.5" customHeight="1" x14ac:dyDescent="0.2">
      <c r="A44" s="3079"/>
      <c r="B44" s="1290" t="s">
        <v>18</v>
      </c>
      <c r="C44" s="3088"/>
      <c r="D44" s="2305">
        <f t="shared" ref="D44:K44" si="71">+D45+D46</f>
        <v>92244790.950000003</v>
      </c>
      <c r="E44" s="273">
        <f t="shared" si="71"/>
        <v>57407367</v>
      </c>
      <c r="F44" s="273">
        <f t="shared" si="71"/>
        <v>25649167.949999999</v>
      </c>
      <c r="G44" s="273">
        <f t="shared" si="71"/>
        <v>7512857</v>
      </c>
      <c r="H44" s="2306">
        <f t="shared" si="71"/>
        <v>1675399</v>
      </c>
      <c r="I44" s="1473">
        <f t="shared" si="71"/>
        <v>83846370.950000003</v>
      </c>
      <c r="J44" s="2307">
        <f t="shared" si="61"/>
        <v>90.895507579878142</v>
      </c>
      <c r="K44" s="273">
        <f t="shared" si="71"/>
        <v>789836</v>
      </c>
      <c r="L44" s="2291">
        <f t="shared" si="62"/>
        <v>10.513124368000083</v>
      </c>
      <c r="M44" s="2308">
        <f t="shared" si="63"/>
        <v>-2966592.5</v>
      </c>
      <c r="N44" s="3082"/>
    </row>
    <row r="45" spans="1:14" ht="13.5" customHeight="1" x14ac:dyDescent="0.2">
      <c r="A45" s="3079"/>
      <c r="B45" s="271" t="s">
        <v>10</v>
      </c>
      <c r="C45" s="3088"/>
      <c r="D45" s="267">
        <f t="shared" ref="D45:I45" si="72">+D170+D200+D356+D212+D233+D254+D75+D121+D105</f>
        <v>17213791</v>
      </c>
      <c r="E45" s="268">
        <f t="shared" si="72"/>
        <v>12750783</v>
      </c>
      <c r="F45" s="268">
        <f t="shared" si="72"/>
        <v>3663008</v>
      </c>
      <c r="G45" s="268">
        <f t="shared" si="72"/>
        <v>800000</v>
      </c>
      <c r="H45" s="2301">
        <f t="shared" si="72"/>
        <v>0</v>
      </c>
      <c r="I45" s="1467">
        <f t="shared" si="72"/>
        <v>16413791</v>
      </c>
      <c r="J45" s="2309">
        <f t="shared" si="61"/>
        <v>95.352563534668221</v>
      </c>
      <c r="K45" s="268">
        <f>+K170+K200+K356+K212+K233+K254+K75+K121+K105</f>
        <v>0</v>
      </c>
      <c r="L45" s="2295">
        <f t="shared" si="62"/>
        <v>0</v>
      </c>
      <c r="M45" s="2304">
        <f t="shared" si="63"/>
        <v>-400000</v>
      </c>
      <c r="N45" s="3082"/>
    </row>
    <row r="46" spans="1:14" ht="13.5" customHeight="1" x14ac:dyDescent="0.2">
      <c r="A46" s="3079"/>
      <c r="B46" s="260" t="s">
        <v>12</v>
      </c>
      <c r="C46" s="3088"/>
      <c r="D46" s="267">
        <f t="shared" ref="D46:I46" si="73">D60+D76+D90+D106+D122+D136+D149</f>
        <v>75030999.950000003</v>
      </c>
      <c r="E46" s="268">
        <f t="shared" si="73"/>
        <v>44656584</v>
      </c>
      <c r="F46" s="268">
        <f t="shared" si="73"/>
        <v>21986159.949999999</v>
      </c>
      <c r="G46" s="268">
        <f t="shared" si="73"/>
        <v>6712857</v>
      </c>
      <c r="H46" s="2301">
        <f t="shared" si="73"/>
        <v>1675399</v>
      </c>
      <c r="I46" s="1466">
        <f t="shared" si="73"/>
        <v>67432579.950000003</v>
      </c>
      <c r="J46" s="2309">
        <f t="shared" si="61"/>
        <v>89.872959170124986</v>
      </c>
      <c r="K46" s="268">
        <f>K60+K76+K90+K106+K122+K136+K149</f>
        <v>789836</v>
      </c>
      <c r="L46" s="2297">
        <f t="shared" si="62"/>
        <v>11.766018552160428</v>
      </c>
      <c r="M46" s="2304">
        <f t="shared" si="63"/>
        <v>-2566592.5</v>
      </c>
      <c r="N46" s="3082"/>
    </row>
    <row r="47" spans="1:14" ht="12" customHeight="1" x14ac:dyDescent="0.2">
      <c r="A47" s="3079"/>
      <c r="B47" s="272" t="s">
        <v>13</v>
      </c>
      <c r="C47" s="3088"/>
      <c r="D47" s="2305">
        <f t="shared" ref="D47:I47" si="74">+D48+D49</f>
        <v>380855240</v>
      </c>
      <c r="E47" s="273">
        <f t="shared" si="74"/>
        <v>84105908</v>
      </c>
      <c r="F47" s="273">
        <f t="shared" si="74"/>
        <v>132419688</v>
      </c>
      <c r="G47" s="273">
        <f t="shared" si="74"/>
        <v>104921223</v>
      </c>
      <c r="H47" s="2306">
        <f t="shared" si="74"/>
        <v>59408421</v>
      </c>
      <c r="I47" s="1473">
        <f t="shared" si="74"/>
        <v>220992787</v>
      </c>
      <c r="J47" s="2307">
        <f t="shared" si="61"/>
        <v>58.025402775080636</v>
      </c>
      <c r="K47" s="273">
        <f>+K48+K49</f>
        <v>4467191</v>
      </c>
      <c r="L47" s="2295">
        <f t="shared" si="62"/>
        <v>4.2576619603452395</v>
      </c>
      <c r="M47" s="2308">
        <f t="shared" si="63"/>
        <v>-47993420.5</v>
      </c>
      <c r="N47" s="3082"/>
    </row>
    <row r="48" spans="1:14" ht="12" hidden="1" customHeight="1" x14ac:dyDescent="0.2">
      <c r="A48" s="3079"/>
      <c r="B48" s="260" t="s">
        <v>12</v>
      </c>
      <c r="C48" s="3088"/>
      <c r="D48" s="2298">
        <f t="shared" ref="D48:I48" si="75">+D62+D78+D92+D108+D124+D138</f>
        <v>0</v>
      </c>
      <c r="E48" s="265">
        <f t="shared" si="75"/>
        <v>0</v>
      </c>
      <c r="F48" s="265">
        <f t="shared" si="75"/>
        <v>0</v>
      </c>
      <c r="G48" s="265">
        <f t="shared" si="75"/>
        <v>0</v>
      </c>
      <c r="H48" s="2299">
        <f t="shared" si="75"/>
        <v>0</v>
      </c>
      <c r="I48" s="1472">
        <f t="shared" si="75"/>
        <v>0</v>
      </c>
      <c r="J48" s="266" t="e">
        <f t="shared" si="61"/>
        <v>#DIV/0!</v>
      </c>
      <c r="K48" s="265">
        <f>+K62+K78+K92+K108+K124+K138</f>
        <v>0</v>
      </c>
      <c r="L48" s="2310" t="e">
        <f t="shared" si="62"/>
        <v>#DIV/0!</v>
      </c>
      <c r="M48" s="2300">
        <f t="shared" si="63"/>
        <v>0</v>
      </c>
      <c r="N48" s="3082"/>
    </row>
    <row r="49" spans="1:14" ht="13.5" customHeight="1" thickBot="1" x14ac:dyDescent="0.25">
      <c r="A49" s="3080"/>
      <c r="B49" s="274" t="s">
        <v>15</v>
      </c>
      <c r="C49" s="3089"/>
      <c r="D49" s="2311">
        <f t="shared" ref="D49:K49" si="76">+D160+D172+D63+D181+D190+D79+D93+D202+D214+D223+D109+D235+D244++D256+D265+D274+D125+D283+D139+D292+D151+D301+D310+D319+D328+D337+D346+D358+D365</f>
        <v>380855240</v>
      </c>
      <c r="E49" s="275">
        <f t="shared" si="76"/>
        <v>84105908</v>
      </c>
      <c r="F49" s="275">
        <f t="shared" si="76"/>
        <v>132419688</v>
      </c>
      <c r="G49" s="275">
        <f t="shared" si="76"/>
        <v>104921223</v>
      </c>
      <c r="H49" s="2312">
        <f t="shared" si="76"/>
        <v>59408421</v>
      </c>
      <c r="I49" s="1474">
        <f t="shared" si="76"/>
        <v>220992787</v>
      </c>
      <c r="J49" s="2313">
        <f t="shared" si="61"/>
        <v>58.025402775080636</v>
      </c>
      <c r="K49" s="275">
        <f t="shared" si="76"/>
        <v>4467191</v>
      </c>
      <c r="L49" s="2314">
        <f t="shared" si="62"/>
        <v>4.2576619603452395</v>
      </c>
      <c r="M49" s="2315">
        <f t="shared" si="63"/>
        <v>-47993420.5</v>
      </c>
      <c r="N49" s="3083"/>
    </row>
    <row r="50" spans="1:14" ht="27.75" customHeight="1" x14ac:dyDescent="0.2">
      <c r="A50" s="3092" t="s">
        <v>33</v>
      </c>
      <c r="B50" s="2316" t="s">
        <v>270</v>
      </c>
      <c r="C50" s="2123" t="s">
        <v>193</v>
      </c>
      <c r="D50" s="278"/>
      <c r="E50" s="276"/>
      <c r="F50" s="276"/>
      <c r="G50" s="276"/>
      <c r="H50" s="277"/>
      <c r="I50" s="278"/>
      <c r="J50" s="2317"/>
      <c r="K50" s="276"/>
      <c r="L50" s="2318"/>
      <c r="M50" s="277"/>
      <c r="N50" s="2319" t="s">
        <v>37</v>
      </c>
    </row>
    <row r="51" spans="1:14" ht="15" customHeight="1" x14ac:dyDescent="0.2">
      <c r="A51" s="3093"/>
      <c r="B51" s="236" t="s">
        <v>3</v>
      </c>
      <c r="C51" s="237"/>
      <c r="D51" s="1179">
        <f t="shared" ref="D51:I51" si="77">+D52+D55</f>
        <v>24378674.75</v>
      </c>
      <c r="E51" s="304">
        <f t="shared" si="77"/>
        <v>9637704</v>
      </c>
      <c r="F51" s="304">
        <f t="shared" si="77"/>
        <v>14695970.75</v>
      </c>
      <c r="G51" s="304">
        <f t="shared" si="77"/>
        <v>45000</v>
      </c>
      <c r="H51" s="306">
        <f t="shared" si="77"/>
        <v>0</v>
      </c>
      <c r="I51" s="1179">
        <f t="shared" si="77"/>
        <v>24334249.75</v>
      </c>
      <c r="J51" s="1740">
        <f>I51/D51*100</f>
        <v>99.81777106239133</v>
      </c>
      <c r="K51" s="304">
        <f>+K52+K55</f>
        <v>575</v>
      </c>
      <c r="L51" s="1740">
        <f>K51/G51*100</f>
        <v>1.2777777777777779</v>
      </c>
      <c r="M51" s="1185">
        <f>+K51-G51*0.5</f>
        <v>-21925</v>
      </c>
      <c r="N51" s="3098" t="s">
        <v>38</v>
      </c>
    </row>
    <row r="52" spans="1:14" ht="12.75" customHeight="1" x14ac:dyDescent="0.2">
      <c r="A52" s="3094"/>
      <c r="B52" s="301" t="s">
        <v>18</v>
      </c>
      <c r="C52" s="3039" t="s">
        <v>39</v>
      </c>
      <c r="D52" s="2320">
        <f t="shared" ref="D52:I52" si="78">+D53+D54</f>
        <v>12817545.799999999</v>
      </c>
      <c r="E52" s="2321">
        <f t="shared" si="78"/>
        <v>9272912</v>
      </c>
      <c r="F52" s="2321">
        <f t="shared" si="78"/>
        <v>3499633.8</v>
      </c>
      <c r="G52" s="2321">
        <f t="shared" si="78"/>
        <v>45000</v>
      </c>
      <c r="H52" s="2322">
        <f t="shared" si="78"/>
        <v>0</v>
      </c>
      <c r="I52" s="2320">
        <f t="shared" si="78"/>
        <v>12773120.799999999</v>
      </c>
      <c r="J52" s="2323">
        <f t="shared" ref="J52:J63" si="79">I52/D52*100</f>
        <v>99.653404788301984</v>
      </c>
      <c r="K52" s="2321">
        <f>+K53+K54</f>
        <v>575</v>
      </c>
      <c r="L52" s="2324">
        <f t="shared" ref="L52:L113" si="80">K52/G52*100</f>
        <v>1.2777777777777779</v>
      </c>
      <c r="M52" s="2325">
        <f t="shared" ref="M52:M63" si="81">+K52-G52*0.5</f>
        <v>-21925</v>
      </c>
      <c r="N52" s="3098"/>
    </row>
    <row r="53" spans="1:14" ht="12.75" customHeight="1" x14ac:dyDescent="0.2">
      <c r="A53" s="3095"/>
      <c r="B53" s="279" t="s">
        <v>5</v>
      </c>
      <c r="C53" s="3100"/>
      <c r="D53" s="1701">
        <f>+E53+F53+G53+H53</f>
        <v>1256416.8600000001</v>
      </c>
      <c r="E53" s="292">
        <v>0</v>
      </c>
      <c r="F53" s="1702">
        <v>1211416.8600000001</v>
      </c>
      <c r="G53" s="1702">
        <v>45000</v>
      </c>
      <c r="H53" s="1732">
        <v>0</v>
      </c>
      <c r="I53" s="1730">
        <f>E53+F53+K53</f>
        <v>1211991.8600000001</v>
      </c>
      <c r="J53" s="1291">
        <f t="shared" si="79"/>
        <v>96.46415123719369</v>
      </c>
      <c r="K53" s="1702">
        <v>575</v>
      </c>
      <c r="L53" s="1749">
        <f t="shared" si="80"/>
        <v>1.2777777777777779</v>
      </c>
      <c r="M53" s="1424">
        <f t="shared" si="81"/>
        <v>-21925</v>
      </c>
      <c r="N53" s="3098"/>
    </row>
    <row r="54" spans="1:14" s="132" customFormat="1" ht="12.75" customHeight="1" x14ac:dyDescent="0.2">
      <c r="A54" s="3095"/>
      <c r="B54" s="279" t="s">
        <v>12</v>
      </c>
      <c r="C54" s="3100"/>
      <c r="D54" s="1701">
        <f>++E54+F54+G54+H54</f>
        <v>11561128.939999999</v>
      </c>
      <c r="E54" s="1702">
        <f>186148+298000+8788764</f>
        <v>9272912</v>
      </c>
      <c r="F54" s="1702">
        <v>2288216.94</v>
      </c>
      <c r="G54" s="1702">
        <v>0</v>
      </c>
      <c r="H54" s="1732">
        <v>0</v>
      </c>
      <c r="I54" s="1730">
        <f>E54+F54+K54</f>
        <v>11561128.939999999</v>
      </c>
      <c r="J54" s="2326">
        <f t="shared" si="79"/>
        <v>100</v>
      </c>
      <c r="K54" s="280">
        <v>0</v>
      </c>
      <c r="L54" s="900">
        <v>0</v>
      </c>
      <c r="M54" s="1424">
        <f t="shared" si="81"/>
        <v>0</v>
      </c>
      <c r="N54" s="3098"/>
    </row>
    <row r="55" spans="1:14" ht="12.75" customHeight="1" x14ac:dyDescent="0.2">
      <c r="A55" s="3095"/>
      <c r="B55" s="281" t="s">
        <v>13</v>
      </c>
      <c r="C55" s="3100"/>
      <c r="D55" s="282">
        <f>+D57+D56</f>
        <v>11561128.949999999</v>
      </c>
      <c r="E55" s="283">
        <f>+E56+E57</f>
        <v>364792</v>
      </c>
      <c r="F55" s="283">
        <f>+F56+F57</f>
        <v>11196336.949999999</v>
      </c>
      <c r="G55" s="283">
        <f>+G56+G57</f>
        <v>0</v>
      </c>
      <c r="H55" s="285">
        <f>+H56+H57</f>
        <v>0</v>
      </c>
      <c r="I55" s="282">
        <f>+I56+I57</f>
        <v>11561128.949999999</v>
      </c>
      <c r="J55" s="1231">
        <f t="shared" si="79"/>
        <v>100</v>
      </c>
      <c r="K55" s="284">
        <f>+K56+K57</f>
        <v>0</v>
      </c>
      <c r="L55" s="1078">
        <v>0</v>
      </c>
      <c r="M55" s="1426">
        <f t="shared" si="81"/>
        <v>0</v>
      </c>
      <c r="N55" s="3098"/>
    </row>
    <row r="56" spans="1:14" ht="12.75" hidden="1" customHeight="1" x14ac:dyDescent="0.2">
      <c r="A56" s="3095"/>
      <c r="B56" s="279" t="s">
        <v>12</v>
      </c>
      <c r="C56" s="3100"/>
      <c r="D56" s="286">
        <v>0</v>
      </c>
      <c r="E56" s="280">
        <v>0</v>
      </c>
      <c r="F56" s="280">
        <v>0</v>
      </c>
      <c r="G56" s="280">
        <v>0</v>
      </c>
      <c r="H56" s="1732">
        <v>0</v>
      </c>
      <c r="I56" s="1081">
        <v>0</v>
      </c>
      <c r="J56" s="293" t="e">
        <f t="shared" si="79"/>
        <v>#DIV/0!</v>
      </c>
      <c r="K56" s="280">
        <v>0</v>
      </c>
      <c r="L56" s="900" t="e">
        <f t="shared" si="80"/>
        <v>#DIV/0!</v>
      </c>
      <c r="M56" s="1732">
        <f t="shared" si="81"/>
        <v>0</v>
      </c>
      <c r="N56" s="3098"/>
    </row>
    <row r="57" spans="1:14" ht="12.75" customHeight="1" x14ac:dyDescent="0.2">
      <c r="A57" s="3095"/>
      <c r="B57" s="279" t="s">
        <v>15</v>
      </c>
      <c r="C57" s="3100"/>
      <c r="D57" s="1701">
        <f>+E57+F57+G57+H57</f>
        <v>11561128.949999999</v>
      </c>
      <c r="E57" s="1702">
        <v>364792</v>
      </c>
      <c r="F57" s="1702">
        <v>11196336.949999999</v>
      </c>
      <c r="G57" s="1702">
        <v>0</v>
      </c>
      <c r="H57" s="1732">
        <v>0</v>
      </c>
      <c r="I57" s="1730">
        <f>E57+F57+K57</f>
        <v>11561128.949999999</v>
      </c>
      <c r="J57" s="2326">
        <f>I57/D57*100</f>
        <v>100</v>
      </c>
      <c r="K57" s="280">
        <v>0</v>
      </c>
      <c r="L57" s="900">
        <v>0</v>
      </c>
      <c r="M57" s="1424">
        <f t="shared" si="81"/>
        <v>0</v>
      </c>
      <c r="N57" s="3099"/>
    </row>
    <row r="58" spans="1:14" ht="12.75" customHeight="1" x14ac:dyDescent="0.2">
      <c r="A58" s="3096"/>
      <c r="B58" s="236" t="s">
        <v>17</v>
      </c>
      <c r="C58" s="237"/>
      <c r="D58" s="302">
        <f t="shared" ref="D58:I58" si="82">+D61+D59</f>
        <v>23122257.949999999</v>
      </c>
      <c r="E58" s="304">
        <f t="shared" si="82"/>
        <v>6768575</v>
      </c>
      <c r="F58" s="304">
        <f>+F61+F59</f>
        <v>11377725.949999999</v>
      </c>
      <c r="G58" s="304">
        <f t="shared" si="82"/>
        <v>4975957</v>
      </c>
      <c r="H58" s="306">
        <f t="shared" si="82"/>
        <v>0</v>
      </c>
      <c r="I58" s="302">
        <f t="shared" si="82"/>
        <v>20125493.949999999</v>
      </c>
      <c r="J58" s="1181">
        <f t="shared" si="79"/>
        <v>87.039483745574259</v>
      </c>
      <c r="K58" s="304">
        <f>+K61+K59</f>
        <v>1979193</v>
      </c>
      <c r="L58" s="1740">
        <f t="shared" si="80"/>
        <v>39.775122654797862</v>
      </c>
      <c r="M58" s="1185">
        <f t="shared" si="81"/>
        <v>-508785.5</v>
      </c>
      <c r="N58" s="3101" t="s">
        <v>40</v>
      </c>
    </row>
    <row r="59" spans="1:14" ht="12.75" customHeight="1" thickBot="1" x14ac:dyDescent="0.25">
      <c r="A59" s="3096"/>
      <c r="B59" s="1970" t="s">
        <v>18</v>
      </c>
      <c r="C59" s="3047" t="s">
        <v>35</v>
      </c>
      <c r="D59" s="2709">
        <f t="shared" ref="D59:I59" si="83">D60</f>
        <v>11561128.949999999</v>
      </c>
      <c r="E59" s="2710">
        <f t="shared" si="83"/>
        <v>6768575</v>
      </c>
      <c r="F59" s="2710">
        <f>F60</f>
        <v>2504335.9500000002</v>
      </c>
      <c r="G59" s="2710">
        <f t="shared" si="83"/>
        <v>2288218</v>
      </c>
      <c r="H59" s="2322">
        <f t="shared" si="83"/>
        <v>0</v>
      </c>
      <c r="I59" s="2327">
        <f t="shared" si="83"/>
        <v>10062746.949999999</v>
      </c>
      <c r="J59" s="1291">
        <f t="shared" si="79"/>
        <v>87.039483717548194</v>
      </c>
      <c r="K59" s="283">
        <f>K60</f>
        <v>789836</v>
      </c>
      <c r="L59" s="1749">
        <f t="shared" si="80"/>
        <v>34.517515376594368</v>
      </c>
      <c r="M59" s="2329">
        <f t="shared" si="81"/>
        <v>-354273</v>
      </c>
      <c r="N59" s="3038"/>
    </row>
    <row r="60" spans="1:14" ht="12.75" customHeight="1" x14ac:dyDescent="0.2">
      <c r="A60" s="3096"/>
      <c r="B60" s="1724" t="s">
        <v>12</v>
      </c>
      <c r="C60" s="3111"/>
      <c r="D60" s="1701">
        <f>++E60+F60+G60+H60</f>
        <v>11561128.949999999</v>
      </c>
      <c r="E60" s="1702">
        <v>6768575</v>
      </c>
      <c r="F60" s="1702">
        <v>2504335.9500000002</v>
      </c>
      <c r="G60" s="1702">
        <v>2288218</v>
      </c>
      <c r="H60" s="1806">
        <v>0</v>
      </c>
      <c r="I60" s="1730">
        <f>E60+F60+K60</f>
        <v>10062746.949999999</v>
      </c>
      <c r="J60" s="1291">
        <f t="shared" si="79"/>
        <v>87.039483717548194</v>
      </c>
      <c r="K60" s="1424">
        <v>789836</v>
      </c>
      <c r="L60" s="2682">
        <f t="shared" si="80"/>
        <v>34.517515376594368</v>
      </c>
      <c r="M60" s="1424">
        <f t="shared" si="81"/>
        <v>-354273</v>
      </c>
      <c r="N60" s="3042"/>
    </row>
    <row r="61" spans="1:14" ht="12.75" customHeight="1" x14ac:dyDescent="0.2">
      <c r="A61" s="3096"/>
      <c r="B61" s="1517" t="s">
        <v>13</v>
      </c>
      <c r="C61" s="3039"/>
      <c r="D61" s="282">
        <f>+D63+D62</f>
        <v>11561129</v>
      </c>
      <c r="E61" s="283">
        <f>+E63+E62</f>
        <v>0</v>
      </c>
      <c r="F61" s="283">
        <f>+F63+F62</f>
        <v>8873390</v>
      </c>
      <c r="G61" s="283">
        <f>+G62+G63</f>
        <v>2687739</v>
      </c>
      <c r="H61" s="2349">
        <f>+H62+H63</f>
        <v>0</v>
      </c>
      <c r="I61" s="282">
        <f>+I62+I63</f>
        <v>10062747</v>
      </c>
      <c r="J61" s="1231">
        <f t="shared" si="79"/>
        <v>87.03948377360031</v>
      </c>
      <c r="K61" s="1426">
        <f>+K63+K62</f>
        <v>1189357</v>
      </c>
      <c r="L61" s="2683">
        <f t="shared" si="80"/>
        <v>44.251208915746652</v>
      </c>
      <c r="M61" s="1426">
        <f t="shared" si="81"/>
        <v>-154512.5</v>
      </c>
      <c r="N61" s="3037"/>
    </row>
    <row r="62" spans="1:14" ht="12.75" hidden="1" customHeight="1" x14ac:dyDescent="0.2">
      <c r="A62" s="3096"/>
      <c r="B62" s="1724" t="s">
        <v>12</v>
      </c>
      <c r="C62" s="3039"/>
      <c r="D62" s="286">
        <v>0</v>
      </c>
      <c r="E62" s="280">
        <v>0</v>
      </c>
      <c r="F62" s="280">
        <v>0</v>
      </c>
      <c r="G62" s="280">
        <v>0</v>
      </c>
      <c r="H62" s="1806">
        <v>0</v>
      </c>
      <c r="I62" s="1081">
        <v>0</v>
      </c>
      <c r="J62" s="280" t="e">
        <f t="shared" si="79"/>
        <v>#DIV/0!</v>
      </c>
      <c r="K62" s="1732">
        <v>0</v>
      </c>
      <c r="L62" s="2165" t="e">
        <f t="shared" si="80"/>
        <v>#DIV/0!</v>
      </c>
      <c r="M62" s="1732">
        <f t="shared" si="81"/>
        <v>0</v>
      </c>
      <c r="N62" s="3037"/>
    </row>
    <row r="63" spans="1:14" ht="12.75" customHeight="1" thickBot="1" x14ac:dyDescent="0.25">
      <c r="A63" s="3097"/>
      <c r="B63" s="2187" t="s">
        <v>15</v>
      </c>
      <c r="C63" s="3112"/>
      <c r="D63" s="1711">
        <f>++E63+F63+G63+H63</f>
        <v>11561129</v>
      </c>
      <c r="E63" s="2167">
        <v>0</v>
      </c>
      <c r="F63" s="1712">
        <v>8873390</v>
      </c>
      <c r="G63" s="1712">
        <v>2687739</v>
      </c>
      <c r="H63" s="2697">
        <v>0</v>
      </c>
      <c r="I63" s="289">
        <f>E63+F63+K63</f>
        <v>10062747</v>
      </c>
      <c r="J63" s="290">
        <f t="shared" si="79"/>
        <v>87.03948377360031</v>
      </c>
      <c r="K63" s="1428">
        <v>1189357</v>
      </c>
      <c r="L63" s="2684">
        <f t="shared" si="80"/>
        <v>44.251208915746652</v>
      </c>
      <c r="M63" s="1428">
        <f t="shared" si="81"/>
        <v>-154512.5</v>
      </c>
      <c r="N63" s="3038"/>
    </row>
    <row r="64" spans="1:14" s="291" customFormat="1" ht="25.5" x14ac:dyDescent="0.2">
      <c r="A64" s="3095" t="s">
        <v>36</v>
      </c>
      <c r="B64" s="2797" t="s">
        <v>271</v>
      </c>
      <c r="C64" s="2123" t="s">
        <v>193</v>
      </c>
      <c r="D64" s="278"/>
      <c r="E64" s="276"/>
      <c r="F64" s="276"/>
      <c r="G64" s="276"/>
      <c r="H64" s="2698"/>
      <c r="I64" s="278"/>
      <c r="J64" s="2317"/>
      <c r="K64" s="277"/>
      <c r="L64" s="2685"/>
      <c r="M64" s="277"/>
      <c r="N64" s="2332" t="s">
        <v>37</v>
      </c>
    </row>
    <row r="65" spans="1:14" s="291" customFormat="1" ht="12" customHeight="1" x14ac:dyDescent="0.2">
      <c r="A65" s="3095"/>
      <c r="B65" s="1969" t="s">
        <v>3</v>
      </c>
      <c r="C65" s="237"/>
      <c r="D65" s="2142">
        <f t="shared" ref="D65:H65" si="84">+D66+D70</f>
        <v>29095869.560000002</v>
      </c>
      <c r="E65" s="2143">
        <f>+E66+E70</f>
        <v>15914185</v>
      </c>
      <c r="F65" s="2143">
        <f>+F66+F70</f>
        <v>13156684.560000001</v>
      </c>
      <c r="G65" s="2143">
        <f t="shared" si="84"/>
        <v>25000</v>
      </c>
      <c r="H65" s="1804">
        <f t="shared" si="84"/>
        <v>0</v>
      </c>
      <c r="I65" s="2142">
        <f>+I70+I66</f>
        <v>29082939.560000002</v>
      </c>
      <c r="J65" s="2334">
        <f>I65/D65*100</f>
        <v>99.955560702616779</v>
      </c>
      <c r="K65" s="2170">
        <f>+K66+K70</f>
        <v>12070</v>
      </c>
      <c r="L65" s="2686">
        <f t="shared" si="80"/>
        <v>48.28</v>
      </c>
      <c r="M65" s="2170">
        <f>+K65-G65*0.5</f>
        <v>-430</v>
      </c>
      <c r="N65" s="3106" t="s">
        <v>38</v>
      </c>
    </row>
    <row r="66" spans="1:14" s="291" customFormat="1" ht="12" customHeight="1" x14ac:dyDescent="0.2">
      <c r="A66" s="3095"/>
      <c r="B66" s="1970" t="s">
        <v>18</v>
      </c>
      <c r="C66" s="3039" t="s">
        <v>39</v>
      </c>
      <c r="D66" s="1734">
        <f>+D67+D69+D68</f>
        <v>14709556.020000001</v>
      </c>
      <c r="E66" s="283">
        <f>+E69+E67+E68</f>
        <v>8601389</v>
      </c>
      <c r="F66" s="283">
        <f>+F67+F69+F68</f>
        <v>6083167.0200000005</v>
      </c>
      <c r="G66" s="1706">
        <f>+G67+G69+G68</f>
        <v>25000</v>
      </c>
      <c r="H66" s="2349">
        <f>+H67+H69</f>
        <v>0</v>
      </c>
      <c r="I66" s="1734">
        <f>+I67+I69+I68</f>
        <v>14696626.020000001</v>
      </c>
      <c r="J66" s="1231">
        <f t="shared" ref="J66:J78" si="85">I66/D66*100</f>
        <v>99.912097958752668</v>
      </c>
      <c r="K66" s="1706">
        <f>+K67+K69+K68</f>
        <v>12070</v>
      </c>
      <c r="L66" s="2330">
        <f t="shared" si="80"/>
        <v>48.28</v>
      </c>
      <c r="M66" s="1425">
        <f t="shared" ref="M66:M129" si="86">+K66-G66*0.5</f>
        <v>-430</v>
      </c>
      <c r="N66" s="3106"/>
    </row>
    <row r="67" spans="1:14" s="291" customFormat="1" ht="12.75" customHeight="1" x14ac:dyDescent="0.2">
      <c r="A67" s="3095"/>
      <c r="B67" s="1724" t="s">
        <v>5</v>
      </c>
      <c r="C67" s="3100"/>
      <c r="D67" s="1701">
        <f>+E67+F67+G67+H67</f>
        <v>108147.99</v>
      </c>
      <c r="E67" s="292">
        <v>5076</v>
      </c>
      <c r="F67" s="292">
        <v>78071.990000000005</v>
      </c>
      <c r="G67" s="292">
        <v>25000</v>
      </c>
      <c r="H67" s="1806">
        <v>0</v>
      </c>
      <c r="I67" s="1730">
        <f>E67+F67+K67</f>
        <v>95217.99</v>
      </c>
      <c r="J67" s="1291">
        <f t="shared" si="85"/>
        <v>88.044160598823893</v>
      </c>
      <c r="K67" s="1702">
        <v>12070</v>
      </c>
      <c r="L67" s="1749">
        <f t="shared" si="80"/>
        <v>48.28</v>
      </c>
      <c r="M67" s="1424">
        <f t="shared" si="86"/>
        <v>-430</v>
      </c>
      <c r="N67" s="3106"/>
    </row>
    <row r="68" spans="1:14" s="291" customFormat="1" ht="12.75" customHeight="1" x14ac:dyDescent="0.2">
      <c r="A68" s="3095"/>
      <c r="B68" s="1724" t="s">
        <v>10</v>
      </c>
      <c r="C68" s="3100"/>
      <c r="D68" s="1701">
        <f>+E68+F68+G68+H68</f>
        <v>215095</v>
      </c>
      <c r="E68" s="292">
        <v>110000</v>
      </c>
      <c r="F68" s="292">
        <v>105095</v>
      </c>
      <c r="G68" s="292">
        <v>0</v>
      </c>
      <c r="H68" s="2389">
        <v>0</v>
      </c>
      <c r="I68" s="1730">
        <f>E68+F68+K68</f>
        <v>215095</v>
      </c>
      <c r="J68" s="2326">
        <f>I68/D68*100</f>
        <v>100</v>
      </c>
      <c r="K68" s="293">
        <v>0</v>
      </c>
      <c r="L68" s="900">
        <v>0</v>
      </c>
      <c r="M68" s="1424">
        <f t="shared" si="86"/>
        <v>0</v>
      </c>
      <c r="N68" s="3106"/>
    </row>
    <row r="69" spans="1:14" s="2336" customFormat="1" ht="12.75" customHeight="1" x14ac:dyDescent="0.2">
      <c r="A69" s="3095"/>
      <c r="B69" s="1724" t="s">
        <v>12</v>
      </c>
      <c r="C69" s="3100"/>
      <c r="D69" s="1701">
        <f>++E69+F69+G69+H69</f>
        <v>14386313.030000001</v>
      </c>
      <c r="E69" s="1702">
        <f>118878+77968+8289467</f>
        <v>8486313</v>
      </c>
      <c r="F69" s="292">
        <f>5139320.03+760680</f>
        <v>5900000.0300000003</v>
      </c>
      <c r="G69" s="292">
        <v>0</v>
      </c>
      <c r="H69" s="2389">
        <v>0</v>
      </c>
      <c r="I69" s="1730">
        <f>E69+F69+K69</f>
        <v>14386313.030000001</v>
      </c>
      <c r="J69" s="1291">
        <f t="shared" si="85"/>
        <v>100</v>
      </c>
      <c r="K69" s="293">
        <v>0</v>
      </c>
      <c r="L69" s="1077">
        <v>0</v>
      </c>
      <c r="M69" s="1424">
        <f t="shared" si="86"/>
        <v>0</v>
      </c>
      <c r="N69" s="3106"/>
    </row>
    <row r="70" spans="1:14" s="291" customFormat="1" ht="12.75" customHeight="1" x14ac:dyDescent="0.2">
      <c r="A70" s="3095"/>
      <c r="B70" s="1517" t="s">
        <v>13</v>
      </c>
      <c r="C70" s="3100"/>
      <c r="D70" s="282">
        <f>+D72+D71</f>
        <v>14386313.539999999</v>
      </c>
      <c r="E70" s="283">
        <f>+E72+E71</f>
        <v>7312796</v>
      </c>
      <c r="F70" s="283">
        <f>+F72+F71</f>
        <v>7073517.54</v>
      </c>
      <c r="G70" s="283">
        <f>+G71+G72</f>
        <v>0</v>
      </c>
      <c r="H70" s="2436">
        <f>+H72+H71</f>
        <v>0</v>
      </c>
      <c r="I70" s="282">
        <f>+I71+I72</f>
        <v>14386313.539999999</v>
      </c>
      <c r="J70" s="1231">
        <f t="shared" si="85"/>
        <v>100</v>
      </c>
      <c r="K70" s="284">
        <f>+K72+K71</f>
        <v>0</v>
      </c>
      <c r="L70" s="1078">
        <v>0</v>
      </c>
      <c r="M70" s="1426">
        <f t="shared" si="86"/>
        <v>0</v>
      </c>
      <c r="N70" s="3106"/>
    </row>
    <row r="71" spans="1:14" s="291" customFormat="1" ht="12.75" hidden="1" customHeight="1" x14ac:dyDescent="0.25">
      <c r="A71" s="3095"/>
      <c r="B71" s="1724" t="s">
        <v>12</v>
      </c>
      <c r="C71" s="3043"/>
      <c r="D71" s="317">
        <f>+E71+F71+G71+H71</f>
        <v>0</v>
      </c>
      <c r="E71" s="288">
        <v>0</v>
      </c>
      <c r="F71" s="318">
        <v>0</v>
      </c>
      <c r="G71" s="318">
        <v>0</v>
      </c>
      <c r="H71" s="2389">
        <v>0</v>
      </c>
      <c r="I71" s="1081">
        <f>E71+F71+K71</f>
        <v>0</v>
      </c>
      <c r="J71" s="1291" t="e">
        <f t="shared" si="85"/>
        <v>#DIV/0!</v>
      </c>
      <c r="K71" s="293">
        <v>0</v>
      </c>
      <c r="L71" s="1077" t="e">
        <f t="shared" si="80"/>
        <v>#DIV/0!</v>
      </c>
      <c r="M71" s="1732">
        <f t="shared" si="86"/>
        <v>0</v>
      </c>
      <c r="N71" s="3106"/>
    </row>
    <row r="72" spans="1:14" s="291" customFormat="1" ht="12.75" customHeight="1" x14ac:dyDescent="0.2">
      <c r="A72" s="3095"/>
      <c r="B72" s="279" t="s">
        <v>15</v>
      </c>
      <c r="C72" s="2718"/>
      <c r="D72" s="2181">
        <f>++E72+F72+G72+H72</f>
        <v>14386313.539999999</v>
      </c>
      <c r="E72" s="2183">
        <f>118878+77968+7115950</f>
        <v>7312796</v>
      </c>
      <c r="F72" s="2183">
        <f>6312837.19+760680.35</f>
        <v>7073517.54</v>
      </c>
      <c r="G72" s="2183">
        <v>0</v>
      </c>
      <c r="H72" s="2247">
        <v>0</v>
      </c>
      <c r="I72" s="1730">
        <f>E72+F72+K72</f>
        <v>14386313.539999999</v>
      </c>
      <c r="J72" s="2326">
        <f t="shared" si="85"/>
        <v>100</v>
      </c>
      <c r="K72" s="293">
        <v>0</v>
      </c>
      <c r="L72" s="900">
        <v>0</v>
      </c>
      <c r="M72" s="1424">
        <f t="shared" si="86"/>
        <v>0</v>
      </c>
      <c r="N72" s="3106"/>
    </row>
    <row r="73" spans="1:14" s="291" customFormat="1" ht="12.75" customHeight="1" thickBot="1" x14ac:dyDescent="0.25">
      <c r="A73" s="3096"/>
      <c r="B73" s="236" t="s">
        <v>17</v>
      </c>
      <c r="C73" s="2333"/>
      <c r="D73" s="302">
        <f t="shared" ref="D73:H73" si="87">+D77+D74</f>
        <v>28987722</v>
      </c>
      <c r="E73" s="304">
        <f t="shared" si="87"/>
        <v>11587261</v>
      </c>
      <c r="F73" s="304">
        <f>+F77+F74</f>
        <v>15879100</v>
      </c>
      <c r="G73" s="304">
        <f t="shared" si="87"/>
        <v>1521361</v>
      </c>
      <c r="H73" s="306">
        <f t="shared" si="87"/>
        <v>0</v>
      </c>
      <c r="I73" s="302">
        <f>+I77+I74</f>
        <v>27466361</v>
      </c>
      <c r="J73" s="1181">
        <f t="shared" si="85"/>
        <v>94.751705566929331</v>
      </c>
      <c r="K73" s="304">
        <f>+K77+K74</f>
        <v>0</v>
      </c>
      <c r="L73" s="1740">
        <f t="shared" si="80"/>
        <v>0</v>
      </c>
      <c r="M73" s="1185">
        <f t="shared" si="86"/>
        <v>-760680.5</v>
      </c>
      <c r="N73" s="3107" t="s">
        <v>40</v>
      </c>
    </row>
    <row r="74" spans="1:14" s="291" customFormat="1" ht="12.75" customHeight="1" x14ac:dyDescent="0.2">
      <c r="A74" s="3102"/>
      <c r="B74" s="301" t="s">
        <v>18</v>
      </c>
      <c r="C74" s="3109" t="s">
        <v>35</v>
      </c>
      <c r="D74" s="2320">
        <f t="shared" ref="D74:I74" si="88">D76+D75</f>
        <v>14601408</v>
      </c>
      <c r="E74" s="2321">
        <f t="shared" si="88"/>
        <v>8596313</v>
      </c>
      <c r="F74" s="2321">
        <f>F76+F75</f>
        <v>5244415</v>
      </c>
      <c r="G74" s="2321">
        <f t="shared" si="88"/>
        <v>760680</v>
      </c>
      <c r="H74" s="2029">
        <f t="shared" si="88"/>
        <v>0</v>
      </c>
      <c r="I74" s="2320">
        <f t="shared" si="88"/>
        <v>13840728</v>
      </c>
      <c r="J74" s="1231">
        <f t="shared" si="85"/>
        <v>94.790365422293519</v>
      </c>
      <c r="K74" s="2321">
        <f>K76+K75</f>
        <v>0</v>
      </c>
      <c r="L74" s="2330">
        <f t="shared" si="80"/>
        <v>0</v>
      </c>
      <c r="M74" s="2325">
        <f t="shared" si="86"/>
        <v>-380340</v>
      </c>
      <c r="N74" s="3107"/>
    </row>
    <row r="75" spans="1:14" s="291" customFormat="1" ht="12.75" customHeight="1" thickBot="1" x14ac:dyDescent="0.25">
      <c r="A75" s="3103"/>
      <c r="B75" s="279" t="s">
        <v>10</v>
      </c>
      <c r="C75" s="3109"/>
      <c r="D75" s="1701">
        <f>+E75+F75+G75+H75</f>
        <v>215095</v>
      </c>
      <c r="E75" s="292">
        <v>110000</v>
      </c>
      <c r="F75" s="292">
        <v>105095</v>
      </c>
      <c r="G75" s="292">
        <v>0</v>
      </c>
      <c r="H75" s="2337">
        <v>0</v>
      </c>
      <c r="I75" s="1730">
        <f>E75+F75+K75</f>
        <v>215095</v>
      </c>
      <c r="J75" s="1291">
        <f t="shared" si="85"/>
        <v>100</v>
      </c>
      <c r="K75" s="2338">
        <v>0</v>
      </c>
      <c r="L75" s="1077">
        <v>0</v>
      </c>
      <c r="M75" s="1424">
        <f t="shared" si="86"/>
        <v>0</v>
      </c>
      <c r="N75" s="3107"/>
    </row>
    <row r="76" spans="1:14" s="2340" customFormat="1" ht="12.75" customHeight="1" x14ac:dyDescent="0.2">
      <c r="A76" s="3104"/>
      <c r="B76" s="279" t="s">
        <v>12</v>
      </c>
      <c r="C76" s="3109"/>
      <c r="D76" s="1701">
        <f>+E76+F76+G76+H76</f>
        <v>14386313</v>
      </c>
      <c r="E76" s="292">
        <v>8486313</v>
      </c>
      <c r="F76" s="292">
        <v>5139320</v>
      </c>
      <c r="G76" s="292">
        <v>760680</v>
      </c>
      <c r="H76" s="1127">
        <v>0</v>
      </c>
      <c r="I76" s="1730">
        <f>E76+F76+K76</f>
        <v>13625633</v>
      </c>
      <c r="J76" s="2326">
        <f t="shared" si="85"/>
        <v>94.712474280241224</v>
      </c>
      <c r="K76" s="1702">
        <v>0</v>
      </c>
      <c r="L76" s="2339">
        <f t="shared" si="80"/>
        <v>0</v>
      </c>
      <c r="M76" s="1424">
        <f t="shared" si="86"/>
        <v>-380340</v>
      </c>
      <c r="N76" s="3107"/>
    </row>
    <row r="77" spans="1:14" s="291" customFormat="1" ht="12.75" customHeight="1" x14ac:dyDescent="0.2">
      <c r="A77" s="3105"/>
      <c r="B77" s="281" t="s">
        <v>13</v>
      </c>
      <c r="C77" s="3109"/>
      <c r="D77" s="282">
        <f>+D79+D78</f>
        <v>14386314</v>
      </c>
      <c r="E77" s="283">
        <f>+E78+E79</f>
        <v>2990948</v>
      </c>
      <c r="F77" s="283">
        <f>+F79+F78</f>
        <v>10634685</v>
      </c>
      <c r="G77" s="283">
        <f>+G79+G78</f>
        <v>760681</v>
      </c>
      <c r="H77" s="2029">
        <f>+H79+H78</f>
        <v>0</v>
      </c>
      <c r="I77" s="282">
        <f>+I78+I79</f>
        <v>13625633</v>
      </c>
      <c r="J77" s="1231">
        <f t="shared" si="85"/>
        <v>94.712467696728993</v>
      </c>
      <c r="K77" s="283">
        <f>+K79+K78</f>
        <v>0</v>
      </c>
      <c r="L77" s="2330">
        <f t="shared" si="80"/>
        <v>0</v>
      </c>
      <c r="M77" s="1426">
        <f t="shared" si="86"/>
        <v>-380340.5</v>
      </c>
      <c r="N77" s="3107"/>
    </row>
    <row r="78" spans="1:14" s="291" customFormat="1" ht="12.75" hidden="1" customHeight="1" x14ac:dyDescent="0.2">
      <c r="A78" s="3102"/>
      <c r="B78" s="279" t="s">
        <v>12</v>
      </c>
      <c r="C78" s="3109"/>
      <c r="D78" s="286">
        <f>+E78+F78+G78+H78</f>
        <v>0</v>
      </c>
      <c r="E78" s="293">
        <v>0</v>
      </c>
      <c r="F78" s="293">
        <v>0</v>
      </c>
      <c r="G78" s="293">
        <v>0</v>
      </c>
      <c r="H78" s="1127">
        <v>0</v>
      </c>
      <c r="I78" s="1081">
        <f>E78+F78+K78</f>
        <v>0</v>
      </c>
      <c r="J78" s="1291" t="e">
        <f t="shared" si="85"/>
        <v>#DIV/0!</v>
      </c>
      <c r="K78" s="280">
        <v>0</v>
      </c>
      <c r="L78" s="1749" t="e">
        <f t="shared" si="80"/>
        <v>#DIV/0!</v>
      </c>
      <c r="M78" s="1732">
        <f t="shared" si="86"/>
        <v>0</v>
      </c>
      <c r="N78" s="3107"/>
    </row>
    <row r="79" spans="1:14" s="291" customFormat="1" ht="12.75" customHeight="1" thickBot="1" x14ac:dyDescent="0.25">
      <c r="A79" s="3103"/>
      <c r="B79" s="287" t="s">
        <v>15</v>
      </c>
      <c r="C79" s="3110"/>
      <c r="D79" s="1711">
        <f>+E79+F79+G79+H79</f>
        <v>14386314</v>
      </c>
      <c r="E79" s="1712">
        <v>2990948</v>
      </c>
      <c r="F79" s="1712">
        <v>10634685</v>
      </c>
      <c r="G79" s="1712">
        <v>760681</v>
      </c>
      <c r="H79" s="1128">
        <v>0</v>
      </c>
      <c r="I79" s="289">
        <f>E79+F79+K79</f>
        <v>13625633</v>
      </c>
      <c r="J79" s="2148">
        <f>I79/D79*100</f>
        <v>94.712467696728993</v>
      </c>
      <c r="K79" s="1712">
        <v>0</v>
      </c>
      <c r="L79" s="2341">
        <f t="shared" si="80"/>
        <v>0</v>
      </c>
      <c r="M79" s="1428">
        <f t="shared" si="86"/>
        <v>-380340.5</v>
      </c>
      <c r="N79" s="3108"/>
    </row>
    <row r="80" spans="1:14" ht="27.75" customHeight="1" thickBot="1" x14ac:dyDescent="0.25">
      <c r="A80" s="3113" t="s">
        <v>41</v>
      </c>
      <c r="B80" s="2122" t="s">
        <v>272</v>
      </c>
      <c r="C80" s="2331" t="s">
        <v>193</v>
      </c>
      <c r="D80" s="278" t="s">
        <v>43</v>
      </c>
      <c r="E80" s="276"/>
      <c r="F80" s="276"/>
      <c r="G80" s="276"/>
      <c r="H80" s="277"/>
      <c r="I80" s="278"/>
      <c r="J80" s="276"/>
      <c r="K80" s="276"/>
      <c r="L80" s="305"/>
      <c r="M80" s="277"/>
      <c r="N80" s="2332" t="s">
        <v>37</v>
      </c>
    </row>
    <row r="81" spans="1:14" x14ac:dyDescent="0.2">
      <c r="A81" s="3093"/>
      <c r="B81" s="236" t="s">
        <v>3</v>
      </c>
      <c r="C81" s="2333"/>
      <c r="D81" s="2142">
        <f t="shared" ref="D81:I81" si="89">+D82+D85</f>
        <v>25427925.829999998</v>
      </c>
      <c r="E81" s="2143">
        <f t="shared" si="89"/>
        <v>14675830</v>
      </c>
      <c r="F81" s="2143">
        <f>+F82+F85</f>
        <v>10732095.83</v>
      </c>
      <c r="G81" s="2143">
        <f t="shared" si="89"/>
        <v>20000</v>
      </c>
      <c r="H81" s="2156">
        <f t="shared" si="89"/>
        <v>0</v>
      </c>
      <c r="I81" s="2142">
        <f t="shared" si="89"/>
        <v>25409957.829999998</v>
      </c>
      <c r="J81" s="2334">
        <f t="shared" ref="J81:J143" si="90">I81/D81*100</f>
        <v>99.929337531813928</v>
      </c>
      <c r="K81" s="2143">
        <f>+K82+K85</f>
        <v>2032</v>
      </c>
      <c r="L81" s="2335">
        <f t="shared" si="80"/>
        <v>10.16</v>
      </c>
      <c r="M81" s="2170">
        <f t="shared" si="86"/>
        <v>-7968</v>
      </c>
      <c r="N81" s="3106" t="s">
        <v>38</v>
      </c>
    </row>
    <row r="82" spans="1:14" x14ac:dyDescent="0.2">
      <c r="A82" s="3093"/>
      <c r="B82" s="301" t="s">
        <v>18</v>
      </c>
      <c r="C82" s="3109" t="s">
        <v>39</v>
      </c>
      <c r="D82" s="2342">
        <f t="shared" ref="D82:I82" si="91">+D83+D84</f>
        <v>13106328.16</v>
      </c>
      <c r="E82" s="1818">
        <f t="shared" si="91"/>
        <v>9913909</v>
      </c>
      <c r="F82" s="1818">
        <f>+F83+F84</f>
        <v>3172419.1599999997</v>
      </c>
      <c r="G82" s="1818">
        <f t="shared" si="91"/>
        <v>20000</v>
      </c>
      <c r="H82" s="309">
        <f t="shared" si="91"/>
        <v>0</v>
      </c>
      <c r="I82" s="2342">
        <f t="shared" si="91"/>
        <v>13088360.16</v>
      </c>
      <c r="J82" s="1231">
        <f t="shared" si="90"/>
        <v>99.862905920097162</v>
      </c>
      <c r="K82" s="1818">
        <f>+K83+K84</f>
        <v>2032</v>
      </c>
      <c r="L82" s="2330">
        <f t="shared" si="80"/>
        <v>10.16</v>
      </c>
      <c r="M82" s="1425">
        <f t="shared" si="86"/>
        <v>-7968</v>
      </c>
      <c r="N82" s="3106"/>
    </row>
    <row r="83" spans="1:14" ht="11.25" customHeight="1" thickBot="1" x14ac:dyDescent="0.25">
      <c r="A83" s="3114"/>
      <c r="B83" s="279" t="s">
        <v>5</v>
      </c>
      <c r="C83" s="3107"/>
      <c r="D83" s="1701">
        <f>+E83+F83+G83+H83</f>
        <v>784731.48</v>
      </c>
      <c r="E83" s="292">
        <v>13346</v>
      </c>
      <c r="F83" s="292">
        <v>751385.48</v>
      </c>
      <c r="G83" s="292">
        <v>20000</v>
      </c>
      <c r="H83" s="1127">
        <v>0</v>
      </c>
      <c r="I83" s="1730">
        <f>E83+F83+K83</f>
        <v>766763.48</v>
      </c>
      <c r="J83" s="1291">
        <f t="shared" si="90"/>
        <v>97.710299579163049</v>
      </c>
      <c r="K83" s="1702">
        <v>2032</v>
      </c>
      <c r="L83" s="1749">
        <f t="shared" si="80"/>
        <v>10.16</v>
      </c>
      <c r="M83" s="1424">
        <f t="shared" si="86"/>
        <v>-7968</v>
      </c>
      <c r="N83" s="3106"/>
    </row>
    <row r="84" spans="1:14" s="132" customFormat="1" ht="11.25" customHeight="1" x14ac:dyDescent="0.2">
      <c r="A84" s="3092"/>
      <c r="B84" s="279" t="s">
        <v>12</v>
      </c>
      <c r="C84" s="3107"/>
      <c r="D84" s="1701">
        <f>++E84+F84+G84+H84</f>
        <v>12321596.68</v>
      </c>
      <c r="E84" s="1702">
        <f>83204+290875+9526484</f>
        <v>9900563</v>
      </c>
      <c r="F84" s="292">
        <f>1802247.72+618785.96</f>
        <v>2421033.6799999997</v>
      </c>
      <c r="G84" s="292">
        <v>0</v>
      </c>
      <c r="H84" s="1127">
        <v>0</v>
      </c>
      <c r="I84" s="1730">
        <f>E84+F84+K84</f>
        <v>12321596.68</v>
      </c>
      <c r="J84" s="2326">
        <f t="shared" si="90"/>
        <v>100</v>
      </c>
      <c r="K84" s="1702">
        <v>0</v>
      </c>
      <c r="L84" s="900">
        <v>0</v>
      </c>
      <c r="M84" s="1424">
        <f t="shared" si="86"/>
        <v>0</v>
      </c>
      <c r="N84" s="3106"/>
    </row>
    <row r="85" spans="1:14" x14ac:dyDescent="0.2">
      <c r="A85" s="3093"/>
      <c r="B85" s="281" t="s">
        <v>13</v>
      </c>
      <c r="C85" s="3107"/>
      <c r="D85" s="282">
        <f>+D87+D86</f>
        <v>12321597.67</v>
      </c>
      <c r="E85" s="283">
        <f>+E87+E86</f>
        <v>4761921</v>
      </c>
      <c r="F85" s="283">
        <f>+F87+F86</f>
        <v>7559676.6699999999</v>
      </c>
      <c r="G85" s="283">
        <f>+G86+G87</f>
        <v>0</v>
      </c>
      <c r="H85" s="285">
        <f>+H87+H86</f>
        <v>0</v>
      </c>
      <c r="I85" s="282">
        <f>+I86+I87</f>
        <v>12321597.67</v>
      </c>
      <c r="J85" s="1231">
        <f t="shared" si="90"/>
        <v>100</v>
      </c>
      <c r="K85" s="283">
        <f>+K87+K86</f>
        <v>0</v>
      </c>
      <c r="L85" s="1078">
        <v>0</v>
      </c>
      <c r="M85" s="1426">
        <f t="shared" si="86"/>
        <v>0</v>
      </c>
      <c r="N85" s="3106"/>
    </row>
    <row r="86" spans="1:14" ht="12.75" hidden="1" customHeight="1" x14ac:dyDescent="0.2">
      <c r="A86" s="3093"/>
      <c r="B86" s="279" t="s">
        <v>12</v>
      </c>
      <c r="C86" s="3107"/>
      <c r="D86" s="286">
        <f>+E86+F86+G86+H86</f>
        <v>0</v>
      </c>
      <c r="E86" s="280">
        <v>0</v>
      </c>
      <c r="F86" s="293">
        <v>0</v>
      </c>
      <c r="G86" s="293">
        <v>0</v>
      </c>
      <c r="H86" s="1127">
        <v>0</v>
      </c>
      <c r="I86" s="1081">
        <f>E86+F86+K86</f>
        <v>0</v>
      </c>
      <c r="J86" s="1291" t="e">
        <f t="shared" si="90"/>
        <v>#DIV/0!</v>
      </c>
      <c r="K86" s="280">
        <v>0</v>
      </c>
      <c r="L86" s="1077" t="e">
        <f t="shared" si="80"/>
        <v>#DIV/0!</v>
      </c>
      <c r="M86" s="1732">
        <f t="shared" si="86"/>
        <v>0</v>
      </c>
      <c r="N86" s="3106"/>
    </row>
    <row r="87" spans="1:14" ht="13.5" customHeight="1" x14ac:dyDescent="0.2">
      <c r="A87" s="3093"/>
      <c r="B87" s="279" t="s">
        <v>15</v>
      </c>
      <c r="C87" s="3107"/>
      <c r="D87" s="1701">
        <f>++E87+F87+G87+H87</f>
        <v>12321597.67</v>
      </c>
      <c r="E87" s="1702">
        <f>83205+290875+4387841</f>
        <v>4761921</v>
      </c>
      <c r="F87" s="292">
        <v>7559676.6699999999</v>
      </c>
      <c r="G87" s="292">
        <v>0</v>
      </c>
      <c r="H87" s="1127">
        <v>0</v>
      </c>
      <c r="I87" s="1730">
        <f>E87+F87+K87</f>
        <v>12321597.67</v>
      </c>
      <c r="J87" s="2326">
        <f t="shared" si="90"/>
        <v>100</v>
      </c>
      <c r="K87" s="1702">
        <v>0</v>
      </c>
      <c r="L87" s="900">
        <v>0</v>
      </c>
      <c r="M87" s="1424">
        <f t="shared" si="86"/>
        <v>0</v>
      </c>
      <c r="N87" s="3106"/>
    </row>
    <row r="88" spans="1:14" x14ac:dyDescent="0.2">
      <c r="A88" s="3104"/>
      <c r="B88" s="236" t="s">
        <v>17</v>
      </c>
      <c r="C88" s="2333"/>
      <c r="D88" s="302">
        <f t="shared" ref="D88:I88" si="92">+D91+D89</f>
        <v>24643195</v>
      </c>
      <c r="E88" s="304">
        <f t="shared" si="92"/>
        <v>8021359</v>
      </c>
      <c r="F88" s="304">
        <f>+F91+F89</f>
        <v>15384264</v>
      </c>
      <c r="G88" s="304">
        <f t="shared" si="92"/>
        <v>1237572</v>
      </c>
      <c r="H88" s="306">
        <f t="shared" si="92"/>
        <v>0</v>
      </c>
      <c r="I88" s="302">
        <f t="shared" si="92"/>
        <v>23405623</v>
      </c>
      <c r="J88" s="1181">
        <f t="shared" si="90"/>
        <v>94.978037547485215</v>
      </c>
      <c r="K88" s="304">
        <f>+K91+K89</f>
        <v>0</v>
      </c>
      <c r="L88" s="1740">
        <f t="shared" si="80"/>
        <v>0</v>
      </c>
      <c r="M88" s="1185">
        <f t="shared" si="86"/>
        <v>-618786</v>
      </c>
      <c r="N88" s="3107" t="s">
        <v>40</v>
      </c>
    </row>
    <row r="89" spans="1:14" x14ac:dyDescent="0.2">
      <c r="A89" s="3104"/>
      <c r="B89" s="301" t="s">
        <v>18</v>
      </c>
      <c r="C89" s="3109" t="s">
        <v>35</v>
      </c>
      <c r="D89" s="2343">
        <f t="shared" ref="D89:I89" si="93">D90</f>
        <v>12321597</v>
      </c>
      <c r="E89" s="2344">
        <f t="shared" si="93"/>
        <v>4714241</v>
      </c>
      <c r="F89" s="2344">
        <f>F90</f>
        <v>6988570</v>
      </c>
      <c r="G89" s="2344">
        <f t="shared" si="93"/>
        <v>618786</v>
      </c>
      <c r="H89" s="2322">
        <f t="shared" si="93"/>
        <v>0</v>
      </c>
      <c r="I89" s="2343">
        <f t="shared" si="93"/>
        <v>11702811</v>
      </c>
      <c r="J89" s="1231">
        <f t="shared" si="90"/>
        <v>94.978037343698219</v>
      </c>
      <c r="K89" s="2328">
        <f>K90</f>
        <v>0</v>
      </c>
      <c r="L89" s="2330">
        <f t="shared" si="80"/>
        <v>0</v>
      </c>
      <c r="M89" s="2329">
        <f t="shared" si="86"/>
        <v>-309393</v>
      </c>
      <c r="N89" s="3107"/>
    </row>
    <row r="90" spans="1:14" s="132" customFormat="1" x14ac:dyDescent="0.2">
      <c r="A90" s="3104"/>
      <c r="B90" s="279" t="s">
        <v>12</v>
      </c>
      <c r="C90" s="3109"/>
      <c r="D90" s="1701">
        <f>++E90+F90+G90+H90</f>
        <v>12321597</v>
      </c>
      <c r="E90" s="292">
        <v>4714241</v>
      </c>
      <c r="F90" s="292">
        <v>6988570</v>
      </c>
      <c r="G90" s="292">
        <v>618786</v>
      </c>
      <c r="H90" s="1127">
        <v>0</v>
      </c>
      <c r="I90" s="1730">
        <f>E90+F90+K90</f>
        <v>11702811</v>
      </c>
      <c r="J90" s="1291">
        <f t="shared" si="90"/>
        <v>94.978037343698219</v>
      </c>
      <c r="K90" s="1702">
        <v>0</v>
      </c>
      <c r="L90" s="1749">
        <f t="shared" si="80"/>
        <v>0</v>
      </c>
      <c r="M90" s="1424">
        <f t="shared" si="86"/>
        <v>-309393</v>
      </c>
      <c r="N90" s="3107"/>
    </row>
    <row r="91" spans="1:14" x14ac:dyDescent="0.2">
      <c r="A91" s="3104"/>
      <c r="B91" s="281" t="s">
        <v>13</v>
      </c>
      <c r="C91" s="3109"/>
      <c r="D91" s="282">
        <f>+D93+D92</f>
        <v>12321598</v>
      </c>
      <c r="E91" s="283">
        <f>+E93+E92</f>
        <v>3307118</v>
      </c>
      <c r="F91" s="283">
        <f>+F93+F92</f>
        <v>8395694</v>
      </c>
      <c r="G91" s="283">
        <f>+G92+G93</f>
        <v>618786</v>
      </c>
      <c r="H91" s="285">
        <f>+H93+H92</f>
        <v>0</v>
      </c>
      <c r="I91" s="282">
        <f>+I92+I93</f>
        <v>11702812</v>
      </c>
      <c r="J91" s="1231">
        <f t="shared" si="90"/>
        <v>94.978037751272197</v>
      </c>
      <c r="K91" s="283">
        <f>+K93+K92</f>
        <v>0</v>
      </c>
      <c r="L91" s="2330">
        <f t="shared" si="80"/>
        <v>0</v>
      </c>
      <c r="M91" s="1426">
        <f t="shared" si="86"/>
        <v>-309393</v>
      </c>
      <c r="N91" s="3107"/>
    </row>
    <row r="92" spans="1:14" ht="12.75" hidden="1" customHeight="1" x14ac:dyDescent="0.2">
      <c r="A92" s="3104"/>
      <c r="B92" s="279" t="s">
        <v>12</v>
      </c>
      <c r="C92" s="3039"/>
      <c r="D92" s="286">
        <f>+E92+F92+G92+H92</f>
        <v>0</v>
      </c>
      <c r="E92" s="293">
        <v>0</v>
      </c>
      <c r="F92" s="293">
        <v>0</v>
      </c>
      <c r="G92" s="293">
        <v>0</v>
      </c>
      <c r="H92" s="1127">
        <v>0</v>
      </c>
      <c r="I92" s="1081">
        <f>E92+F92+K92</f>
        <v>0</v>
      </c>
      <c r="J92" s="1291" t="e">
        <f t="shared" si="90"/>
        <v>#DIV/0!</v>
      </c>
      <c r="K92" s="280">
        <v>0</v>
      </c>
      <c r="L92" s="1749" t="e">
        <f t="shared" si="80"/>
        <v>#DIV/0!</v>
      </c>
      <c r="M92" s="1732">
        <f t="shared" si="86"/>
        <v>0</v>
      </c>
      <c r="N92" s="3107"/>
    </row>
    <row r="93" spans="1:14" ht="12" customHeight="1" thickBot="1" x14ac:dyDescent="0.25">
      <c r="A93" s="3103"/>
      <c r="B93" s="287" t="s">
        <v>15</v>
      </c>
      <c r="C93" s="3116"/>
      <c r="D93" s="1711">
        <f>+E93+F93+G93+H93</f>
        <v>12321598</v>
      </c>
      <c r="E93" s="1712">
        <v>3307118</v>
      </c>
      <c r="F93" s="1712">
        <v>8395694</v>
      </c>
      <c r="G93" s="1712">
        <v>618786</v>
      </c>
      <c r="H93" s="294">
        <v>0</v>
      </c>
      <c r="I93" s="289">
        <f>E93+F93+K93</f>
        <v>11702812</v>
      </c>
      <c r="J93" s="2148">
        <f t="shared" si="90"/>
        <v>94.978037751272197</v>
      </c>
      <c r="K93" s="1712">
        <v>0</v>
      </c>
      <c r="L93" s="2341">
        <f t="shared" si="80"/>
        <v>0</v>
      </c>
      <c r="M93" s="1428">
        <f t="shared" si="86"/>
        <v>-309393</v>
      </c>
      <c r="N93" s="3108"/>
    </row>
    <row r="94" spans="1:14" s="291" customFormat="1" ht="27" customHeight="1" thickBot="1" x14ac:dyDescent="0.25">
      <c r="A94" s="3115" t="s">
        <v>42</v>
      </c>
      <c r="B94" s="2122" t="s">
        <v>273</v>
      </c>
      <c r="C94" s="2123" t="s">
        <v>193</v>
      </c>
      <c r="D94" s="278"/>
      <c r="E94" s="276"/>
      <c r="F94" s="276"/>
      <c r="G94" s="276"/>
      <c r="H94" s="277"/>
      <c r="I94" s="278"/>
      <c r="J94" s="276"/>
      <c r="K94" s="276"/>
      <c r="L94" s="305"/>
      <c r="M94" s="277"/>
      <c r="N94" s="2332" t="s">
        <v>37</v>
      </c>
    </row>
    <row r="95" spans="1:14" s="291" customFormat="1" x14ac:dyDescent="0.2">
      <c r="A95" s="3092"/>
      <c r="B95" s="236" t="s">
        <v>3</v>
      </c>
      <c r="C95" s="237"/>
      <c r="D95" s="2142">
        <f t="shared" ref="D95:I95" si="94">+D96+D100</f>
        <v>39511920.810000002</v>
      </c>
      <c r="E95" s="2143">
        <f t="shared" si="94"/>
        <v>13836080</v>
      </c>
      <c r="F95" s="2143">
        <f>+F96+F100</f>
        <v>25505840.809999999</v>
      </c>
      <c r="G95" s="2143">
        <f t="shared" si="94"/>
        <v>170000</v>
      </c>
      <c r="H95" s="2156">
        <f t="shared" si="94"/>
        <v>0</v>
      </c>
      <c r="I95" s="2142">
        <f t="shared" si="94"/>
        <v>39357070.810000002</v>
      </c>
      <c r="J95" s="2334">
        <f t="shared" si="90"/>
        <v>99.608092958212225</v>
      </c>
      <c r="K95" s="2143">
        <f>+K96+K100</f>
        <v>15150</v>
      </c>
      <c r="L95" s="2335">
        <f t="shared" si="80"/>
        <v>8.9117647058823515</v>
      </c>
      <c r="M95" s="2170">
        <f t="shared" si="86"/>
        <v>-69850</v>
      </c>
      <c r="N95" s="3106" t="s">
        <v>38</v>
      </c>
    </row>
    <row r="96" spans="1:14" s="291" customFormat="1" ht="12" customHeight="1" x14ac:dyDescent="0.2">
      <c r="A96" s="3093"/>
      <c r="B96" s="301" t="s">
        <v>18</v>
      </c>
      <c r="C96" s="3039" t="s">
        <v>39</v>
      </c>
      <c r="D96" s="2342">
        <f t="shared" ref="D96:I96" si="95">+D97+D99+D98</f>
        <v>10965905.199999999</v>
      </c>
      <c r="E96" s="1818">
        <f t="shared" si="95"/>
        <v>6875976</v>
      </c>
      <c r="F96" s="1818">
        <f>+F97+F99+F98</f>
        <v>3919929.2</v>
      </c>
      <c r="G96" s="1818">
        <f t="shared" si="95"/>
        <v>170000</v>
      </c>
      <c r="H96" s="309">
        <f t="shared" si="95"/>
        <v>0</v>
      </c>
      <c r="I96" s="2342">
        <f t="shared" si="95"/>
        <v>10811055.199999999</v>
      </c>
      <c r="J96" s="1231">
        <f t="shared" si="90"/>
        <v>98.587895872016105</v>
      </c>
      <c r="K96" s="1818">
        <f>+K97+K99+K98</f>
        <v>15150</v>
      </c>
      <c r="L96" s="2330">
        <f t="shared" si="80"/>
        <v>8.9117647058823515</v>
      </c>
      <c r="M96" s="1425">
        <f t="shared" si="86"/>
        <v>-69850</v>
      </c>
      <c r="N96" s="3106"/>
    </row>
    <row r="97" spans="1:14" s="291" customFormat="1" ht="12" customHeight="1" x14ac:dyDescent="0.2">
      <c r="A97" s="3093"/>
      <c r="B97" s="279" t="s">
        <v>5</v>
      </c>
      <c r="C97" s="3100"/>
      <c r="D97" s="1701">
        <f>++E97+F97+G97+H97</f>
        <v>4117949.74</v>
      </c>
      <c r="E97" s="1702">
        <f>23116+41387+1065648</f>
        <v>1130151</v>
      </c>
      <c r="F97" s="1702">
        <f>2467798.74+350000</f>
        <v>2817798.74</v>
      </c>
      <c r="G97" s="1702">
        <v>170000</v>
      </c>
      <c r="H97" s="1127">
        <v>0</v>
      </c>
      <c r="I97" s="295">
        <f>E97+F97+K97</f>
        <v>3963099.74</v>
      </c>
      <c r="J97" s="1291">
        <f t="shared" si="90"/>
        <v>96.239633560947738</v>
      </c>
      <c r="K97" s="1702">
        <v>15150</v>
      </c>
      <c r="L97" s="1749">
        <f t="shared" si="80"/>
        <v>8.9117647058823515</v>
      </c>
      <c r="M97" s="2175">
        <f t="shared" si="86"/>
        <v>-69850</v>
      </c>
      <c r="N97" s="3106"/>
    </row>
    <row r="98" spans="1:14" s="291" customFormat="1" ht="12" customHeight="1" x14ac:dyDescent="0.2">
      <c r="A98" s="3093"/>
      <c r="B98" s="279" t="s">
        <v>10</v>
      </c>
      <c r="C98" s="3100"/>
      <c r="D98" s="1701">
        <f>++E98+F98+G98+H98</f>
        <v>24600</v>
      </c>
      <c r="E98" s="1702">
        <v>0</v>
      </c>
      <c r="F98" s="1702">
        <v>24600</v>
      </c>
      <c r="G98" s="280">
        <v>0</v>
      </c>
      <c r="H98" s="1732">
        <v>0</v>
      </c>
      <c r="I98" s="295">
        <f>E98+F98+K98</f>
        <v>24600</v>
      </c>
      <c r="J98" s="2326">
        <f t="shared" si="90"/>
        <v>100</v>
      </c>
      <c r="K98" s="280">
        <v>0</v>
      </c>
      <c r="L98" s="900">
        <v>0</v>
      </c>
      <c r="M98" s="2175">
        <f t="shared" si="86"/>
        <v>0</v>
      </c>
      <c r="N98" s="3106"/>
    </row>
    <row r="99" spans="1:14" s="2336" customFormat="1" ht="12" customHeight="1" x14ac:dyDescent="0.2">
      <c r="A99" s="3093"/>
      <c r="B99" s="279" t="s">
        <v>12</v>
      </c>
      <c r="C99" s="3100"/>
      <c r="D99" s="1701">
        <f>+E99+F99+G99+H99</f>
        <v>6823355.46</v>
      </c>
      <c r="E99" s="1702">
        <f>16111+100523+5629191</f>
        <v>5745825</v>
      </c>
      <c r="F99" s="1702">
        <f>640698.24+436832.22</f>
        <v>1077530.46</v>
      </c>
      <c r="G99" s="280">
        <v>0</v>
      </c>
      <c r="H99" s="1732">
        <v>0</v>
      </c>
      <c r="I99" s="295">
        <f>E99+F99+K99</f>
        <v>6823355.46</v>
      </c>
      <c r="J99" s="1291">
        <f t="shared" si="90"/>
        <v>100</v>
      </c>
      <c r="K99" s="280">
        <v>0</v>
      </c>
      <c r="L99" s="1077">
        <v>0</v>
      </c>
      <c r="M99" s="2175">
        <f t="shared" si="86"/>
        <v>0</v>
      </c>
      <c r="N99" s="3106"/>
    </row>
    <row r="100" spans="1:14" s="291" customFormat="1" ht="12" customHeight="1" x14ac:dyDescent="0.2">
      <c r="A100" s="3093"/>
      <c r="B100" s="281" t="s">
        <v>13</v>
      </c>
      <c r="C100" s="3100"/>
      <c r="D100" s="282">
        <f>+D102+D101</f>
        <v>28546015.609999999</v>
      </c>
      <c r="E100" s="283">
        <f>+E102+E101</f>
        <v>6960104</v>
      </c>
      <c r="F100" s="283">
        <f>+F102+F101</f>
        <v>21585911.609999999</v>
      </c>
      <c r="G100" s="284">
        <f>++G101+G102</f>
        <v>0</v>
      </c>
      <c r="H100" s="285">
        <f>+H102+H101</f>
        <v>0</v>
      </c>
      <c r="I100" s="282">
        <f>+I101+I102</f>
        <v>28546015.609999999</v>
      </c>
      <c r="J100" s="1231">
        <f t="shared" si="90"/>
        <v>100</v>
      </c>
      <c r="K100" s="284">
        <f>+K102+K101</f>
        <v>0</v>
      </c>
      <c r="L100" s="1078">
        <v>0</v>
      </c>
      <c r="M100" s="1426">
        <f t="shared" si="86"/>
        <v>0</v>
      </c>
      <c r="N100" s="3106"/>
    </row>
    <row r="101" spans="1:14" s="291" customFormat="1" ht="12" hidden="1" customHeight="1" x14ac:dyDescent="0.2">
      <c r="A101" s="3093"/>
      <c r="B101" s="279" t="s">
        <v>12</v>
      </c>
      <c r="C101" s="3100"/>
      <c r="D101" s="286">
        <f>+E101+F101+G101+H101</f>
        <v>0</v>
      </c>
      <c r="E101" s="280">
        <v>0</v>
      </c>
      <c r="F101" s="293">
        <v>0</v>
      </c>
      <c r="G101" s="293">
        <v>0</v>
      </c>
      <c r="H101" s="1127">
        <v>0</v>
      </c>
      <c r="I101" s="1081">
        <f>E101+F101+K101</f>
        <v>0</v>
      </c>
      <c r="J101" s="1291" t="e">
        <f t="shared" si="90"/>
        <v>#DIV/0!</v>
      </c>
      <c r="K101" s="293">
        <v>0</v>
      </c>
      <c r="L101" s="1077" t="e">
        <f t="shared" si="80"/>
        <v>#DIV/0!</v>
      </c>
      <c r="M101" s="1732">
        <f t="shared" si="86"/>
        <v>0</v>
      </c>
      <c r="N101" s="3106"/>
    </row>
    <row r="102" spans="1:14" s="291" customFormat="1" ht="12" customHeight="1" x14ac:dyDescent="0.2">
      <c r="A102" s="3093"/>
      <c r="B102" s="279" t="s">
        <v>15</v>
      </c>
      <c r="C102" s="3100"/>
      <c r="D102" s="1701">
        <f>+E102+F102+G102+H102</f>
        <v>28546015.609999999</v>
      </c>
      <c r="E102" s="1702">
        <f>67256+419620+6473228</f>
        <v>6960104</v>
      </c>
      <c r="F102" s="1702">
        <v>21585911.609999999</v>
      </c>
      <c r="G102" s="280">
        <v>0</v>
      </c>
      <c r="H102" s="1732">
        <v>0</v>
      </c>
      <c r="I102" s="295">
        <f>E102+F102+K102</f>
        <v>28546015.609999999</v>
      </c>
      <c r="J102" s="2326">
        <f t="shared" si="90"/>
        <v>100</v>
      </c>
      <c r="K102" s="280">
        <v>0</v>
      </c>
      <c r="L102" s="900">
        <v>0</v>
      </c>
      <c r="M102" s="2175">
        <f t="shared" si="86"/>
        <v>0</v>
      </c>
      <c r="N102" s="3106"/>
    </row>
    <row r="103" spans="1:14" s="291" customFormat="1" x14ac:dyDescent="0.2">
      <c r="A103" s="3104"/>
      <c r="B103" s="236" t="s">
        <v>17</v>
      </c>
      <c r="C103" s="237"/>
      <c r="D103" s="302">
        <f t="shared" ref="D103:I103" si="96">+D107+D104</f>
        <v>35393971</v>
      </c>
      <c r="E103" s="304">
        <f t="shared" ref="E103" si="97">+E107+E104</f>
        <v>7901349</v>
      </c>
      <c r="F103" s="304">
        <f>+F107+F104</f>
        <v>25067751</v>
      </c>
      <c r="G103" s="304">
        <f t="shared" si="96"/>
        <v>2424871</v>
      </c>
      <c r="H103" s="306">
        <f t="shared" si="96"/>
        <v>0</v>
      </c>
      <c r="I103" s="302">
        <f t="shared" si="96"/>
        <v>32969100</v>
      </c>
      <c r="J103" s="1181">
        <f t="shared" si="90"/>
        <v>93.148915107604054</v>
      </c>
      <c r="K103" s="304">
        <f>+K107+K104</f>
        <v>0</v>
      </c>
      <c r="L103" s="1740">
        <f t="shared" si="80"/>
        <v>0</v>
      </c>
      <c r="M103" s="1185">
        <f t="shared" si="86"/>
        <v>-1212435.5</v>
      </c>
      <c r="N103" s="3107" t="s">
        <v>40</v>
      </c>
    </row>
    <row r="104" spans="1:14" s="291" customFormat="1" x14ac:dyDescent="0.2">
      <c r="A104" s="3104"/>
      <c r="B104" s="301" t="s">
        <v>18</v>
      </c>
      <c r="C104" s="2345"/>
      <c r="D104" s="2327">
        <f>D106+D105</f>
        <v>6847955</v>
      </c>
      <c r="E104" s="2328">
        <f t="shared" ref="E104:F104" si="98">E106+E105</f>
        <v>4171661</v>
      </c>
      <c r="F104" s="2328">
        <f t="shared" si="98"/>
        <v>2219807</v>
      </c>
      <c r="G104" s="2328">
        <f t="shared" ref="G104:K104" si="99">G106+G105</f>
        <v>456487</v>
      </c>
      <c r="H104" s="2346">
        <f t="shared" si="99"/>
        <v>0</v>
      </c>
      <c r="I104" s="2347">
        <f t="shared" si="99"/>
        <v>6391468</v>
      </c>
      <c r="J104" s="1231">
        <f t="shared" si="90"/>
        <v>93.333966125653561</v>
      </c>
      <c r="K104" s="2328">
        <f t="shared" si="99"/>
        <v>0</v>
      </c>
      <c r="L104" s="2330">
        <f t="shared" si="80"/>
        <v>0</v>
      </c>
      <c r="M104" s="2329">
        <f t="shared" si="86"/>
        <v>-228243.5</v>
      </c>
      <c r="N104" s="3107"/>
    </row>
    <row r="105" spans="1:14" s="291" customFormat="1" x14ac:dyDescent="0.2">
      <c r="A105" s="3104"/>
      <c r="B105" s="279" t="s">
        <v>10</v>
      </c>
      <c r="C105" s="2345"/>
      <c r="D105" s="1701">
        <f>++E105+F105+G105+H105</f>
        <v>24600</v>
      </c>
      <c r="E105" s="1702">
        <v>0</v>
      </c>
      <c r="F105" s="2348">
        <f>374600-350000</f>
        <v>24600</v>
      </c>
      <c r="G105" s="1702">
        <v>0</v>
      </c>
      <c r="H105" s="2349">
        <v>0</v>
      </c>
      <c r="I105" s="295">
        <f>E105+F105+K105</f>
        <v>24600</v>
      </c>
      <c r="J105" s="1291">
        <f t="shared" si="90"/>
        <v>100</v>
      </c>
      <c r="K105" s="2338">
        <v>0</v>
      </c>
      <c r="L105" s="1077">
        <v>0</v>
      </c>
      <c r="M105" s="2175">
        <f t="shared" si="86"/>
        <v>0</v>
      </c>
      <c r="N105" s="3107"/>
    </row>
    <row r="106" spans="1:14" s="2336" customFormat="1" ht="13.5" thickBot="1" x14ac:dyDescent="0.25">
      <c r="A106" s="3103"/>
      <c r="B106" s="279" t="s">
        <v>12</v>
      </c>
      <c r="C106" s="2345"/>
      <c r="D106" s="1701">
        <f>++E106+F106+G106+H106</f>
        <v>6823355</v>
      </c>
      <c r="E106" s="2350">
        <v>4171661</v>
      </c>
      <c r="F106" s="2350">
        <v>2195207</v>
      </c>
      <c r="G106" s="2350">
        <v>456487</v>
      </c>
      <c r="H106" s="1732">
        <v>0</v>
      </c>
      <c r="I106" s="295">
        <f>E106+F106+K106</f>
        <v>6366868</v>
      </c>
      <c r="J106" s="2326">
        <f t="shared" si="90"/>
        <v>93.309933309933314</v>
      </c>
      <c r="K106" s="2350">
        <v>0</v>
      </c>
      <c r="L106" s="2339">
        <f t="shared" si="80"/>
        <v>0</v>
      </c>
      <c r="M106" s="2175">
        <f t="shared" si="86"/>
        <v>-228243.5</v>
      </c>
      <c r="N106" s="3107"/>
    </row>
    <row r="107" spans="1:14" s="291" customFormat="1" ht="12" customHeight="1" x14ac:dyDescent="0.2">
      <c r="A107" s="3102"/>
      <c r="B107" s="281" t="s">
        <v>13</v>
      </c>
      <c r="C107" s="3039" t="s">
        <v>35</v>
      </c>
      <c r="D107" s="296">
        <f>+D109+D108</f>
        <v>28546016</v>
      </c>
      <c r="E107" s="297">
        <f>+E109+E108</f>
        <v>3729688</v>
      </c>
      <c r="F107" s="1697">
        <f>+F109+F108</f>
        <v>22847944</v>
      </c>
      <c r="G107" s="1697">
        <f>+G108+G109</f>
        <v>1968384</v>
      </c>
      <c r="H107" s="1768">
        <f>+H109+H108</f>
        <v>0</v>
      </c>
      <c r="I107" s="296">
        <f>+I108+I109</f>
        <v>26577632</v>
      </c>
      <c r="J107" s="1231">
        <f t="shared" si="90"/>
        <v>93.104522886836477</v>
      </c>
      <c r="K107" s="297">
        <f>+K109+K108</f>
        <v>0</v>
      </c>
      <c r="L107" s="2330">
        <f t="shared" si="80"/>
        <v>0</v>
      </c>
      <c r="M107" s="1423">
        <f t="shared" si="86"/>
        <v>-984192</v>
      </c>
      <c r="N107" s="3107"/>
    </row>
    <row r="108" spans="1:14" s="291" customFormat="1" ht="12" hidden="1" customHeight="1" x14ac:dyDescent="0.2">
      <c r="A108" s="3104"/>
      <c r="B108" s="279" t="s">
        <v>12</v>
      </c>
      <c r="C108" s="3039"/>
      <c r="D108" s="286">
        <f>+E108+F108+G108+H108</f>
        <v>0</v>
      </c>
      <c r="E108" s="293">
        <v>0</v>
      </c>
      <c r="F108" s="280">
        <v>0</v>
      </c>
      <c r="G108" s="280">
        <v>0</v>
      </c>
      <c r="H108" s="1732">
        <v>0</v>
      </c>
      <c r="I108" s="1081">
        <f>E108+F108+K108</f>
        <v>0</v>
      </c>
      <c r="J108" s="1291" t="e">
        <f t="shared" si="90"/>
        <v>#DIV/0!</v>
      </c>
      <c r="K108" s="280">
        <v>0</v>
      </c>
      <c r="L108" s="1749" t="e">
        <f t="shared" si="80"/>
        <v>#DIV/0!</v>
      </c>
      <c r="M108" s="1732">
        <f t="shared" si="86"/>
        <v>0</v>
      </c>
      <c r="N108" s="3107"/>
    </row>
    <row r="109" spans="1:14" s="291" customFormat="1" ht="12" customHeight="1" thickBot="1" x14ac:dyDescent="0.25">
      <c r="A109" s="3103"/>
      <c r="B109" s="298" t="s">
        <v>15</v>
      </c>
      <c r="C109" s="3043"/>
      <c r="D109" s="1711">
        <f>+E109+F109+G109+H109</f>
        <v>28546016</v>
      </c>
      <c r="E109" s="2351">
        <v>3729688</v>
      </c>
      <c r="F109" s="2351">
        <v>22847944</v>
      </c>
      <c r="G109" s="2351">
        <v>1968384</v>
      </c>
      <c r="H109" s="2352">
        <v>0</v>
      </c>
      <c r="I109" s="2353">
        <f>E109+F109+K109</f>
        <v>26577632</v>
      </c>
      <c r="J109" s="2148">
        <f t="shared" si="90"/>
        <v>93.104522886836477</v>
      </c>
      <c r="K109" s="2351">
        <v>0</v>
      </c>
      <c r="L109" s="2341">
        <f t="shared" si="80"/>
        <v>0</v>
      </c>
      <c r="M109" s="2193">
        <f t="shared" si="86"/>
        <v>-984192</v>
      </c>
      <c r="N109" s="3108"/>
    </row>
    <row r="110" spans="1:14" s="291" customFormat="1" ht="28.5" customHeight="1" x14ac:dyDescent="0.2">
      <c r="A110" s="3092" t="s">
        <v>44</v>
      </c>
      <c r="B110" s="2122" t="s">
        <v>274</v>
      </c>
      <c r="C110" s="2123" t="s">
        <v>193</v>
      </c>
      <c r="D110" s="278"/>
      <c r="E110" s="276"/>
      <c r="F110" s="276"/>
      <c r="G110" s="276"/>
      <c r="H110" s="277"/>
      <c r="I110" s="278"/>
      <c r="J110" s="276"/>
      <c r="K110" s="276"/>
      <c r="L110" s="305"/>
      <c r="M110" s="277"/>
      <c r="N110" s="2332" t="s">
        <v>37</v>
      </c>
    </row>
    <row r="111" spans="1:14" s="291" customFormat="1" x14ac:dyDescent="0.2">
      <c r="A111" s="3093"/>
      <c r="B111" s="312" t="s">
        <v>3</v>
      </c>
      <c r="C111" s="2354"/>
      <c r="D111" s="2142">
        <f t="shared" ref="D111:H111" si="100">+D112+D116</f>
        <v>39062642.009999998</v>
      </c>
      <c r="E111" s="2143">
        <f t="shared" si="100"/>
        <v>25786998</v>
      </c>
      <c r="F111" s="2143">
        <f>+F112+F116</f>
        <v>13209644.01</v>
      </c>
      <c r="G111" s="2143">
        <f t="shared" si="100"/>
        <v>66000</v>
      </c>
      <c r="H111" s="2156">
        <f t="shared" si="100"/>
        <v>0</v>
      </c>
      <c r="I111" s="2142">
        <f>+I112+I116</f>
        <v>39011742.009999998</v>
      </c>
      <c r="J111" s="2334">
        <f t="shared" si="90"/>
        <v>99.869696473712736</v>
      </c>
      <c r="K111" s="2143">
        <f>+K112+K116</f>
        <v>15100</v>
      </c>
      <c r="L111" s="2335">
        <f t="shared" si="80"/>
        <v>22.878787878787879</v>
      </c>
      <c r="M111" s="2170">
        <f t="shared" si="86"/>
        <v>-17900</v>
      </c>
      <c r="N111" s="3106" t="s">
        <v>38</v>
      </c>
    </row>
    <row r="112" spans="1:14" s="291" customFormat="1" ht="13.5" customHeight="1" x14ac:dyDescent="0.2">
      <c r="A112" s="3093"/>
      <c r="B112" s="1994" t="s">
        <v>18</v>
      </c>
      <c r="C112" s="3117" t="s">
        <v>39</v>
      </c>
      <c r="D112" s="1734">
        <f t="shared" ref="D112:I112" si="101">+D113+D115+D114</f>
        <v>19761553</v>
      </c>
      <c r="E112" s="1706">
        <f t="shared" si="101"/>
        <v>17560356</v>
      </c>
      <c r="F112" s="1706">
        <f>+F113+F115+F114</f>
        <v>2135197</v>
      </c>
      <c r="G112" s="1706">
        <f t="shared" si="101"/>
        <v>66000</v>
      </c>
      <c r="H112" s="309">
        <f t="shared" si="101"/>
        <v>0</v>
      </c>
      <c r="I112" s="1734">
        <f t="shared" si="101"/>
        <v>19710653</v>
      </c>
      <c r="J112" s="1231">
        <f t="shared" si="90"/>
        <v>99.742429150178637</v>
      </c>
      <c r="K112" s="2207">
        <f>+K113+K115+K114</f>
        <v>15100</v>
      </c>
      <c r="L112" s="2330">
        <f t="shared" si="80"/>
        <v>22.878787878787879</v>
      </c>
      <c r="M112" s="1425">
        <f t="shared" si="86"/>
        <v>-17900</v>
      </c>
      <c r="N112" s="3106"/>
    </row>
    <row r="113" spans="1:14" s="291" customFormat="1" ht="13.5" customHeight="1" x14ac:dyDescent="0.2">
      <c r="A113" s="3093"/>
      <c r="B113" s="279" t="s">
        <v>5</v>
      </c>
      <c r="C113" s="3117"/>
      <c r="D113" s="1701">
        <f>++E113+F113+G113+H113</f>
        <v>427150.7</v>
      </c>
      <c r="E113" s="1702">
        <f>105401+7687</f>
        <v>113088</v>
      </c>
      <c r="F113" s="1702">
        <v>248062.7</v>
      </c>
      <c r="G113" s="292">
        <v>66000</v>
      </c>
      <c r="H113" s="1127">
        <v>0</v>
      </c>
      <c r="I113" s="295">
        <f>E113+F113+K113</f>
        <v>376250.7</v>
      </c>
      <c r="J113" s="1291">
        <f t="shared" si="90"/>
        <v>88.083830835346859</v>
      </c>
      <c r="K113" s="1702">
        <v>15100</v>
      </c>
      <c r="L113" s="1749">
        <f t="shared" si="80"/>
        <v>22.878787878787879</v>
      </c>
      <c r="M113" s="2175">
        <f t="shared" si="86"/>
        <v>-17900</v>
      </c>
      <c r="N113" s="3106"/>
    </row>
    <row r="114" spans="1:14" s="291" customFormat="1" ht="13.5" customHeight="1" x14ac:dyDescent="0.2">
      <c r="A114" s="3093"/>
      <c r="B114" s="279" t="s">
        <v>10</v>
      </c>
      <c r="C114" s="3117"/>
      <c r="D114" s="1701">
        <f>++E114+F114+G114+H114</f>
        <v>33313.07</v>
      </c>
      <c r="E114" s="1702">
        <v>0</v>
      </c>
      <c r="F114" s="292">
        <v>33313.07</v>
      </c>
      <c r="G114" s="293">
        <v>0</v>
      </c>
      <c r="H114" s="1732">
        <v>0</v>
      </c>
      <c r="I114" s="295">
        <f>E114+F114+K114</f>
        <v>33313.07</v>
      </c>
      <c r="J114" s="2326">
        <f t="shared" si="90"/>
        <v>100</v>
      </c>
      <c r="K114" s="293">
        <v>0</v>
      </c>
      <c r="L114" s="900">
        <v>0</v>
      </c>
      <c r="M114" s="2175">
        <f t="shared" si="86"/>
        <v>0</v>
      </c>
      <c r="N114" s="3106"/>
    </row>
    <row r="115" spans="1:14" s="2336" customFormat="1" ht="13.5" customHeight="1" x14ac:dyDescent="0.2">
      <c r="A115" s="3093"/>
      <c r="B115" s="279" t="s">
        <v>12</v>
      </c>
      <c r="C115" s="3117"/>
      <c r="D115" s="1701">
        <f>+E115+F115+G115+H115</f>
        <v>19301089.23</v>
      </c>
      <c r="E115" s="292">
        <v>17447268</v>
      </c>
      <c r="F115" s="292">
        <f>843804.28+1010016.95</f>
        <v>1853821.23</v>
      </c>
      <c r="G115" s="280">
        <v>0</v>
      </c>
      <c r="H115" s="1732">
        <v>0</v>
      </c>
      <c r="I115" s="295">
        <f>E115+F115+K115</f>
        <v>19301089.23</v>
      </c>
      <c r="J115" s="1291">
        <f t="shared" si="90"/>
        <v>100</v>
      </c>
      <c r="K115" s="280">
        <v>0</v>
      </c>
      <c r="L115" s="1077">
        <v>0</v>
      </c>
      <c r="M115" s="2175">
        <f t="shared" si="86"/>
        <v>0</v>
      </c>
      <c r="N115" s="3106"/>
    </row>
    <row r="116" spans="1:14" s="291" customFormat="1" ht="13.5" customHeight="1" x14ac:dyDescent="0.2">
      <c r="A116" s="3093"/>
      <c r="B116" s="2004" t="s">
        <v>13</v>
      </c>
      <c r="C116" s="3117"/>
      <c r="D116" s="282">
        <f t="shared" ref="D116:I116" si="102">+D117+D118</f>
        <v>19301089.009999998</v>
      </c>
      <c r="E116" s="283">
        <f t="shared" si="102"/>
        <v>8226642</v>
      </c>
      <c r="F116" s="283">
        <f>+F117+F118</f>
        <v>11074447.01</v>
      </c>
      <c r="G116" s="284">
        <f t="shared" si="102"/>
        <v>0</v>
      </c>
      <c r="H116" s="285">
        <f t="shared" si="102"/>
        <v>0</v>
      </c>
      <c r="I116" s="282">
        <f t="shared" si="102"/>
        <v>19301089.009999998</v>
      </c>
      <c r="J116" s="1231">
        <f t="shared" si="90"/>
        <v>100</v>
      </c>
      <c r="K116" s="284">
        <f>+K117+K118</f>
        <v>0</v>
      </c>
      <c r="L116" s="1078">
        <v>0</v>
      </c>
      <c r="M116" s="1426">
        <f t="shared" si="86"/>
        <v>0</v>
      </c>
      <c r="N116" s="3106"/>
    </row>
    <row r="117" spans="1:14" s="291" customFormat="1" ht="13.5" hidden="1" customHeight="1" x14ac:dyDescent="0.2">
      <c r="A117" s="3093"/>
      <c r="B117" s="279" t="s">
        <v>12</v>
      </c>
      <c r="C117" s="3117"/>
      <c r="D117" s="286">
        <f>+E117+F117+G117+H117</f>
        <v>0</v>
      </c>
      <c r="E117" s="280">
        <v>0</v>
      </c>
      <c r="F117" s="293">
        <v>0</v>
      </c>
      <c r="G117" s="293">
        <v>0</v>
      </c>
      <c r="H117" s="1127">
        <v>0</v>
      </c>
      <c r="I117" s="1081">
        <f>E117+F117+K117</f>
        <v>0</v>
      </c>
      <c r="J117" s="1291" t="e">
        <f t="shared" si="90"/>
        <v>#DIV/0!</v>
      </c>
      <c r="K117" s="293">
        <v>0</v>
      </c>
      <c r="L117" s="1077" t="e">
        <f t="shared" ref="L117:L164" si="103">K117/G117*100</f>
        <v>#DIV/0!</v>
      </c>
      <c r="M117" s="1732">
        <f t="shared" si="86"/>
        <v>0</v>
      </c>
      <c r="N117" s="3106"/>
    </row>
    <row r="118" spans="1:14" s="291" customFormat="1" ht="13.5" customHeight="1" thickBot="1" x14ac:dyDescent="0.25">
      <c r="A118" s="3114"/>
      <c r="B118" s="279" t="s">
        <v>15</v>
      </c>
      <c r="C118" s="3117"/>
      <c r="D118" s="1701">
        <f>+E118+F118+G118+H118</f>
        <v>19301089.009999998</v>
      </c>
      <c r="E118" s="1702">
        <f>394998+201582+7630062</f>
        <v>8226642</v>
      </c>
      <c r="F118" s="292">
        <v>11074447.01</v>
      </c>
      <c r="G118" s="280">
        <v>0</v>
      </c>
      <c r="H118" s="1732">
        <v>0</v>
      </c>
      <c r="I118" s="295">
        <f>E118+F118+K118</f>
        <v>19301089.009999998</v>
      </c>
      <c r="J118" s="2326">
        <f t="shared" si="90"/>
        <v>100</v>
      </c>
      <c r="K118" s="280">
        <v>0</v>
      </c>
      <c r="L118" s="900">
        <v>0</v>
      </c>
      <c r="M118" s="2175">
        <f t="shared" si="86"/>
        <v>0</v>
      </c>
      <c r="N118" s="3106"/>
    </row>
    <row r="119" spans="1:14" s="291" customFormat="1" ht="13.5" customHeight="1" x14ac:dyDescent="0.2">
      <c r="A119" s="3092"/>
      <c r="B119" s="236" t="s">
        <v>17</v>
      </c>
      <c r="C119" s="237"/>
      <c r="D119" s="302">
        <f t="shared" ref="D119:I119" si="104">+D123+D120</f>
        <v>38635491</v>
      </c>
      <c r="E119" s="304">
        <f t="shared" ref="E119" si="105">+E123+E120</f>
        <v>17447268</v>
      </c>
      <c r="F119" s="304">
        <f>+F123+F120</f>
        <v>19168189</v>
      </c>
      <c r="G119" s="304">
        <f t="shared" si="104"/>
        <v>2020034</v>
      </c>
      <c r="H119" s="306">
        <f t="shared" si="104"/>
        <v>0</v>
      </c>
      <c r="I119" s="302">
        <f t="shared" si="104"/>
        <v>36615457</v>
      </c>
      <c r="J119" s="1181">
        <f t="shared" si="90"/>
        <v>94.771558616920387</v>
      </c>
      <c r="K119" s="304">
        <f>+K123+K120</f>
        <v>0</v>
      </c>
      <c r="L119" s="1740">
        <f t="shared" si="103"/>
        <v>0</v>
      </c>
      <c r="M119" s="1185">
        <f t="shared" si="86"/>
        <v>-1010017</v>
      </c>
      <c r="N119" s="3107" t="s">
        <v>40</v>
      </c>
    </row>
    <row r="120" spans="1:14" s="291" customFormat="1" ht="13.5" customHeight="1" x14ac:dyDescent="0.2">
      <c r="A120" s="3093"/>
      <c r="B120" s="1994" t="s">
        <v>18</v>
      </c>
      <c r="C120" s="3117" t="s">
        <v>35</v>
      </c>
      <c r="D120" s="2327">
        <f t="shared" ref="D120:I120" si="106">D122+D121</f>
        <v>19334402</v>
      </c>
      <c r="E120" s="2328">
        <f t="shared" ref="E120" si="107">E122+E121</f>
        <v>17447268</v>
      </c>
      <c r="F120" s="2328">
        <f>F122+F121</f>
        <v>877117</v>
      </c>
      <c r="G120" s="2328">
        <f t="shared" si="106"/>
        <v>1010017</v>
      </c>
      <c r="H120" s="309">
        <f t="shared" si="106"/>
        <v>0</v>
      </c>
      <c r="I120" s="2327">
        <f t="shared" si="106"/>
        <v>18324385</v>
      </c>
      <c r="J120" s="1231">
        <f t="shared" si="90"/>
        <v>94.776062895557871</v>
      </c>
      <c r="K120" s="2321">
        <f>K122+K121</f>
        <v>0</v>
      </c>
      <c r="L120" s="2330">
        <f t="shared" si="103"/>
        <v>0</v>
      </c>
      <c r="M120" s="2329">
        <f t="shared" si="86"/>
        <v>-505008.5</v>
      </c>
      <c r="N120" s="3107"/>
    </row>
    <row r="121" spans="1:14" s="291" customFormat="1" ht="13.5" customHeight="1" x14ac:dyDescent="0.2">
      <c r="A121" s="3093"/>
      <c r="B121" s="279" t="s">
        <v>10</v>
      </c>
      <c r="C121" s="3117"/>
      <c r="D121" s="1701">
        <f>+E121+F121+G121+H121</f>
        <v>33313</v>
      </c>
      <c r="E121" s="2144">
        <v>0</v>
      </c>
      <c r="F121" s="2355">
        <v>33313</v>
      </c>
      <c r="G121" s="2144">
        <v>0</v>
      </c>
      <c r="H121" s="2337">
        <v>0</v>
      </c>
      <c r="I121" s="295">
        <f>E121+F121+K121</f>
        <v>33313</v>
      </c>
      <c r="J121" s="1291">
        <f t="shared" si="90"/>
        <v>100</v>
      </c>
      <c r="K121" s="2338">
        <v>0</v>
      </c>
      <c r="L121" s="1077">
        <v>0</v>
      </c>
      <c r="M121" s="2175">
        <f t="shared" si="86"/>
        <v>0</v>
      </c>
      <c r="N121" s="3107"/>
    </row>
    <row r="122" spans="1:14" s="2336" customFormat="1" ht="13.5" customHeight="1" x14ac:dyDescent="0.2">
      <c r="A122" s="3093"/>
      <c r="B122" s="279" t="s">
        <v>12</v>
      </c>
      <c r="C122" s="3117"/>
      <c r="D122" s="1701">
        <f>+E122+F122+G122+H122</f>
        <v>19301089</v>
      </c>
      <c r="E122" s="2144">
        <v>17447268</v>
      </c>
      <c r="F122" s="2144">
        <v>843804</v>
      </c>
      <c r="G122" s="2144">
        <v>1010017</v>
      </c>
      <c r="H122" s="1127">
        <v>0</v>
      </c>
      <c r="I122" s="295">
        <f>E122+F122+K122</f>
        <v>18291072</v>
      </c>
      <c r="J122" s="2326">
        <f t="shared" si="90"/>
        <v>94.767046564056571</v>
      </c>
      <c r="K122" s="1702">
        <v>0</v>
      </c>
      <c r="L122" s="2339">
        <f t="shared" si="103"/>
        <v>0</v>
      </c>
      <c r="M122" s="2175">
        <f t="shared" si="86"/>
        <v>-505008.5</v>
      </c>
      <c r="N122" s="3107"/>
    </row>
    <row r="123" spans="1:14" s="291" customFormat="1" ht="13.5" customHeight="1" x14ac:dyDescent="0.2">
      <c r="A123" s="3093"/>
      <c r="B123" s="2004" t="s">
        <v>13</v>
      </c>
      <c r="C123" s="3117"/>
      <c r="D123" s="296">
        <f>+D124+D125</f>
        <v>19301089</v>
      </c>
      <c r="E123" s="297">
        <v>0</v>
      </c>
      <c r="F123" s="297">
        <f>+F124+F125</f>
        <v>18291072</v>
      </c>
      <c r="G123" s="297">
        <f>+G124+G125</f>
        <v>1010017</v>
      </c>
      <c r="H123" s="1723">
        <f>+H124+H125</f>
        <v>0</v>
      </c>
      <c r="I123" s="296">
        <f>+I124+I125</f>
        <v>18291072</v>
      </c>
      <c r="J123" s="1231">
        <f t="shared" si="90"/>
        <v>94.767046564056571</v>
      </c>
      <c r="K123" s="297">
        <f>+K124+K125</f>
        <v>0</v>
      </c>
      <c r="L123" s="2330">
        <f t="shared" si="103"/>
        <v>0</v>
      </c>
      <c r="M123" s="1423">
        <f t="shared" si="86"/>
        <v>-505008.5</v>
      </c>
      <c r="N123" s="3107"/>
    </row>
    <row r="124" spans="1:14" s="291" customFormat="1" ht="13.5" hidden="1" customHeight="1" x14ac:dyDescent="0.2">
      <c r="A124" s="3093"/>
      <c r="B124" s="279" t="s">
        <v>12</v>
      </c>
      <c r="C124" s="3117"/>
      <c r="D124" s="286">
        <f>+E124+F124+G124+H124</f>
        <v>0</v>
      </c>
      <c r="E124" s="293">
        <v>0</v>
      </c>
      <c r="F124" s="293">
        <v>0</v>
      </c>
      <c r="G124" s="293">
        <v>0</v>
      </c>
      <c r="H124" s="1127">
        <v>0</v>
      </c>
      <c r="I124" s="1081">
        <f>E124+F124+K124</f>
        <v>0</v>
      </c>
      <c r="J124" s="1291" t="e">
        <f t="shared" si="90"/>
        <v>#DIV/0!</v>
      </c>
      <c r="K124" s="280">
        <v>0</v>
      </c>
      <c r="L124" s="1749" t="e">
        <f t="shared" si="103"/>
        <v>#DIV/0!</v>
      </c>
      <c r="M124" s="1732">
        <f t="shared" si="86"/>
        <v>0</v>
      </c>
      <c r="N124" s="3107"/>
    </row>
    <row r="125" spans="1:14" s="291" customFormat="1" ht="13.5" customHeight="1" thickBot="1" x14ac:dyDescent="0.25">
      <c r="A125" s="3093"/>
      <c r="B125" s="298" t="s">
        <v>15</v>
      </c>
      <c r="C125" s="3123"/>
      <c r="D125" s="1711">
        <f>+E125+F125+G125+H125</f>
        <v>19301089</v>
      </c>
      <c r="E125" s="2251">
        <v>0</v>
      </c>
      <c r="F125" s="2251">
        <v>18291072</v>
      </c>
      <c r="G125" s="2251">
        <v>1010017</v>
      </c>
      <c r="H125" s="2356">
        <v>0</v>
      </c>
      <c r="I125" s="2353">
        <f>E125+F125+K125</f>
        <v>18291072</v>
      </c>
      <c r="J125" s="2148">
        <f t="shared" si="90"/>
        <v>94.767046564056571</v>
      </c>
      <c r="K125" s="1712">
        <v>0</v>
      </c>
      <c r="L125" s="2341">
        <f t="shared" si="103"/>
        <v>0</v>
      </c>
      <c r="M125" s="2193">
        <f t="shared" si="86"/>
        <v>-505008.5</v>
      </c>
      <c r="N125" s="3108"/>
    </row>
    <row r="126" spans="1:14" s="291" customFormat="1" ht="30" customHeight="1" x14ac:dyDescent="0.2">
      <c r="A126" s="3127" t="s">
        <v>45</v>
      </c>
      <c r="B126" s="2149" t="s">
        <v>275</v>
      </c>
      <c r="C126" s="2150" t="s">
        <v>193</v>
      </c>
      <c r="D126" s="2151"/>
      <c r="E126" s="2152"/>
      <c r="F126" s="2152"/>
      <c r="G126" s="2152"/>
      <c r="H126" s="2154"/>
      <c r="I126" s="2151"/>
      <c r="J126" s="2152"/>
      <c r="K126" s="2152"/>
      <c r="L126" s="2153"/>
      <c r="M126" s="2154"/>
      <c r="N126" s="2357" t="s">
        <v>37</v>
      </c>
    </row>
    <row r="127" spans="1:14" s="291" customFormat="1" ht="14.25" customHeight="1" x14ac:dyDescent="0.2">
      <c r="A127" s="3127"/>
      <c r="B127" s="312" t="s">
        <v>3</v>
      </c>
      <c r="C127" s="237"/>
      <c r="D127" s="2142">
        <f t="shared" ref="D127:I127" si="108">+D128+D131</f>
        <v>15866599.59</v>
      </c>
      <c r="E127" s="2143">
        <f t="shared" si="108"/>
        <v>8875447</v>
      </c>
      <c r="F127" s="2143">
        <f>+F128+F131</f>
        <v>6851152.5899999999</v>
      </c>
      <c r="G127" s="2143">
        <f t="shared" si="108"/>
        <v>140000</v>
      </c>
      <c r="H127" s="2156">
        <f t="shared" si="108"/>
        <v>0</v>
      </c>
      <c r="I127" s="2142">
        <f t="shared" si="108"/>
        <v>15726599.59</v>
      </c>
      <c r="J127" s="2334">
        <f t="shared" si="90"/>
        <v>99.117643328642174</v>
      </c>
      <c r="K127" s="2143">
        <f>+K128+K131</f>
        <v>0</v>
      </c>
      <c r="L127" s="2335">
        <f t="shared" si="103"/>
        <v>0</v>
      </c>
      <c r="M127" s="2170">
        <f t="shared" si="86"/>
        <v>-70000</v>
      </c>
      <c r="N127" s="3106" t="s">
        <v>38</v>
      </c>
    </row>
    <row r="128" spans="1:14" s="291" customFormat="1" ht="14.25" customHeight="1" x14ac:dyDescent="0.2">
      <c r="A128" s="3127"/>
      <c r="B128" s="1994" t="s">
        <v>18</v>
      </c>
      <c r="C128" s="3039" t="s">
        <v>39</v>
      </c>
      <c r="D128" s="2342">
        <f t="shared" ref="D128:I128" si="109">+D129+D130</f>
        <v>8058525.4500000002</v>
      </c>
      <c r="E128" s="1818">
        <f t="shared" si="109"/>
        <v>6220173</v>
      </c>
      <c r="F128" s="1818">
        <f>+F129+F130</f>
        <v>1698352.45</v>
      </c>
      <c r="G128" s="1818">
        <f t="shared" si="109"/>
        <v>140000</v>
      </c>
      <c r="H128" s="309">
        <f t="shared" si="109"/>
        <v>0</v>
      </c>
      <c r="I128" s="2342">
        <f t="shared" si="109"/>
        <v>7918525.4500000002</v>
      </c>
      <c r="J128" s="1231">
        <f t="shared" si="90"/>
        <v>98.262709463801471</v>
      </c>
      <c r="K128" s="1818">
        <f>+K129+K130</f>
        <v>0</v>
      </c>
      <c r="L128" s="2330">
        <f t="shared" si="103"/>
        <v>0</v>
      </c>
      <c r="M128" s="1425">
        <f t="shared" si="86"/>
        <v>-70000</v>
      </c>
      <c r="N128" s="3106"/>
    </row>
    <row r="129" spans="1:14" s="291" customFormat="1" ht="14.25" customHeight="1" x14ac:dyDescent="0.2">
      <c r="A129" s="3127"/>
      <c r="B129" s="279" t="s">
        <v>5</v>
      </c>
      <c r="C129" s="3039"/>
      <c r="D129" s="1701">
        <f>+E129+F129+G129+H129</f>
        <v>250451.78</v>
      </c>
      <c r="E129" s="1702">
        <f>15437+692+480</f>
        <v>16609</v>
      </c>
      <c r="F129" s="292">
        <v>93842.78</v>
      </c>
      <c r="G129" s="292">
        <v>140000</v>
      </c>
      <c r="H129" s="1127">
        <v>0</v>
      </c>
      <c r="I129" s="295">
        <f>E129+F129+K129</f>
        <v>110451.78</v>
      </c>
      <c r="J129" s="1291">
        <f t="shared" si="90"/>
        <v>44.101016171655878</v>
      </c>
      <c r="K129" s="292">
        <v>0</v>
      </c>
      <c r="L129" s="1749">
        <f t="shared" si="103"/>
        <v>0</v>
      </c>
      <c r="M129" s="2175">
        <f t="shared" si="86"/>
        <v>-70000</v>
      </c>
      <c r="N129" s="3106"/>
    </row>
    <row r="130" spans="1:14" s="2336" customFormat="1" ht="14.25" customHeight="1" thickBot="1" x14ac:dyDescent="0.25">
      <c r="A130" s="3128"/>
      <c r="B130" s="279" t="s">
        <v>12</v>
      </c>
      <c r="C130" s="3039"/>
      <c r="D130" s="1701">
        <f>+E130+F130+G130+H130</f>
        <v>7808073.6699999999</v>
      </c>
      <c r="E130" s="292">
        <f>170850+6032714</f>
        <v>6203564</v>
      </c>
      <c r="F130" s="292">
        <f>1179884.68+424624.99</f>
        <v>1604509.67</v>
      </c>
      <c r="G130" s="293">
        <v>0</v>
      </c>
      <c r="H130" s="1732">
        <v>0</v>
      </c>
      <c r="I130" s="295">
        <f>E130+F130+K130</f>
        <v>7808073.6699999999</v>
      </c>
      <c r="J130" s="2326">
        <f t="shared" si="90"/>
        <v>100</v>
      </c>
      <c r="K130" s="293">
        <v>0</v>
      </c>
      <c r="L130" s="900">
        <v>0</v>
      </c>
      <c r="M130" s="2175">
        <f t="shared" ref="M130:M193" si="110">+K130-G130*0.5</f>
        <v>0</v>
      </c>
      <c r="N130" s="3120"/>
    </row>
    <row r="131" spans="1:14" s="291" customFormat="1" ht="14.25" customHeight="1" x14ac:dyDescent="0.2">
      <c r="A131" s="3129"/>
      <c r="B131" s="2004" t="s">
        <v>13</v>
      </c>
      <c r="C131" s="3039"/>
      <c r="D131" s="296">
        <f t="shared" ref="D131:H131" si="111">+D132+D133</f>
        <v>7808074.1399999997</v>
      </c>
      <c r="E131" s="297">
        <f t="shared" si="111"/>
        <v>2655274</v>
      </c>
      <c r="F131" s="297">
        <f>+F132+F133</f>
        <v>5152800.1399999997</v>
      </c>
      <c r="G131" s="299">
        <f t="shared" si="111"/>
        <v>0</v>
      </c>
      <c r="H131" s="1723">
        <f t="shared" si="111"/>
        <v>0</v>
      </c>
      <c r="I131" s="2342">
        <f>I132+I133</f>
        <v>7808074.1399999997</v>
      </c>
      <c r="J131" s="1231">
        <f t="shared" si="90"/>
        <v>100</v>
      </c>
      <c r="K131" s="299">
        <f>+K132+K133</f>
        <v>0</v>
      </c>
      <c r="L131" s="1078">
        <v>0</v>
      </c>
      <c r="M131" s="1425">
        <f t="shared" si="110"/>
        <v>0</v>
      </c>
      <c r="N131" s="3130"/>
    </row>
    <row r="132" spans="1:14" s="291" customFormat="1" ht="14.25" hidden="1" customHeight="1" x14ac:dyDescent="0.2">
      <c r="A132" s="3127"/>
      <c r="B132" s="279" t="s">
        <v>12</v>
      </c>
      <c r="C132" s="3039"/>
      <c r="D132" s="286">
        <f>+E132+F132+G132+H132</f>
        <v>0</v>
      </c>
      <c r="E132" s="280">
        <v>0</v>
      </c>
      <c r="F132" s="293">
        <v>0</v>
      </c>
      <c r="G132" s="293">
        <v>0</v>
      </c>
      <c r="H132" s="1127">
        <v>0</v>
      </c>
      <c r="I132" s="1081">
        <f>E132+F132+K132</f>
        <v>0</v>
      </c>
      <c r="J132" s="1291" t="e">
        <f t="shared" si="90"/>
        <v>#DIV/0!</v>
      </c>
      <c r="K132" s="293">
        <v>0</v>
      </c>
      <c r="L132" s="1077" t="e">
        <f t="shared" si="103"/>
        <v>#DIV/0!</v>
      </c>
      <c r="M132" s="1732">
        <f t="shared" si="110"/>
        <v>0</v>
      </c>
      <c r="N132" s="3098"/>
    </row>
    <row r="133" spans="1:14" s="291" customFormat="1" ht="14.25" customHeight="1" x14ac:dyDescent="0.2">
      <c r="A133" s="3127"/>
      <c r="B133" s="279" t="s">
        <v>15</v>
      </c>
      <c r="C133" s="3039"/>
      <c r="D133" s="1701">
        <f>+E133+F133+G133+H133</f>
        <v>7808074.1399999997</v>
      </c>
      <c r="E133" s="292">
        <f>170850+2484424</f>
        <v>2655274</v>
      </c>
      <c r="F133" s="292">
        <v>5152800.1399999997</v>
      </c>
      <c r="G133" s="280">
        <v>0</v>
      </c>
      <c r="H133" s="1806">
        <v>0</v>
      </c>
      <c r="I133" s="295">
        <f>E133+F133+K133</f>
        <v>7808074.1399999997</v>
      </c>
      <c r="J133" s="2326">
        <f t="shared" si="90"/>
        <v>100</v>
      </c>
      <c r="K133" s="293">
        <v>0</v>
      </c>
      <c r="L133" s="900">
        <v>0</v>
      </c>
      <c r="M133" s="2175">
        <f t="shared" si="110"/>
        <v>0</v>
      </c>
      <c r="N133" s="3099"/>
    </row>
    <row r="134" spans="1:14" s="291" customFormat="1" ht="14.25" customHeight="1" x14ac:dyDescent="0.2">
      <c r="A134" s="3127"/>
      <c r="B134" s="236" t="s">
        <v>17</v>
      </c>
      <c r="C134" s="237"/>
      <c r="D134" s="302">
        <f t="shared" ref="D134:I134" si="112">+D137+D135</f>
        <v>15616148</v>
      </c>
      <c r="E134" s="304">
        <f t="shared" ref="E134" si="113">+E137+E135</f>
        <v>5723800</v>
      </c>
      <c r="F134" s="304">
        <f>+F137+F135</f>
        <v>9043098</v>
      </c>
      <c r="G134" s="304">
        <f t="shared" si="112"/>
        <v>849250</v>
      </c>
      <c r="H134" s="306">
        <f t="shared" si="112"/>
        <v>0</v>
      </c>
      <c r="I134" s="302">
        <f t="shared" si="112"/>
        <v>14766898</v>
      </c>
      <c r="J134" s="1181">
        <f t="shared" si="90"/>
        <v>94.561719061576525</v>
      </c>
      <c r="K134" s="304">
        <f>+K137+K135</f>
        <v>0</v>
      </c>
      <c r="L134" s="1740">
        <f t="shared" si="103"/>
        <v>0</v>
      </c>
      <c r="M134" s="1185">
        <f t="shared" si="110"/>
        <v>-424625</v>
      </c>
      <c r="N134" s="3101" t="s">
        <v>40</v>
      </c>
    </row>
    <row r="135" spans="1:14" s="291" customFormat="1" ht="14.25" customHeight="1" x14ac:dyDescent="0.2">
      <c r="A135" s="3127"/>
      <c r="B135" s="1994" t="s">
        <v>18</v>
      </c>
      <c r="C135" s="3039" t="s">
        <v>35</v>
      </c>
      <c r="D135" s="2343">
        <f t="shared" ref="D135:I135" si="114">D136</f>
        <v>7808074</v>
      </c>
      <c r="E135" s="2344">
        <f t="shared" si="114"/>
        <v>3068526</v>
      </c>
      <c r="F135" s="2344">
        <f>F136</f>
        <v>4314923</v>
      </c>
      <c r="G135" s="2344">
        <f t="shared" si="114"/>
        <v>424625</v>
      </c>
      <c r="H135" s="2322">
        <f t="shared" si="114"/>
        <v>0</v>
      </c>
      <c r="I135" s="2343">
        <f t="shared" si="114"/>
        <v>7383449</v>
      </c>
      <c r="J135" s="1231">
        <f t="shared" si="90"/>
        <v>94.561719061576525</v>
      </c>
      <c r="K135" s="2358">
        <f>K136</f>
        <v>0</v>
      </c>
      <c r="L135" s="2330">
        <f t="shared" si="103"/>
        <v>0</v>
      </c>
      <c r="M135" s="2329">
        <f t="shared" si="110"/>
        <v>-212312.5</v>
      </c>
      <c r="N135" s="3037"/>
    </row>
    <row r="136" spans="1:14" s="2336" customFormat="1" ht="14.25" customHeight="1" x14ac:dyDescent="0.2">
      <c r="A136" s="3127"/>
      <c r="B136" s="279" t="s">
        <v>12</v>
      </c>
      <c r="C136" s="3039"/>
      <c r="D136" s="1701">
        <f>+E136+F136+G136+H136</f>
        <v>7808074</v>
      </c>
      <c r="E136" s="2144">
        <v>3068526</v>
      </c>
      <c r="F136" s="2144">
        <v>4314923</v>
      </c>
      <c r="G136" s="2144">
        <v>424625</v>
      </c>
      <c r="H136" s="2359">
        <v>0</v>
      </c>
      <c r="I136" s="295">
        <f>E136+F136+K136</f>
        <v>7383449</v>
      </c>
      <c r="J136" s="1291">
        <f t="shared" si="90"/>
        <v>94.561719061576525</v>
      </c>
      <c r="K136" s="300">
        <v>0</v>
      </c>
      <c r="L136" s="1749">
        <f t="shared" si="103"/>
        <v>0</v>
      </c>
      <c r="M136" s="2175">
        <f t="shared" si="110"/>
        <v>-212312.5</v>
      </c>
      <c r="N136" s="3037"/>
    </row>
    <row r="137" spans="1:14" s="291" customFormat="1" ht="14.25" customHeight="1" x14ac:dyDescent="0.2">
      <c r="A137" s="3127"/>
      <c r="B137" s="2004" t="s">
        <v>13</v>
      </c>
      <c r="C137" s="3039"/>
      <c r="D137" s="296">
        <f t="shared" ref="D137:H137" si="115">+D138+D139</f>
        <v>7808074</v>
      </c>
      <c r="E137" s="297">
        <f t="shared" si="115"/>
        <v>2655274</v>
      </c>
      <c r="F137" s="297">
        <f>+F138+F139</f>
        <v>4728175</v>
      </c>
      <c r="G137" s="297">
        <f t="shared" si="115"/>
        <v>424625</v>
      </c>
      <c r="H137" s="1723">
        <f t="shared" si="115"/>
        <v>0</v>
      </c>
      <c r="I137" s="1814">
        <f>I138+I139</f>
        <v>7383449</v>
      </c>
      <c r="J137" s="1231">
        <f t="shared" si="90"/>
        <v>94.561719061576525</v>
      </c>
      <c r="K137" s="299">
        <f>+K138+K139</f>
        <v>0</v>
      </c>
      <c r="L137" s="2330">
        <f t="shared" si="103"/>
        <v>0</v>
      </c>
      <c r="M137" s="1423">
        <f t="shared" si="110"/>
        <v>-212312.5</v>
      </c>
      <c r="N137" s="3037"/>
    </row>
    <row r="138" spans="1:14" s="291" customFormat="1" ht="14.25" hidden="1" customHeight="1" x14ac:dyDescent="0.2">
      <c r="A138" s="3127"/>
      <c r="B138" s="279" t="s">
        <v>12</v>
      </c>
      <c r="C138" s="3039"/>
      <c r="D138" s="286">
        <f>+E138+F138+G138+H138</f>
        <v>0</v>
      </c>
      <c r="E138" s="293">
        <v>0</v>
      </c>
      <c r="F138" s="293">
        <v>0</v>
      </c>
      <c r="G138" s="293">
        <v>0</v>
      </c>
      <c r="H138" s="1127">
        <v>0</v>
      </c>
      <c r="I138" s="1081">
        <f>E138+F138+K138</f>
        <v>0</v>
      </c>
      <c r="J138" s="1291" t="e">
        <f t="shared" si="90"/>
        <v>#DIV/0!</v>
      </c>
      <c r="K138" s="280">
        <v>0</v>
      </c>
      <c r="L138" s="1749" t="e">
        <f t="shared" si="103"/>
        <v>#DIV/0!</v>
      </c>
      <c r="M138" s="1732">
        <f t="shared" si="110"/>
        <v>0</v>
      </c>
      <c r="N138" s="3037"/>
    </row>
    <row r="139" spans="1:14" s="291" customFormat="1" ht="14.25" customHeight="1" thickBot="1" x14ac:dyDescent="0.25">
      <c r="A139" s="3128"/>
      <c r="B139" s="298" t="s">
        <v>15</v>
      </c>
      <c r="C139" s="3116"/>
      <c r="D139" s="1711">
        <f>+E139+F139+G139+H139</f>
        <v>7808074</v>
      </c>
      <c r="E139" s="2251">
        <v>2655274</v>
      </c>
      <c r="F139" s="2251">
        <v>4728175</v>
      </c>
      <c r="G139" s="2251">
        <v>424625</v>
      </c>
      <c r="H139" s="2356">
        <v>0</v>
      </c>
      <c r="I139" s="2353">
        <f>E139+F139+K139</f>
        <v>7383449</v>
      </c>
      <c r="J139" s="2148">
        <f t="shared" si="90"/>
        <v>94.561719061576525</v>
      </c>
      <c r="K139" s="2360">
        <v>0</v>
      </c>
      <c r="L139" s="2341">
        <f t="shared" si="103"/>
        <v>0</v>
      </c>
      <c r="M139" s="2193">
        <f t="shared" si="110"/>
        <v>-212312.5</v>
      </c>
      <c r="N139" s="3038"/>
    </row>
    <row r="140" spans="1:14" s="291" customFormat="1" ht="27" customHeight="1" x14ac:dyDescent="0.2">
      <c r="A140" s="3092" t="s">
        <v>46</v>
      </c>
      <c r="B140" s="2122" t="s">
        <v>48</v>
      </c>
      <c r="C140" s="2123" t="s">
        <v>193</v>
      </c>
      <c r="D140" s="278"/>
      <c r="E140" s="276"/>
      <c r="F140" s="276"/>
      <c r="G140" s="276"/>
      <c r="H140" s="2361"/>
      <c r="I140" s="278"/>
      <c r="J140" s="276"/>
      <c r="K140" s="276"/>
      <c r="L140" s="305"/>
      <c r="M140" s="277"/>
      <c r="N140" s="2319" t="s">
        <v>37</v>
      </c>
    </row>
    <row r="141" spans="1:14" s="291" customFormat="1" ht="14.25" customHeight="1" x14ac:dyDescent="0.2">
      <c r="A141" s="3093"/>
      <c r="B141" s="236" t="s">
        <v>3</v>
      </c>
      <c r="C141" s="237"/>
      <c r="D141" s="2142">
        <f t="shared" ref="D141:H141" si="116">+D142+D145</f>
        <v>50145628</v>
      </c>
      <c r="E141" s="2143">
        <f t="shared" si="116"/>
        <v>188320</v>
      </c>
      <c r="F141" s="2143">
        <f>+F142+F145</f>
        <v>348320</v>
      </c>
      <c r="G141" s="2143">
        <f t="shared" si="116"/>
        <v>32179763</v>
      </c>
      <c r="H141" s="2170">
        <f t="shared" si="116"/>
        <v>17429225</v>
      </c>
      <c r="I141" s="2142">
        <f>+I142+I145</f>
        <v>2481485.1</v>
      </c>
      <c r="J141" s="1181">
        <f t="shared" si="90"/>
        <v>4.9485572301537442</v>
      </c>
      <c r="K141" s="2143">
        <f>+K142+K145</f>
        <v>1944845.1</v>
      </c>
      <c r="L141" s="1740">
        <f t="shared" si="103"/>
        <v>6.0436899426512252</v>
      </c>
      <c r="M141" s="2170">
        <f t="shared" si="110"/>
        <v>-14145036.4</v>
      </c>
      <c r="N141" s="3098" t="s">
        <v>38</v>
      </c>
    </row>
    <row r="142" spans="1:14" s="291" customFormat="1" ht="14.25" customHeight="1" thickBot="1" x14ac:dyDescent="0.25">
      <c r="A142" s="3114"/>
      <c r="B142" s="301" t="s">
        <v>18</v>
      </c>
      <c r="C142" s="3039" t="s">
        <v>39</v>
      </c>
      <c r="D142" s="1734">
        <f t="shared" ref="D142:H142" si="117">+D143+D144</f>
        <v>40716251</v>
      </c>
      <c r="E142" s="1706">
        <f t="shared" si="117"/>
        <v>159059</v>
      </c>
      <c r="F142" s="1706">
        <f>+F143+F144</f>
        <v>282779</v>
      </c>
      <c r="G142" s="1706">
        <f t="shared" si="117"/>
        <v>26124723</v>
      </c>
      <c r="H142" s="1425">
        <f t="shared" si="117"/>
        <v>14149690</v>
      </c>
      <c r="I142" s="1734">
        <f>+I143+I144</f>
        <v>1834119.58</v>
      </c>
      <c r="J142" s="1231">
        <f t="shared" si="90"/>
        <v>4.5046376691213545</v>
      </c>
      <c r="K142" s="1706">
        <f>+K143+K144</f>
        <v>1392281.58</v>
      </c>
      <c r="L142" s="2330">
        <f t="shared" si="103"/>
        <v>5.3293639898114904</v>
      </c>
      <c r="M142" s="1425">
        <f t="shared" si="110"/>
        <v>-11670079.92</v>
      </c>
      <c r="N142" s="3131"/>
    </row>
    <row r="143" spans="1:14" s="291" customFormat="1" ht="14.25" customHeight="1" x14ac:dyDescent="0.2">
      <c r="A143" s="3092"/>
      <c r="B143" s="279" t="s">
        <v>5</v>
      </c>
      <c r="C143" s="3100"/>
      <c r="D143" s="1701">
        <f>+E143+F143+G143+H143</f>
        <v>37886808</v>
      </c>
      <c r="E143" s="1702">
        <f>101537+48741</f>
        <v>150278</v>
      </c>
      <c r="F143" s="292">
        <v>263112</v>
      </c>
      <c r="G143" s="292">
        <v>24307807</v>
      </c>
      <c r="H143" s="2175">
        <v>13165611</v>
      </c>
      <c r="I143" s="295">
        <f>E143+F143+K143</f>
        <v>1698566.28</v>
      </c>
      <c r="J143" s="1291">
        <f t="shared" si="90"/>
        <v>4.483265731966652</v>
      </c>
      <c r="K143" s="1702">
        <v>1285176.28</v>
      </c>
      <c r="L143" s="1749">
        <f t="shared" si="103"/>
        <v>5.287092661217855</v>
      </c>
      <c r="M143" s="2175">
        <f t="shared" si="110"/>
        <v>-10868727.220000001</v>
      </c>
      <c r="N143" s="3130"/>
    </row>
    <row r="144" spans="1:14" s="291" customFormat="1" ht="14.25" customHeight="1" x14ac:dyDescent="0.2">
      <c r="A144" s="3093"/>
      <c r="B144" s="279" t="s">
        <v>12</v>
      </c>
      <c r="C144" s="3100"/>
      <c r="D144" s="1701">
        <f>+E144+F144+G144+H144</f>
        <v>2829443</v>
      </c>
      <c r="E144" s="1702">
        <f>5138+3643</f>
        <v>8781</v>
      </c>
      <c r="F144" s="292">
        <v>19667</v>
      </c>
      <c r="G144" s="292">
        <v>1816916</v>
      </c>
      <c r="H144" s="2175">
        <v>984079</v>
      </c>
      <c r="I144" s="295">
        <f>E144+F144+K144</f>
        <v>135553.29999999999</v>
      </c>
      <c r="J144" s="2326">
        <f t="shared" ref="J144:J207" si="118">I144/D144*100</f>
        <v>4.7908121845889804</v>
      </c>
      <c r="K144" s="1702">
        <v>107105.3</v>
      </c>
      <c r="L144" s="2339">
        <f t="shared" si="103"/>
        <v>5.8948955262653859</v>
      </c>
      <c r="M144" s="2175">
        <f t="shared" si="110"/>
        <v>-801352.7</v>
      </c>
      <c r="N144" s="3098"/>
    </row>
    <row r="145" spans="1:14" s="291" customFormat="1" ht="14.25" customHeight="1" x14ac:dyDescent="0.2">
      <c r="A145" s="3093"/>
      <c r="B145" s="281" t="s">
        <v>13</v>
      </c>
      <c r="C145" s="3100"/>
      <c r="D145" s="282">
        <f t="shared" ref="D145:I145" si="119">+D146</f>
        <v>9429377</v>
      </c>
      <c r="E145" s="283">
        <f t="shared" si="119"/>
        <v>29261</v>
      </c>
      <c r="F145" s="283">
        <f>+F146</f>
        <v>65541</v>
      </c>
      <c r="G145" s="283">
        <f t="shared" si="119"/>
        <v>6055040</v>
      </c>
      <c r="H145" s="1426">
        <f t="shared" si="119"/>
        <v>3279535</v>
      </c>
      <c r="I145" s="282">
        <f t="shared" si="119"/>
        <v>647365.52</v>
      </c>
      <c r="J145" s="1231">
        <f t="shared" si="118"/>
        <v>6.8654113628079561</v>
      </c>
      <c r="K145" s="283">
        <f>+K146</f>
        <v>552563.52</v>
      </c>
      <c r="L145" s="2330">
        <f t="shared" si="103"/>
        <v>9.1256791036888281</v>
      </c>
      <c r="M145" s="1426">
        <f t="shared" si="110"/>
        <v>-2474956.48</v>
      </c>
      <c r="N145" s="3098"/>
    </row>
    <row r="146" spans="1:14" s="291" customFormat="1" ht="14.25" customHeight="1" x14ac:dyDescent="0.2">
      <c r="A146" s="3093"/>
      <c r="B146" s="279" t="s">
        <v>15</v>
      </c>
      <c r="C146" s="3100"/>
      <c r="D146" s="1701">
        <f>++E146+F146+G146+H146</f>
        <v>9429377</v>
      </c>
      <c r="E146" s="1702">
        <f>17120+12141</f>
        <v>29261</v>
      </c>
      <c r="F146" s="292">
        <v>65541</v>
      </c>
      <c r="G146" s="292">
        <v>6055040</v>
      </c>
      <c r="H146" s="2175">
        <v>3279535</v>
      </c>
      <c r="I146" s="295">
        <f>E146+F146+K146</f>
        <v>647365.52</v>
      </c>
      <c r="J146" s="1291">
        <f t="shared" si="118"/>
        <v>6.8654113628079561</v>
      </c>
      <c r="K146" s="1702">
        <v>552563.52</v>
      </c>
      <c r="L146" s="1749">
        <f t="shared" si="103"/>
        <v>9.1256791036888281</v>
      </c>
      <c r="M146" s="2175">
        <f t="shared" si="110"/>
        <v>-2474956.48</v>
      </c>
      <c r="N146" s="3099"/>
    </row>
    <row r="147" spans="1:14" s="291" customFormat="1" ht="14.25" customHeight="1" x14ac:dyDescent="0.2">
      <c r="A147" s="3104"/>
      <c r="B147" s="236" t="s">
        <v>17</v>
      </c>
      <c r="C147" s="237"/>
      <c r="D147" s="302">
        <f t="shared" ref="D147:I147" si="120">+D150+D148</f>
        <v>12258820</v>
      </c>
      <c r="E147" s="303">
        <f t="shared" si="120"/>
        <v>0</v>
      </c>
      <c r="F147" s="303">
        <f>+F150+F148</f>
        <v>0</v>
      </c>
      <c r="G147" s="304">
        <f t="shared" si="120"/>
        <v>5000000</v>
      </c>
      <c r="H147" s="1695">
        <f t="shared" si="120"/>
        <v>7258820</v>
      </c>
      <c r="I147" s="302">
        <f t="shared" si="120"/>
        <v>0</v>
      </c>
      <c r="J147" s="1181">
        <f t="shared" si="118"/>
        <v>0</v>
      </c>
      <c r="K147" s="304">
        <f>+K150+K148</f>
        <v>0</v>
      </c>
      <c r="L147" s="1740">
        <f t="shared" si="103"/>
        <v>0</v>
      </c>
      <c r="M147" s="1185">
        <f t="shared" si="110"/>
        <v>-2500000</v>
      </c>
      <c r="N147" s="3132" t="s">
        <v>40</v>
      </c>
    </row>
    <row r="148" spans="1:14" s="291" customFormat="1" ht="14.25" customHeight="1" x14ac:dyDescent="0.2">
      <c r="A148" s="3104"/>
      <c r="B148" s="301" t="s">
        <v>18</v>
      </c>
      <c r="C148" s="3133" t="s">
        <v>35</v>
      </c>
      <c r="D148" s="282">
        <f t="shared" ref="D148:I148" si="121">+D149</f>
        <v>2829443</v>
      </c>
      <c r="E148" s="284">
        <f t="shared" si="121"/>
        <v>0</v>
      </c>
      <c r="F148" s="284">
        <v>0</v>
      </c>
      <c r="G148" s="283">
        <f t="shared" si="121"/>
        <v>1154044</v>
      </c>
      <c r="H148" s="1708">
        <f t="shared" si="121"/>
        <v>1675399</v>
      </c>
      <c r="I148" s="296">
        <f t="shared" si="121"/>
        <v>0</v>
      </c>
      <c r="J148" s="1231">
        <f t="shared" si="118"/>
        <v>0</v>
      </c>
      <c r="K148" s="2362">
        <v>0</v>
      </c>
      <c r="L148" s="2330">
        <f t="shared" si="103"/>
        <v>0</v>
      </c>
      <c r="M148" s="1423">
        <f t="shared" si="110"/>
        <v>-577022</v>
      </c>
      <c r="N148" s="3098"/>
    </row>
    <row r="149" spans="1:14" s="291" customFormat="1" ht="14.25" customHeight="1" x14ac:dyDescent="0.2">
      <c r="A149" s="3104"/>
      <c r="B149" s="279" t="s">
        <v>12</v>
      </c>
      <c r="C149" s="3039"/>
      <c r="D149" s="1701">
        <f>+E149+F149+G149+H149</f>
        <v>2829443</v>
      </c>
      <c r="E149" s="2363">
        <v>0</v>
      </c>
      <c r="F149" s="2363">
        <v>0</v>
      </c>
      <c r="G149" s="2364">
        <v>1154044</v>
      </c>
      <c r="H149" s="2365">
        <v>1675399</v>
      </c>
      <c r="I149" s="295">
        <f>E149+F149+K149</f>
        <v>0</v>
      </c>
      <c r="J149" s="1291">
        <f t="shared" si="118"/>
        <v>0</v>
      </c>
      <c r="K149" s="2362">
        <v>0</v>
      </c>
      <c r="L149" s="1749">
        <f t="shared" si="103"/>
        <v>0</v>
      </c>
      <c r="M149" s="2175">
        <f t="shared" si="110"/>
        <v>-577022</v>
      </c>
      <c r="N149" s="3098"/>
    </row>
    <row r="150" spans="1:14" s="291" customFormat="1" ht="14.25" customHeight="1" x14ac:dyDescent="0.2">
      <c r="A150" s="3104"/>
      <c r="B150" s="281" t="s">
        <v>13</v>
      </c>
      <c r="C150" s="3039"/>
      <c r="D150" s="296">
        <f>+D151</f>
        <v>9429377</v>
      </c>
      <c r="E150" s="299">
        <f t="shared" ref="E150:H150" si="122">+E151</f>
        <v>0</v>
      </c>
      <c r="F150" s="299">
        <f>+F151</f>
        <v>0</v>
      </c>
      <c r="G150" s="297">
        <f t="shared" si="122"/>
        <v>3845956</v>
      </c>
      <c r="H150" s="1699">
        <f t="shared" si="122"/>
        <v>5583421</v>
      </c>
      <c r="I150" s="296">
        <f>+I151</f>
        <v>0</v>
      </c>
      <c r="J150" s="1231">
        <f t="shared" si="118"/>
        <v>0</v>
      </c>
      <c r="K150" s="297">
        <f>+K151</f>
        <v>0</v>
      </c>
      <c r="L150" s="2330">
        <f t="shared" si="103"/>
        <v>0</v>
      </c>
      <c r="M150" s="1423">
        <f t="shared" si="110"/>
        <v>-1922978</v>
      </c>
      <c r="N150" s="3098"/>
    </row>
    <row r="151" spans="1:14" s="291" customFormat="1" ht="14.25" customHeight="1" thickBot="1" x14ac:dyDescent="0.25">
      <c r="A151" s="3103"/>
      <c r="B151" s="298" t="s">
        <v>15</v>
      </c>
      <c r="C151" s="3116"/>
      <c r="D151" s="1711">
        <f>+E151+F151+G151+H151</f>
        <v>9429377</v>
      </c>
      <c r="E151" s="288">
        <v>0</v>
      </c>
      <c r="F151" s="2360">
        <v>0</v>
      </c>
      <c r="G151" s="2251">
        <v>3845956</v>
      </c>
      <c r="H151" s="2366">
        <v>5583421</v>
      </c>
      <c r="I151" s="2353">
        <f>E151+F151+K151</f>
        <v>0</v>
      </c>
      <c r="J151" s="290">
        <f t="shared" si="118"/>
        <v>0</v>
      </c>
      <c r="K151" s="2251">
        <v>0</v>
      </c>
      <c r="L151" s="1162">
        <f t="shared" si="103"/>
        <v>0</v>
      </c>
      <c r="M151" s="2193">
        <f t="shared" si="110"/>
        <v>-1922978</v>
      </c>
      <c r="N151" s="3131"/>
    </row>
    <row r="152" spans="1:14" ht="29.25" customHeight="1" x14ac:dyDescent="0.2">
      <c r="A152" s="3118" t="s">
        <v>47</v>
      </c>
      <c r="B152" s="2122" t="s">
        <v>276</v>
      </c>
      <c r="C152" s="2123" t="s">
        <v>193</v>
      </c>
      <c r="D152" s="278"/>
      <c r="E152" s="305"/>
      <c r="F152" s="276"/>
      <c r="G152" s="276"/>
      <c r="H152" s="277"/>
      <c r="I152" s="278"/>
      <c r="J152" s="276"/>
      <c r="K152" s="276"/>
      <c r="L152" s="305"/>
      <c r="M152" s="277"/>
      <c r="N152" s="3119" t="s">
        <v>38</v>
      </c>
    </row>
    <row r="153" spans="1:14" x14ac:dyDescent="0.2">
      <c r="A153" s="3093"/>
      <c r="B153" s="236" t="s">
        <v>3</v>
      </c>
      <c r="C153" s="237"/>
      <c r="D153" s="302">
        <f t="shared" ref="D153:I153" si="123">+D154+D156</f>
        <v>23379749.850000001</v>
      </c>
      <c r="E153" s="1180">
        <f t="shared" si="123"/>
        <v>22907477</v>
      </c>
      <c r="F153" s="304">
        <f>+F154+F156</f>
        <v>52272.85</v>
      </c>
      <c r="G153" s="304">
        <f t="shared" si="123"/>
        <v>420000</v>
      </c>
      <c r="H153" s="306">
        <f t="shared" si="123"/>
        <v>0</v>
      </c>
      <c r="I153" s="302">
        <f t="shared" si="123"/>
        <v>22959749.850000001</v>
      </c>
      <c r="J153" s="1181">
        <f t="shared" si="118"/>
        <v>98.203573593838087</v>
      </c>
      <c r="K153" s="304">
        <f>+K154+K156</f>
        <v>0</v>
      </c>
      <c r="L153" s="1740">
        <f t="shared" si="103"/>
        <v>0</v>
      </c>
      <c r="M153" s="1185">
        <f t="shared" si="110"/>
        <v>-210000</v>
      </c>
      <c r="N153" s="3106"/>
    </row>
    <row r="154" spans="1:14" ht="14.25" customHeight="1" thickBot="1" x14ac:dyDescent="0.25">
      <c r="A154" s="3114"/>
      <c r="B154" s="301" t="s">
        <v>18</v>
      </c>
      <c r="C154" s="3039" t="s">
        <v>39</v>
      </c>
      <c r="D154" s="296">
        <f t="shared" ref="D154:I154" si="124">+D155</f>
        <v>6630648.8499999996</v>
      </c>
      <c r="E154" s="1782">
        <f t="shared" si="124"/>
        <v>6183520</v>
      </c>
      <c r="F154" s="297">
        <f>+F155</f>
        <v>27128.85</v>
      </c>
      <c r="G154" s="297">
        <f t="shared" si="124"/>
        <v>420000</v>
      </c>
      <c r="H154" s="1723">
        <f t="shared" si="124"/>
        <v>0</v>
      </c>
      <c r="I154" s="296">
        <f t="shared" si="124"/>
        <v>6210648.8499999996</v>
      </c>
      <c r="J154" s="1231">
        <f t="shared" si="118"/>
        <v>93.665778274474604</v>
      </c>
      <c r="K154" s="1697">
        <f>+K155</f>
        <v>0</v>
      </c>
      <c r="L154" s="2330">
        <f t="shared" si="103"/>
        <v>0</v>
      </c>
      <c r="M154" s="1423">
        <f t="shared" si="110"/>
        <v>-210000</v>
      </c>
      <c r="N154" s="3120"/>
    </row>
    <row r="155" spans="1:14" ht="12.75" customHeight="1" x14ac:dyDescent="0.2">
      <c r="A155" s="3092"/>
      <c r="B155" s="279" t="s">
        <v>5</v>
      </c>
      <c r="C155" s="3100"/>
      <c r="D155" s="1701">
        <f>++E155+F155+G155+H155</f>
        <v>6630648.8499999996</v>
      </c>
      <c r="E155" s="1767">
        <f>38866+2553458+3591196</f>
        <v>6183520</v>
      </c>
      <c r="F155" s="1702">
        <v>27128.85</v>
      </c>
      <c r="G155" s="1702">
        <v>420000</v>
      </c>
      <c r="H155" s="1732">
        <v>0</v>
      </c>
      <c r="I155" s="1730">
        <f>E155+F155+K155</f>
        <v>6210648.8499999996</v>
      </c>
      <c r="J155" s="1291">
        <f t="shared" si="118"/>
        <v>93.665778274474604</v>
      </c>
      <c r="K155" s="1702">
        <v>0</v>
      </c>
      <c r="L155" s="1749">
        <f t="shared" si="103"/>
        <v>0</v>
      </c>
      <c r="M155" s="1424">
        <f t="shared" si="110"/>
        <v>-210000</v>
      </c>
      <c r="N155" s="3121"/>
    </row>
    <row r="156" spans="1:14" x14ac:dyDescent="0.2">
      <c r="A156" s="3093"/>
      <c r="B156" s="281" t="s">
        <v>13</v>
      </c>
      <c r="C156" s="3100"/>
      <c r="D156" s="282">
        <f t="shared" ref="D156:I156" si="125">+D157</f>
        <v>16749101</v>
      </c>
      <c r="E156" s="1819">
        <f t="shared" si="125"/>
        <v>16723957</v>
      </c>
      <c r="F156" s="283">
        <f>+F157</f>
        <v>25144</v>
      </c>
      <c r="G156" s="299">
        <f t="shared" si="125"/>
        <v>0</v>
      </c>
      <c r="H156" s="285">
        <f t="shared" si="125"/>
        <v>0</v>
      </c>
      <c r="I156" s="282">
        <f t="shared" si="125"/>
        <v>16749101</v>
      </c>
      <c r="J156" s="1231">
        <f t="shared" si="118"/>
        <v>100</v>
      </c>
      <c r="K156" s="299">
        <f>+K157</f>
        <v>0</v>
      </c>
      <c r="L156" s="1078">
        <v>0</v>
      </c>
      <c r="M156" s="1426">
        <f t="shared" si="110"/>
        <v>0</v>
      </c>
      <c r="N156" s="3106"/>
    </row>
    <row r="157" spans="1:14" ht="13.5" customHeight="1" x14ac:dyDescent="0.2">
      <c r="A157" s="3093"/>
      <c r="B157" s="279" t="s">
        <v>15</v>
      </c>
      <c r="C157" s="3100"/>
      <c r="D157" s="1701">
        <f>+E157+F157+G157</f>
        <v>16749101</v>
      </c>
      <c r="E157" s="1702">
        <f>102218+7570373+9051366</f>
        <v>16723957</v>
      </c>
      <c r="F157" s="1702">
        <v>25144</v>
      </c>
      <c r="G157" s="280">
        <v>0</v>
      </c>
      <c r="H157" s="1732">
        <v>0</v>
      </c>
      <c r="I157" s="1730">
        <f>E157+F157+K157</f>
        <v>16749101</v>
      </c>
      <c r="J157" s="1291">
        <f t="shared" si="118"/>
        <v>100</v>
      </c>
      <c r="K157" s="280">
        <v>0</v>
      </c>
      <c r="L157" s="1077">
        <v>0</v>
      </c>
      <c r="M157" s="1424">
        <f t="shared" si="110"/>
        <v>0</v>
      </c>
      <c r="N157" s="3106"/>
    </row>
    <row r="158" spans="1:14" x14ac:dyDescent="0.2">
      <c r="A158" s="3104"/>
      <c r="B158" s="236" t="s">
        <v>17</v>
      </c>
      <c r="C158" s="237"/>
      <c r="D158" s="302">
        <f>+D159</f>
        <v>16749101</v>
      </c>
      <c r="E158" s="304">
        <f t="shared" ref="E158:H159" si="126">+E159</f>
        <v>15424338</v>
      </c>
      <c r="F158" s="304">
        <f>+F159</f>
        <v>462263</v>
      </c>
      <c r="G158" s="304">
        <f t="shared" si="126"/>
        <v>862500</v>
      </c>
      <c r="H158" s="306">
        <f t="shared" si="126"/>
        <v>0</v>
      </c>
      <c r="I158" s="302">
        <f>+I159</f>
        <v>15886601</v>
      </c>
      <c r="J158" s="1181">
        <f t="shared" si="118"/>
        <v>94.850469884920983</v>
      </c>
      <c r="K158" s="304">
        <f>+K159</f>
        <v>0</v>
      </c>
      <c r="L158" s="1740">
        <f t="shared" si="103"/>
        <v>0</v>
      </c>
      <c r="M158" s="1185">
        <f t="shared" si="110"/>
        <v>-431250</v>
      </c>
      <c r="N158" s="3107"/>
    </row>
    <row r="159" spans="1:14" ht="12.75" customHeight="1" x14ac:dyDescent="0.2">
      <c r="A159" s="3104"/>
      <c r="B159" s="281" t="s">
        <v>13</v>
      </c>
      <c r="C159" s="3122" t="s">
        <v>50</v>
      </c>
      <c r="D159" s="282">
        <f>+D160</f>
        <v>16749101</v>
      </c>
      <c r="E159" s="283">
        <f t="shared" si="126"/>
        <v>15424338</v>
      </c>
      <c r="F159" s="283">
        <f>+F160</f>
        <v>462263</v>
      </c>
      <c r="G159" s="283">
        <f t="shared" si="126"/>
        <v>862500</v>
      </c>
      <c r="H159" s="285">
        <f t="shared" si="126"/>
        <v>0</v>
      </c>
      <c r="I159" s="282">
        <f>+I160</f>
        <v>15886601</v>
      </c>
      <c r="J159" s="1231">
        <f t="shared" si="118"/>
        <v>94.850469884920983</v>
      </c>
      <c r="K159" s="283">
        <f>+K160</f>
        <v>0</v>
      </c>
      <c r="L159" s="2330">
        <f t="shared" si="103"/>
        <v>0</v>
      </c>
      <c r="M159" s="1426">
        <f t="shared" si="110"/>
        <v>-431250</v>
      </c>
      <c r="N159" s="3107"/>
    </row>
    <row r="160" spans="1:14" ht="15" customHeight="1" thickBot="1" x14ac:dyDescent="0.25">
      <c r="A160" s="3103"/>
      <c r="B160" s="287" t="s">
        <v>15</v>
      </c>
      <c r="C160" s="3043"/>
      <c r="D160" s="1711">
        <f>++E160+F160+G160+H160</f>
        <v>16749101</v>
      </c>
      <c r="E160" s="1712">
        <v>15424338</v>
      </c>
      <c r="F160" s="1712">
        <v>462263</v>
      </c>
      <c r="G160" s="1712">
        <v>862500</v>
      </c>
      <c r="H160" s="1813">
        <v>0</v>
      </c>
      <c r="I160" s="289">
        <f>E160+F160+K160</f>
        <v>15886601</v>
      </c>
      <c r="J160" s="290">
        <f t="shared" si="118"/>
        <v>94.850469884920983</v>
      </c>
      <c r="K160" s="1712">
        <v>0</v>
      </c>
      <c r="L160" s="1162">
        <f t="shared" si="103"/>
        <v>0</v>
      </c>
      <c r="M160" s="1428">
        <f t="shared" si="110"/>
        <v>-431250</v>
      </c>
      <c r="N160" s="3108"/>
    </row>
    <row r="161" spans="1:14" ht="27.75" customHeight="1" x14ac:dyDescent="0.2">
      <c r="A161" s="3092" t="s">
        <v>49</v>
      </c>
      <c r="B161" s="2122" t="s">
        <v>277</v>
      </c>
      <c r="C161" s="2123" t="s">
        <v>193</v>
      </c>
      <c r="D161" s="278"/>
      <c r="E161" s="276"/>
      <c r="F161" s="276"/>
      <c r="G161" s="276"/>
      <c r="H161" s="277"/>
      <c r="I161" s="278"/>
      <c r="J161" s="276"/>
      <c r="K161" s="276"/>
      <c r="L161" s="305"/>
      <c r="M161" s="277"/>
      <c r="N161" s="3121" t="s">
        <v>38</v>
      </c>
    </row>
    <row r="162" spans="1:14" x14ac:dyDescent="0.2">
      <c r="A162" s="3093"/>
      <c r="B162" s="236" t="s">
        <v>3</v>
      </c>
      <c r="C162" s="237"/>
      <c r="D162" s="2142">
        <f t="shared" ref="D162:I162" si="127">+D163+D166</f>
        <v>15071832</v>
      </c>
      <c r="E162" s="2143">
        <f t="shared" si="127"/>
        <v>15011832</v>
      </c>
      <c r="F162" s="307">
        <f t="shared" si="127"/>
        <v>0</v>
      </c>
      <c r="G162" s="2143">
        <f t="shared" si="127"/>
        <v>60000</v>
      </c>
      <c r="H162" s="2156">
        <f t="shared" si="127"/>
        <v>0</v>
      </c>
      <c r="I162" s="2142">
        <f t="shared" si="127"/>
        <v>15034967.960000001</v>
      </c>
      <c r="J162" s="1181">
        <f t="shared" si="118"/>
        <v>99.755411021035798</v>
      </c>
      <c r="K162" s="2143">
        <f>+K163+K166</f>
        <v>23135.96</v>
      </c>
      <c r="L162" s="1740">
        <f t="shared" si="103"/>
        <v>38.559933333333326</v>
      </c>
      <c r="M162" s="2170">
        <f t="shared" si="110"/>
        <v>-6864.0400000000009</v>
      </c>
      <c r="N162" s="3106"/>
    </row>
    <row r="163" spans="1:14" ht="13.5" customHeight="1" x14ac:dyDescent="0.2">
      <c r="A163" s="3093"/>
      <c r="B163" s="301" t="s">
        <v>18</v>
      </c>
      <c r="C163" s="3039" t="s">
        <v>39</v>
      </c>
      <c r="D163" s="1734">
        <f t="shared" ref="D163:I163" si="128">+D164+D165</f>
        <v>6515981</v>
      </c>
      <c r="E163" s="1706">
        <f t="shared" si="128"/>
        <v>6455981</v>
      </c>
      <c r="F163" s="308">
        <f t="shared" si="128"/>
        <v>0</v>
      </c>
      <c r="G163" s="1706">
        <f t="shared" si="128"/>
        <v>60000</v>
      </c>
      <c r="H163" s="309">
        <f t="shared" si="128"/>
        <v>0</v>
      </c>
      <c r="I163" s="1734">
        <f t="shared" si="128"/>
        <v>6479116.96</v>
      </c>
      <c r="J163" s="1231">
        <f t="shared" si="118"/>
        <v>99.434251880108306</v>
      </c>
      <c r="K163" s="1706">
        <f>+K164+K165</f>
        <v>23135.96</v>
      </c>
      <c r="L163" s="2330">
        <f t="shared" si="103"/>
        <v>38.559933333333326</v>
      </c>
      <c r="M163" s="1425">
        <f t="shared" si="110"/>
        <v>-6864.0400000000009</v>
      </c>
      <c r="N163" s="3106"/>
    </row>
    <row r="164" spans="1:14" x14ac:dyDescent="0.2">
      <c r="A164" s="3093"/>
      <c r="B164" s="279" t="s">
        <v>5</v>
      </c>
      <c r="C164" s="3100"/>
      <c r="D164" s="1701">
        <f>++E164+F164+G164+H164</f>
        <v>3065738</v>
      </c>
      <c r="E164" s="292">
        <f>40672+1896868+1068198</f>
        <v>3005738</v>
      </c>
      <c r="F164" s="293">
        <v>0</v>
      </c>
      <c r="G164" s="292">
        <v>60000</v>
      </c>
      <c r="H164" s="1127">
        <v>0</v>
      </c>
      <c r="I164" s="1730">
        <f>E164+F164+K164</f>
        <v>3028873.96</v>
      </c>
      <c r="J164" s="1291">
        <f t="shared" si="118"/>
        <v>98.797547605176959</v>
      </c>
      <c r="K164" s="292">
        <v>23135.96</v>
      </c>
      <c r="L164" s="1749">
        <f t="shared" si="103"/>
        <v>38.559933333333326</v>
      </c>
      <c r="M164" s="1424">
        <f t="shared" si="110"/>
        <v>-6864.0400000000009</v>
      </c>
      <c r="N164" s="3106"/>
    </row>
    <row r="165" spans="1:14" ht="10.5" customHeight="1" x14ac:dyDescent="0.2">
      <c r="A165" s="3093"/>
      <c r="B165" s="310" t="s">
        <v>10</v>
      </c>
      <c r="C165" s="3100"/>
      <c r="D165" s="1701">
        <f>++E165+F165+G165</f>
        <v>3450243</v>
      </c>
      <c r="E165" s="292">
        <f>1666139+1784104</f>
        <v>3450243</v>
      </c>
      <c r="F165" s="293">
        <v>0</v>
      </c>
      <c r="G165" s="293">
        <v>0</v>
      </c>
      <c r="H165" s="1127">
        <v>0</v>
      </c>
      <c r="I165" s="1730">
        <f>E165+F165+K165</f>
        <v>3450243</v>
      </c>
      <c r="J165" s="2326">
        <f t="shared" si="118"/>
        <v>100</v>
      </c>
      <c r="K165" s="280">
        <v>0</v>
      </c>
      <c r="L165" s="900">
        <v>0</v>
      </c>
      <c r="M165" s="1424">
        <f t="shared" si="110"/>
        <v>0</v>
      </c>
      <c r="N165" s="3106"/>
    </row>
    <row r="166" spans="1:14" ht="12.75" customHeight="1" thickBot="1" x14ac:dyDescent="0.25">
      <c r="A166" s="3114"/>
      <c r="B166" s="281" t="s">
        <v>13</v>
      </c>
      <c r="C166" s="3100"/>
      <c r="D166" s="282">
        <f t="shared" ref="D166:I166" si="129">+D167</f>
        <v>8555851</v>
      </c>
      <c r="E166" s="283">
        <f t="shared" si="129"/>
        <v>8555851</v>
      </c>
      <c r="F166" s="284">
        <f t="shared" si="129"/>
        <v>0</v>
      </c>
      <c r="G166" s="284">
        <f t="shared" si="129"/>
        <v>0</v>
      </c>
      <c r="H166" s="285">
        <f t="shared" si="129"/>
        <v>0</v>
      </c>
      <c r="I166" s="282">
        <f t="shared" si="129"/>
        <v>8555851</v>
      </c>
      <c r="J166" s="1231">
        <f t="shared" si="118"/>
        <v>100</v>
      </c>
      <c r="K166" s="284">
        <f>+K167</f>
        <v>0</v>
      </c>
      <c r="L166" s="1078">
        <v>0</v>
      </c>
      <c r="M166" s="1426">
        <f t="shared" si="110"/>
        <v>0</v>
      </c>
      <c r="N166" s="3120"/>
    </row>
    <row r="167" spans="1:14" x14ac:dyDescent="0.2">
      <c r="A167" s="3092"/>
      <c r="B167" s="279" t="s">
        <v>15</v>
      </c>
      <c r="C167" s="3100"/>
      <c r="D167" s="1701">
        <f>+E167+F167+G167</f>
        <v>8555851</v>
      </c>
      <c r="E167" s="1702">
        <f>53939+5427454+3074458</f>
        <v>8555851</v>
      </c>
      <c r="F167" s="293">
        <v>0</v>
      </c>
      <c r="G167" s="293">
        <v>0</v>
      </c>
      <c r="H167" s="1127">
        <v>0</v>
      </c>
      <c r="I167" s="1730">
        <f>E167+F167+K167</f>
        <v>8555851</v>
      </c>
      <c r="J167" s="1291">
        <f t="shared" si="118"/>
        <v>100</v>
      </c>
      <c r="K167" s="280">
        <v>0</v>
      </c>
      <c r="L167" s="1077">
        <v>0</v>
      </c>
      <c r="M167" s="1424">
        <f t="shared" si="110"/>
        <v>0</v>
      </c>
      <c r="N167" s="3121"/>
    </row>
    <row r="168" spans="1:14" x14ac:dyDescent="0.2">
      <c r="A168" s="3104"/>
      <c r="B168" s="236" t="s">
        <v>17</v>
      </c>
      <c r="C168" s="237"/>
      <c r="D168" s="302">
        <f>+D169+D171</f>
        <v>12006094</v>
      </c>
      <c r="E168" s="304">
        <f>+E169+E171</f>
        <v>12006094</v>
      </c>
      <c r="F168" s="303">
        <f>+F169+F171</f>
        <v>0</v>
      </c>
      <c r="G168" s="303">
        <f>+G169+G171</f>
        <v>0</v>
      </c>
      <c r="H168" s="306">
        <f>+H169</f>
        <v>0</v>
      </c>
      <c r="I168" s="302">
        <f>+I169+I171</f>
        <v>12006094</v>
      </c>
      <c r="J168" s="1181">
        <f t="shared" si="118"/>
        <v>100</v>
      </c>
      <c r="K168" s="303">
        <f>+K169+K171</f>
        <v>0</v>
      </c>
      <c r="L168" s="1075">
        <v>0</v>
      </c>
      <c r="M168" s="1185">
        <f t="shared" si="110"/>
        <v>0</v>
      </c>
      <c r="N168" s="3107"/>
    </row>
    <row r="169" spans="1:14" ht="13.5" customHeight="1" x14ac:dyDescent="0.2">
      <c r="A169" s="3104"/>
      <c r="B169" s="301" t="s">
        <v>18</v>
      </c>
      <c r="C169" s="3122" t="s">
        <v>52</v>
      </c>
      <c r="D169" s="282">
        <f>+D170</f>
        <v>3450243</v>
      </c>
      <c r="E169" s="283">
        <f>+E170</f>
        <v>3450243</v>
      </c>
      <c r="F169" s="284">
        <f>+F170</f>
        <v>0</v>
      </c>
      <c r="G169" s="284">
        <f>+G170</f>
        <v>0</v>
      </c>
      <c r="H169" s="285">
        <f>+H170</f>
        <v>0</v>
      </c>
      <c r="I169" s="282">
        <f>+I170</f>
        <v>3450243</v>
      </c>
      <c r="J169" s="1231">
        <f t="shared" si="118"/>
        <v>100</v>
      </c>
      <c r="K169" s="284">
        <f>+K170</f>
        <v>0</v>
      </c>
      <c r="L169" s="1078">
        <v>0</v>
      </c>
      <c r="M169" s="1426">
        <f t="shared" si="110"/>
        <v>0</v>
      </c>
      <c r="N169" s="3107"/>
    </row>
    <row r="170" spans="1:14" ht="13.5" customHeight="1" x14ac:dyDescent="0.2">
      <c r="A170" s="3104"/>
      <c r="B170" s="310" t="s">
        <v>10</v>
      </c>
      <c r="C170" s="3125"/>
      <c r="D170" s="1701">
        <f>+E170+F170+G170</f>
        <v>3450243</v>
      </c>
      <c r="E170" s="2144">
        <f>1666139+1784104</f>
        <v>3450243</v>
      </c>
      <c r="F170" s="300">
        <v>0</v>
      </c>
      <c r="G170" s="300">
        <v>0</v>
      </c>
      <c r="H170" s="1127">
        <v>0</v>
      </c>
      <c r="I170" s="1730">
        <f>E170+F170+K170</f>
        <v>3450243</v>
      </c>
      <c r="J170" s="1291">
        <f t="shared" si="118"/>
        <v>100</v>
      </c>
      <c r="K170" s="300">
        <v>0</v>
      </c>
      <c r="L170" s="1077">
        <v>0</v>
      </c>
      <c r="M170" s="1424">
        <f t="shared" si="110"/>
        <v>0</v>
      </c>
      <c r="N170" s="3107"/>
    </row>
    <row r="171" spans="1:14" ht="12" customHeight="1" x14ac:dyDescent="0.2">
      <c r="A171" s="3104"/>
      <c r="B171" s="281" t="s">
        <v>13</v>
      </c>
      <c r="C171" s="3125"/>
      <c r="D171" s="282">
        <f t="shared" ref="D171:I171" si="130">+D172</f>
        <v>8555851</v>
      </c>
      <c r="E171" s="283">
        <f t="shared" si="130"/>
        <v>8555851</v>
      </c>
      <c r="F171" s="284">
        <f t="shared" si="130"/>
        <v>0</v>
      </c>
      <c r="G171" s="284">
        <f t="shared" si="130"/>
        <v>0</v>
      </c>
      <c r="H171" s="285">
        <f t="shared" si="130"/>
        <v>0</v>
      </c>
      <c r="I171" s="282">
        <f t="shared" si="130"/>
        <v>8555851</v>
      </c>
      <c r="J171" s="1231">
        <f t="shared" si="118"/>
        <v>100</v>
      </c>
      <c r="K171" s="284">
        <f>+K172</f>
        <v>0</v>
      </c>
      <c r="L171" s="1078">
        <v>0</v>
      </c>
      <c r="M171" s="1426">
        <f t="shared" si="110"/>
        <v>0</v>
      </c>
      <c r="N171" s="3107"/>
    </row>
    <row r="172" spans="1:14" ht="13.5" customHeight="1" thickBot="1" x14ac:dyDescent="0.25">
      <c r="A172" s="3105"/>
      <c r="B172" s="287" t="s">
        <v>15</v>
      </c>
      <c r="C172" s="3126"/>
      <c r="D172" s="1711">
        <f>+E172+F172+G172</f>
        <v>8555851</v>
      </c>
      <c r="E172" s="1712">
        <f>3895966+4659885</f>
        <v>8555851</v>
      </c>
      <c r="F172" s="288">
        <v>0</v>
      </c>
      <c r="G172" s="288">
        <v>0</v>
      </c>
      <c r="H172" s="294">
        <v>0</v>
      </c>
      <c r="I172" s="289">
        <f>E172+F172+K172</f>
        <v>8555851</v>
      </c>
      <c r="J172" s="290">
        <f t="shared" si="118"/>
        <v>100</v>
      </c>
      <c r="K172" s="288">
        <v>0</v>
      </c>
      <c r="L172" s="1079">
        <v>0</v>
      </c>
      <c r="M172" s="1428">
        <f t="shared" si="110"/>
        <v>0</v>
      </c>
      <c r="N172" s="3124"/>
    </row>
    <row r="173" spans="1:14" ht="28.5" customHeight="1" x14ac:dyDescent="0.2">
      <c r="A173" s="3092" t="s">
        <v>51</v>
      </c>
      <c r="B173" s="2122" t="s">
        <v>54</v>
      </c>
      <c r="C173" s="2123" t="s">
        <v>193</v>
      </c>
      <c r="D173" s="278"/>
      <c r="E173" s="276"/>
      <c r="F173" s="276"/>
      <c r="G173" s="276"/>
      <c r="H173" s="277"/>
      <c r="I173" s="278"/>
      <c r="J173" s="276"/>
      <c r="K173" s="276"/>
      <c r="L173" s="305"/>
      <c r="M173" s="277"/>
      <c r="N173" s="3121" t="s">
        <v>38</v>
      </c>
    </row>
    <row r="174" spans="1:14" ht="13.5" customHeight="1" x14ac:dyDescent="0.2">
      <c r="A174" s="3093"/>
      <c r="B174" s="236" t="s">
        <v>3</v>
      </c>
      <c r="C174" s="237"/>
      <c r="D174" s="302">
        <f t="shared" ref="D174:I174" si="131">+D175+D177</f>
        <v>17251847</v>
      </c>
      <c r="E174" s="304">
        <f>+E175+E177</f>
        <v>17063527</v>
      </c>
      <c r="F174" s="304">
        <f>+F175+F177</f>
        <v>188320</v>
      </c>
      <c r="G174" s="303">
        <f t="shared" si="131"/>
        <v>0</v>
      </c>
      <c r="H174" s="306">
        <f t="shared" si="131"/>
        <v>0</v>
      </c>
      <c r="I174" s="302">
        <f t="shared" si="131"/>
        <v>17251847</v>
      </c>
      <c r="J174" s="1181">
        <f t="shared" si="118"/>
        <v>100</v>
      </c>
      <c r="K174" s="303">
        <f>+K175+K177</f>
        <v>0</v>
      </c>
      <c r="L174" s="1075">
        <v>0</v>
      </c>
      <c r="M174" s="1185">
        <f t="shared" si="110"/>
        <v>0</v>
      </c>
      <c r="N174" s="3106"/>
    </row>
    <row r="175" spans="1:14" ht="13.5" customHeight="1" x14ac:dyDescent="0.2">
      <c r="A175" s="3093"/>
      <c r="B175" s="301" t="s">
        <v>18</v>
      </c>
      <c r="C175" s="3039" t="s">
        <v>39</v>
      </c>
      <c r="D175" s="2320">
        <f t="shared" ref="D175:I175" si="132">+D176</f>
        <v>8116221</v>
      </c>
      <c r="E175" s="2321">
        <f t="shared" si="132"/>
        <v>7927901</v>
      </c>
      <c r="F175" s="2321">
        <f>+F176</f>
        <v>188320</v>
      </c>
      <c r="G175" s="2367">
        <f t="shared" si="132"/>
        <v>0</v>
      </c>
      <c r="H175" s="2368">
        <f t="shared" si="132"/>
        <v>0</v>
      </c>
      <c r="I175" s="2320">
        <f t="shared" si="132"/>
        <v>8116221</v>
      </c>
      <c r="J175" s="1231">
        <f t="shared" si="118"/>
        <v>100</v>
      </c>
      <c r="K175" s="2367">
        <f>+K176</f>
        <v>0</v>
      </c>
      <c r="L175" s="1078">
        <v>0</v>
      </c>
      <c r="M175" s="2325">
        <f t="shared" si="110"/>
        <v>0</v>
      </c>
      <c r="N175" s="3106"/>
    </row>
    <row r="176" spans="1:14" ht="13.5" customHeight="1" x14ac:dyDescent="0.2">
      <c r="A176" s="3093"/>
      <c r="B176" s="279" t="s">
        <v>5</v>
      </c>
      <c r="C176" s="3100"/>
      <c r="D176" s="1701">
        <f>++E176+F176+G176+H176</f>
        <v>8116221</v>
      </c>
      <c r="E176" s="1702">
        <f>12866+583362+7331673</f>
        <v>7927901</v>
      </c>
      <c r="F176" s="1702">
        <v>188320</v>
      </c>
      <c r="G176" s="280">
        <v>0</v>
      </c>
      <c r="H176" s="1806">
        <v>0</v>
      </c>
      <c r="I176" s="1730">
        <f>E176+F176+K176</f>
        <v>8116221</v>
      </c>
      <c r="J176" s="1291">
        <f t="shared" si="118"/>
        <v>100</v>
      </c>
      <c r="K176" s="280">
        <v>0</v>
      </c>
      <c r="L176" s="1077">
        <v>0</v>
      </c>
      <c r="M176" s="1424">
        <f t="shared" si="110"/>
        <v>0</v>
      </c>
      <c r="N176" s="3106"/>
    </row>
    <row r="177" spans="1:14" ht="13.5" customHeight="1" x14ac:dyDescent="0.2">
      <c r="A177" s="3093"/>
      <c r="B177" s="281" t="s">
        <v>13</v>
      </c>
      <c r="C177" s="3100"/>
      <c r="D177" s="282">
        <f t="shared" ref="D177:I177" si="133">+D178</f>
        <v>9135626</v>
      </c>
      <c r="E177" s="283">
        <f t="shared" si="133"/>
        <v>9135626</v>
      </c>
      <c r="F177" s="284">
        <f>+F178</f>
        <v>0</v>
      </c>
      <c r="G177" s="284">
        <f t="shared" si="133"/>
        <v>0</v>
      </c>
      <c r="H177" s="285">
        <f t="shared" si="133"/>
        <v>0</v>
      </c>
      <c r="I177" s="282">
        <f t="shared" si="133"/>
        <v>9135626</v>
      </c>
      <c r="J177" s="1231">
        <f t="shared" si="118"/>
        <v>100</v>
      </c>
      <c r="K177" s="284">
        <f>+K178</f>
        <v>0</v>
      </c>
      <c r="L177" s="1078">
        <v>0</v>
      </c>
      <c r="M177" s="1426">
        <f t="shared" si="110"/>
        <v>0</v>
      </c>
      <c r="N177" s="3106"/>
    </row>
    <row r="178" spans="1:14" ht="13.5" customHeight="1" thickBot="1" x14ac:dyDescent="0.25">
      <c r="A178" s="3114"/>
      <c r="B178" s="279" t="s">
        <v>15</v>
      </c>
      <c r="C178" s="3100"/>
      <c r="D178" s="1701">
        <f>+E178+F178+G178</f>
        <v>9135626</v>
      </c>
      <c r="E178" s="1702">
        <f>14921+626359+8494346</f>
        <v>9135626</v>
      </c>
      <c r="F178" s="280">
        <v>0</v>
      </c>
      <c r="G178" s="280">
        <v>0</v>
      </c>
      <c r="H178" s="1732">
        <v>0</v>
      </c>
      <c r="I178" s="1730">
        <f>E178+F178+K178</f>
        <v>9135626</v>
      </c>
      <c r="J178" s="1291">
        <f t="shared" si="118"/>
        <v>100</v>
      </c>
      <c r="K178" s="280">
        <v>0</v>
      </c>
      <c r="L178" s="1077">
        <v>0</v>
      </c>
      <c r="M178" s="1424">
        <f t="shared" si="110"/>
        <v>0</v>
      </c>
      <c r="N178" s="3120"/>
    </row>
    <row r="179" spans="1:14" ht="13.5" customHeight="1" x14ac:dyDescent="0.2">
      <c r="A179" s="3102"/>
      <c r="B179" s="236" t="s">
        <v>17</v>
      </c>
      <c r="C179" s="237"/>
      <c r="D179" s="302">
        <f t="shared" ref="D179:H180" si="134">+D180</f>
        <v>9135626</v>
      </c>
      <c r="E179" s="304">
        <f t="shared" si="134"/>
        <v>8245223</v>
      </c>
      <c r="F179" s="304">
        <f>+F180</f>
        <v>890403</v>
      </c>
      <c r="G179" s="303">
        <f t="shared" si="134"/>
        <v>0</v>
      </c>
      <c r="H179" s="306">
        <f t="shared" si="134"/>
        <v>0</v>
      </c>
      <c r="I179" s="302">
        <f>+I180</f>
        <v>9135626</v>
      </c>
      <c r="J179" s="1181">
        <f t="shared" si="118"/>
        <v>100</v>
      </c>
      <c r="K179" s="303">
        <f>+K180</f>
        <v>0</v>
      </c>
      <c r="L179" s="1075">
        <v>0</v>
      </c>
      <c r="M179" s="1185">
        <f t="shared" si="110"/>
        <v>0</v>
      </c>
      <c r="N179" s="3135"/>
    </row>
    <row r="180" spans="1:14" ht="12" customHeight="1" x14ac:dyDescent="0.2">
      <c r="A180" s="3104"/>
      <c r="B180" s="281" t="s">
        <v>13</v>
      </c>
      <c r="C180" s="3039" t="s">
        <v>35</v>
      </c>
      <c r="D180" s="282">
        <f t="shared" si="134"/>
        <v>9135626</v>
      </c>
      <c r="E180" s="283">
        <f t="shared" si="134"/>
        <v>8245223</v>
      </c>
      <c r="F180" s="283">
        <f>+F181</f>
        <v>890403</v>
      </c>
      <c r="G180" s="284">
        <f t="shared" si="134"/>
        <v>0</v>
      </c>
      <c r="H180" s="285">
        <f t="shared" si="134"/>
        <v>0</v>
      </c>
      <c r="I180" s="282">
        <f>+I181</f>
        <v>9135626</v>
      </c>
      <c r="J180" s="1231">
        <f t="shared" si="118"/>
        <v>100</v>
      </c>
      <c r="K180" s="284">
        <f>+K181</f>
        <v>0</v>
      </c>
      <c r="L180" s="1078">
        <v>0</v>
      </c>
      <c r="M180" s="1426">
        <f t="shared" si="110"/>
        <v>0</v>
      </c>
      <c r="N180" s="3107"/>
    </row>
    <row r="181" spans="1:14" ht="13.5" customHeight="1" thickBot="1" x14ac:dyDescent="0.25">
      <c r="A181" s="3103"/>
      <c r="B181" s="287" t="s">
        <v>15</v>
      </c>
      <c r="C181" s="3043"/>
      <c r="D181" s="1711">
        <f>++E181+F181+G181+H181</f>
        <v>9135626</v>
      </c>
      <c r="E181" s="1712">
        <v>8245223</v>
      </c>
      <c r="F181" s="1712">
        <v>890403</v>
      </c>
      <c r="G181" s="288">
        <v>0</v>
      </c>
      <c r="H181" s="1813">
        <v>0</v>
      </c>
      <c r="I181" s="289">
        <f>E181+F181+K181</f>
        <v>9135626</v>
      </c>
      <c r="J181" s="290">
        <f t="shared" si="118"/>
        <v>100</v>
      </c>
      <c r="K181" s="288">
        <v>0</v>
      </c>
      <c r="L181" s="1079">
        <v>0</v>
      </c>
      <c r="M181" s="1428">
        <f t="shared" si="110"/>
        <v>0</v>
      </c>
      <c r="N181" s="3108"/>
    </row>
    <row r="182" spans="1:14" ht="30" customHeight="1" x14ac:dyDescent="0.2">
      <c r="A182" s="3092" t="s">
        <v>53</v>
      </c>
      <c r="B182" s="2122" t="s">
        <v>56</v>
      </c>
      <c r="C182" s="2123" t="s">
        <v>193</v>
      </c>
      <c r="D182" s="278"/>
      <c r="E182" s="276"/>
      <c r="F182" s="276"/>
      <c r="G182" s="276"/>
      <c r="H182" s="277"/>
      <c r="I182" s="278"/>
      <c r="J182" s="276"/>
      <c r="K182" s="276"/>
      <c r="L182" s="305"/>
      <c r="M182" s="277"/>
      <c r="N182" s="3121" t="s">
        <v>38</v>
      </c>
    </row>
    <row r="183" spans="1:14" ht="13.5" customHeight="1" x14ac:dyDescent="0.2">
      <c r="A183" s="3093"/>
      <c r="B183" s="236" t="s">
        <v>3</v>
      </c>
      <c r="C183" s="237"/>
      <c r="D183" s="2142">
        <f t="shared" ref="D183:I183" si="135">+D184+D186</f>
        <v>13579887</v>
      </c>
      <c r="E183" s="2143">
        <f t="shared" si="135"/>
        <v>13560771</v>
      </c>
      <c r="F183" s="2143">
        <f>+F184+F186</f>
        <v>19116</v>
      </c>
      <c r="G183" s="307">
        <f t="shared" si="135"/>
        <v>0</v>
      </c>
      <c r="H183" s="2156">
        <f t="shared" si="135"/>
        <v>0</v>
      </c>
      <c r="I183" s="2142">
        <f t="shared" si="135"/>
        <v>13579887</v>
      </c>
      <c r="J183" s="1181">
        <f t="shared" si="118"/>
        <v>100</v>
      </c>
      <c r="K183" s="307">
        <f>+K184+K186</f>
        <v>0</v>
      </c>
      <c r="L183" s="1075">
        <v>0</v>
      </c>
      <c r="M183" s="2170">
        <f t="shared" si="110"/>
        <v>0</v>
      </c>
      <c r="N183" s="3106"/>
    </row>
    <row r="184" spans="1:14" ht="13.5" customHeight="1" x14ac:dyDescent="0.2">
      <c r="A184" s="3093"/>
      <c r="B184" s="301" t="s">
        <v>18</v>
      </c>
      <c r="C184" s="3039" t="s">
        <v>39</v>
      </c>
      <c r="D184" s="1734">
        <f t="shared" ref="D184:I184" si="136">+D185</f>
        <v>3676676</v>
      </c>
      <c r="E184" s="1706">
        <f t="shared" si="136"/>
        <v>3657560</v>
      </c>
      <c r="F184" s="1706">
        <f>+F185</f>
        <v>19116</v>
      </c>
      <c r="G184" s="308">
        <f t="shared" si="136"/>
        <v>0</v>
      </c>
      <c r="H184" s="309">
        <f t="shared" si="136"/>
        <v>0</v>
      </c>
      <c r="I184" s="1734">
        <f t="shared" si="136"/>
        <v>3676676</v>
      </c>
      <c r="J184" s="1231">
        <f t="shared" si="118"/>
        <v>100</v>
      </c>
      <c r="K184" s="308">
        <f>+K185</f>
        <v>0</v>
      </c>
      <c r="L184" s="1078">
        <v>0</v>
      </c>
      <c r="M184" s="1425">
        <f t="shared" si="110"/>
        <v>0</v>
      </c>
      <c r="N184" s="3106"/>
    </row>
    <row r="185" spans="1:14" ht="13.5" customHeight="1" x14ac:dyDescent="0.2">
      <c r="A185" s="3093"/>
      <c r="B185" s="279" t="s">
        <v>5</v>
      </c>
      <c r="C185" s="3100"/>
      <c r="D185" s="1701">
        <f>+E185+F185+G185+H185</f>
        <v>3676676</v>
      </c>
      <c r="E185" s="1702">
        <f>609487+1870916+1177157</f>
        <v>3657560</v>
      </c>
      <c r="F185" s="1702">
        <v>19116</v>
      </c>
      <c r="G185" s="280">
        <v>0</v>
      </c>
      <c r="H185" s="1732">
        <v>0</v>
      </c>
      <c r="I185" s="1730">
        <f>E185+F185+K185</f>
        <v>3676676</v>
      </c>
      <c r="J185" s="1291">
        <f t="shared" si="118"/>
        <v>100</v>
      </c>
      <c r="K185" s="293">
        <v>0</v>
      </c>
      <c r="L185" s="1077">
        <v>0</v>
      </c>
      <c r="M185" s="1424">
        <f t="shared" si="110"/>
        <v>0</v>
      </c>
      <c r="N185" s="3106"/>
    </row>
    <row r="186" spans="1:14" ht="13.5" customHeight="1" x14ac:dyDescent="0.2">
      <c r="A186" s="3093"/>
      <c r="B186" s="281" t="s">
        <v>13</v>
      </c>
      <c r="C186" s="3100"/>
      <c r="D186" s="282">
        <f t="shared" ref="D186:I186" si="137">+D187</f>
        <v>9903211</v>
      </c>
      <c r="E186" s="283">
        <f t="shared" si="137"/>
        <v>9903211</v>
      </c>
      <c r="F186" s="284">
        <f>+F187</f>
        <v>0</v>
      </c>
      <c r="G186" s="284">
        <f t="shared" si="137"/>
        <v>0</v>
      </c>
      <c r="H186" s="285">
        <f t="shared" si="137"/>
        <v>0</v>
      </c>
      <c r="I186" s="282">
        <f t="shared" si="137"/>
        <v>9903211</v>
      </c>
      <c r="J186" s="1231">
        <f t="shared" si="118"/>
        <v>100</v>
      </c>
      <c r="K186" s="284">
        <f>+K187</f>
        <v>0</v>
      </c>
      <c r="L186" s="1078">
        <v>0</v>
      </c>
      <c r="M186" s="1426">
        <f t="shared" si="110"/>
        <v>0</v>
      </c>
      <c r="N186" s="3106"/>
    </row>
    <row r="187" spans="1:14" ht="11.25" customHeight="1" x14ac:dyDescent="0.2">
      <c r="A187" s="3093"/>
      <c r="B187" s="279" t="s">
        <v>15</v>
      </c>
      <c r="C187" s="3100"/>
      <c r="D187" s="1701">
        <f>+E187+F187+G187</f>
        <v>9903211</v>
      </c>
      <c r="E187" s="1702">
        <f>1828462+5568896+2505853</f>
        <v>9903211</v>
      </c>
      <c r="F187" s="280">
        <v>0</v>
      </c>
      <c r="G187" s="280">
        <v>0</v>
      </c>
      <c r="H187" s="1732">
        <v>0</v>
      </c>
      <c r="I187" s="1730">
        <f>E187+F187+K187</f>
        <v>9903211</v>
      </c>
      <c r="J187" s="1291">
        <f t="shared" si="118"/>
        <v>100</v>
      </c>
      <c r="K187" s="280">
        <v>0</v>
      </c>
      <c r="L187" s="1077">
        <v>0</v>
      </c>
      <c r="M187" s="1424">
        <f t="shared" si="110"/>
        <v>0</v>
      </c>
      <c r="N187" s="3106"/>
    </row>
    <row r="188" spans="1:14" ht="13.5" customHeight="1" x14ac:dyDescent="0.2">
      <c r="A188" s="3104"/>
      <c r="B188" s="236" t="s">
        <v>17</v>
      </c>
      <c r="C188" s="237"/>
      <c r="D188" s="302">
        <f>+D189</f>
        <v>9903211</v>
      </c>
      <c r="E188" s="304">
        <f>+E189</f>
        <v>8572597</v>
      </c>
      <c r="F188" s="304">
        <f>+F189</f>
        <v>1330614</v>
      </c>
      <c r="G188" s="303">
        <f t="shared" ref="G188:H189" si="138">+G189</f>
        <v>0</v>
      </c>
      <c r="H188" s="306">
        <f t="shared" si="138"/>
        <v>0</v>
      </c>
      <c r="I188" s="302">
        <f>+I189</f>
        <v>9903211</v>
      </c>
      <c r="J188" s="1181">
        <f t="shared" si="118"/>
        <v>100</v>
      </c>
      <c r="K188" s="303">
        <f>+K189</f>
        <v>0</v>
      </c>
      <c r="L188" s="1075">
        <v>0</v>
      </c>
      <c r="M188" s="1185">
        <f t="shared" si="110"/>
        <v>0</v>
      </c>
      <c r="N188" s="3107"/>
    </row>
    <row r="189" spans="1:14" ht="12" customHeight="1" x14ac:dyDescent="0.2">
      <c r="A189" s="3104"/>
      <c r="B189" s="281" t="s">
        <v>13</v>
      </c>
      <c r="C189" s="3039" t="s">
        <v>35</v>
      </c>
      <c r="D189" s="282">
        <f>+D190</f>
        <v>9903211</v>
      </c>
      <c r="E189" s="283">
        <f t="shared" ref="E189" si="139">+E190</f>
        <v>8572597</v>
      </c>
      <c r="F189" s="283">
        <f>+F190</f>
        <v>1330614</v>
      </c>
      <c r="G189" s="284">
        <f t="shared" si="138"/>
        <v>0</v>
      </c>
      <c r="H189" s="285">
        <f t="shared" si="138"/>
        <v>0</v>
      </c>
      <c r="I189" s="282">
        <f>+I190</f>
        <v>9903211</v>
      </c>
      <c r="J189" s="1231">
        <f t="shared" si="118"/>
        <v>100</v>
      </c>
      <c r="K189" s="284">
        <f>+K190</f>
        <v>0</v>
      </c>
      <c r="L189" s="1078">
        <v>0</v>
      </c>
      <c r="M189" s="1426">
        <f t="shared" si="110"/>
        <v>0</v>
      </c>
      <c r="N189" s="3107"/>
    </row>
    <row r="190" spans="1:14" ht="13.5" customHeight="1" thickBot="1" x14ac:dyDescent="0.25">
      <c r="A190" s="3103"/>
      <c r="B190" s="287" t="s">
        <v>15</v>
      </c>
      <c r="C190" s="3043"/>
      <c r="D190" s="1711">
        <f>+E190+F190+G190+H190</f>
        <v>9903211</v>
      </c>
      <c r="E190" s="1712">
        <f>6247095+2325502</f>
        <v>8572597</v>
      </c>
      <c r="F190" s="1712">
        <v>1330614</v>
      </c>
      <c r="G190" s="288">
        <v>0</v>
      </c>
      <c r="H190" s="1813">
        <v>0</v>
      </c>
      <c r="I190" s="289">
        <f>E190+F190+K190</f>
        <v>9903211</v>
      </c>
      <c r="J190" s="290">
        <f t="shared" si="118"/>
        <v>100</v>
      </c>
      <c r="K190" s="288">
        <v>0</v>
      </c>
      <c r="L190" s="1079">
        <v>0</v>
      </c>
      <c r="M190" s="1428">
        <f t="shared" si="110"/>
        <v>0</v>
      </c>
      <c r="N190" s="3108"/>
    </row>
    <row r="191" spans="1:14" ht="27" customHeight="1" x14ac:dyDescent="0.2">
      <c r="A191" s="3092" t="s">
        <v>55</v>
      </c>
      <c r="B191" s="2122" t="s">
        <v>278</v>
      </c>
      <c r="C191" s="2123" t="s">
        <v>193</v>
      </c>
      <c r="D191" s="2369"/>
      <c r="E191" s="2370"/>
      <c r="F191" s="2370"/>
      <c r="G191" s="2370"/>
      <c r="H191" s="2371"/>
      <c r="I191" s="2369"/>
      <c r="J191" s="2370"/>
      <c r="K191" s="2370"/>
      <c r="L191" s="2372"/>
      <c r="M191" s="2371"/>
      <c r="N191" s="3121" t="s">
        <v>38</v>
      </c>
    </row>
    <row r="192" spans="1:14" x14ac:dyDescent="0.2">
      <c r="A192" s="3093"/>
      <c r="B192" s="236" t="s">
        <v>3</v>
      </c>
      <c r="C192" s="237"/>
      <c r="D192" s="302">
        <f t="shared" ref="D192:I192" si="140">+D193+D196</f>
        <v>25863067.210000001</v>
      </c>
      <c r="E192" s="304">
        <f t="shared" si="140"/>
        <v>25815047</v>
      </c>
      <c r="F192" s="304">
        <f>+F193+F196</f>
        <v>8020.21</v>
      </c>
      <c r="G192" s="304">
        <f t="shared" si="140"/>
        <v>40000</v>
      </c>
      <c r="H192" s="306">
        <f t="shared" si="140"/>
        <v>0</v>
      </c>
      <c r="I192" s="302">
        <f t="shared" si="140"/>
        <v>25823067.210000001</v>
      </c>
      <c r="J192" s="1181">
        <f t="shared" si="118"/>
        <v>99.84533930304859</v>
      </c>
      <c r="K192" s="304">
        <f>+K193+K196</f>
        <v>0</v>
      </c>
      <c r="L192" s="1740">
        <f t="shared" ref="L192:L243" si="141">K192/G192*100</f>
        <v>0</v>
      </c>
      <c r="M192" s="1185">
        <f t="shared" si="110"/>
        <v>-20000</v>
      </c>
      <c r="N192" s="3106"/>
    </row>
    <row r="193" spans="1:14" ht="13.5" customHeight="1" x14ac:dyDescent="0.2">
      <c r="A193" s="3093"/>
      <c r="B193" s="2373" t="s">
        <v>18</v>
      </c>
      <c r="C193" s="3049" t="s">
        <v>39</v>
      </c>
      <c r="D193" s="2374">
        <f t="shared" ref="D193:I193" si="142">+D194+D195</f>
        <v>11223477.210000001</v>
      </c>
      <c r="E193" s="2375">
        <f t="shared" si="142"/>
        <v>11175457</v>
      </c>
      <c r="F193" s="2375">
        <f>+F194+F195</f>
        <v>8020.21</v>
      </c>
      <c r="G193" s="2375">
        <f t="shared" si="142"/>
        <v>40000</v>
      </c>
      <c r="H193" s="2376">
        <f t="shared" si="142"/>
        <v>0</v>
      </c>
      <c r="I193" s="2374">
        <f t="shared" si="142"/>
        <v>11183477.210000001</v>
      </c>
      <c r="J193" s="2377">
        <f t="shared" si="118"/>
        <v>99.643604212388297</v>
      </c>
      <c r="K193" s="2375">
        <f>+K194+K195</f>
        <v>0</v>
      </c>
      <c r="L193" s="2378">
        <f t="shared" si="141"/>
        <v>0</v>
      </c>
      <c r="M193" s="2379">
        <f t="shared" si="110"/>
        <v>-20000</v>
      </c>
      <c r="N193" s="3106"/>
    </row>
    <row r="194" spans="1:14" ht="12.75" customHeight="1" x14ac:dyDescent="0.2">
      <c r="A194" s="3093"/>
      <c r="B194" s="279" t="s">
        <v>5</v>
      </c>
      <c r="C194" s="3100"/>
      <c r="D194" s="1701">
        <f>+E194+F194+G194+H194</f>
        <v>6256096.21</v>
      </c>
      <c r="E194" s="1702">
        <f>56178+2975893+3176005</f>
        <v>6208076</v>
      </c>
      <c r="F194" s="292">
        <v>8020.21</v>
      </c>
      <c r="G194" s="292">
        <v>40000</v>
      </c>
      <c r="H194" s="1127">
        <v>0</v>
      </c>
      <c r="I194" s="295">
        <f>E194+F194+K194</f>
        <v>6216096.21</v>
      </c>
      <c r="J194" s="1291">
        <f t="shared" si="118"/>
        <v>99.360623643606019</v>
      </c>
      <c r="K194" s="292">
        <v>0</v>
      </c>
      <c r="L194" s="1749">
        <f t="shared" si="141"/>
        <v>0</v>
      </c>
      <c r="M194" s="2175">
        <f t="shared" ref="M194:M256" si="143">+K194-G194*0.5</f>
        <v>-20000</v>
      </c>
      <c r="N194" s="3106"/>
    </row>
    <row r="195" spans="1:14" ht="13.5" customHeight="1" x14ac:dyDescent="0.2">
      <c r="A195" s="3093"/>
      <c r="B195" s="310" t="s">
        <v>10</v>
      </c>
      <c r="C195" s="3100"/>
      <c r="D195" s="1701">
        <f>++E195+F195+G195</f>
        <v>4967381</v>
      </c>
      <c r="E195" s="1702">
        <f>3643961+1323420</f>
        <v>4967381</v>
      </c>
      <c r="F195" s="293">
        <v>0</v>
      </c>
      <c r="G195" s="293">
        <v>0</v>
      </c>
      <c r="H195" s="1127">
        <v>0</v>
      </c>
      <c r="I195" s="295">
        <f>E195+F195+K195</f>
        <v>4967381</v>
      </c>
      <c r="J195" s="2326">
        <f t="shared" si="118"/>
        <v>100</v>
      </c>
      <c r="K195" s="280">
        <v>0</v>
      </c>
      <c r="L195" s="900">
        <v>0</v>
      </c>
      <c r="M195" s="2175">
        <f t="shared" si="143"/>
        <v>0</v>
      </c>
      <c r="N195" s="3106"/>
    </row>
    <row r="196" spans="1:14" ht="13.5" customHeight="1" x14ac:dyDescent="0.2">
      <c r="A196" s="3093"/>
      <c r="B196" s="281" t="s">
        <v>13</v>
      </c>
      <c r="C196" s="3100"/>
      <c r="D196" s="282">
        <f t="shared" ref="D196:I196" si="144">+D197</f>
        <v>14639590</v>
      </c>
      <c r="E196" s="283">
        <f t="shared" si="144"/>
        <v>14639590</v>
      </c>
      <c r="F196" s="284">
        <f>+F197</f>
        <v>0</v>
      </c>
      <c r="G196" s="284">
        <f t="shared" si="144"/>
        <v>0</v>
      </c>
      <c r="H196" s="285">
        <f t="shared" si="144"/>
        <v>0</v>
      </c>
      <c r="I196" s="282">
        <f t="shared" si="144"/>
        <v>14639590</v>
      </c>
      <c r="J196" s="1231">
        <f t="shared" si="118"/>
        <v>100</v>
      </c>
      <c r="K196" s="284">
        <f>+K197</f>
        <v>0</v>
      </c>
      <c r="L196" s="1078">
        <v>0</v>
      </c>
      <c r="M196" s="1426">
        <f t="shared" si="143"/>
        <v>0</v>
      </c>
      <c r="N196" s="3106"/>
    </row>
    <row r="197" spans="1:14" ht="13.5" customHeight="1" x14ac:dyDescent="0.2">
      <c r="A197" s="3093"/>
      <c r="B197" s="279" t="s">
        <v>15</v>
      </c>
      <c r="C197" s="3100"/>
      <c r="D197" s="1701">
        <f>+E197+F197+G197</f>
        <v>14639590</v>
      </c>
      <c r="E197" s="1702">
        <f>5078+8549311+6085201</f>
        <v>14639590</v>
      </c>
      <c r="F197" s="293">
        <v>0</v>
      </c>
      <c r="G197" s="293">
        <v>0</v>
      </c>
      <c r="H197" s="1127">
        <v>0</v>
      </c>
      <c r="I197" s="295">
        <f>E197+F197+K197</f>
        <v>14639590</v>
      </c>
      <c r="J197" s="1291">
        <f t="shared" si="118"/>
        <v>100</v>
      </c>
      <c r="K197" s="280">
        <v>0</v>
      </c>
      <c r="L197" s="1077">
        <v>0</v>
      </c>
      <c r="M197" s="2175">
        <f t="shared" si="143"/>
        <v>0</v>
      </c>
      <c r="N197" s="3106"/>
    </row>
    <row r="198" spans="1:14" x14ac:dyDescent="0.2">
      <c r="A198" s="3104"/>
      <c r="B198" s="236" t="s">
        <v>17</v>
      </c>
      <c r="C198" s="237"/>
      <c r="D198" s="302">
        <f t="shared" ref="D198:I198" si="145">+D199+D201</f>
        <v>19606971</v>
      </c>
      <c r="E198" s="304">
        <f t="shared" si="145"/>
        <v>17399572</v>
      </c>
      <c r="F198" s="304">
        <f>+F199+F201</f>
        <v>2207399</v>
      </c>
      <c r="G198" s="303">
        <f t="shared" si="145"/>
        <v>0</v>
      </c>
      <c r="H198" s="306">
        <f t="shared" si="145"/>
        <v>0</v>
      </c>
      <c r="I198" s="302">
        <f t="shared" si="145"/>
        <v>19606971</v>
      </c>
      <c r="J198" s="1181">
        <f t="shared" si="118"/>
        <v>100</v>
      </c>
      <c r="K198" s="303">
        <f>+K199+K201</f>
        <v>0</v>
      </c>
      <c r="L198" s="1075">
        <v>0</v>
      </c>
      <c r="M198" s="1185">
        <f t="shared" si="143"/>
        <v>0</v>
      </c>
      <c r="N198" s="3107"/>
    </row>
    <row r="199" spans="1:14" ht="13.5" customHeight="1" x14ac:dyDescent="0.2">
      <c r="A199" s="3104"/>
      <c r="B199" s="2373" t="s">
        <v>18</v>
      </c>
      <c r="C199" s="3048" t="s">
        <v>52</v>
      </c>
      <c r="D199" s="2158">
        <f t="shared" ref="D199:I199" si="146">+D200</f>
        <v>4967381</v>
      </c>
      <c r="E199" s="2159">
        <f t="shared" si="146"/>
        <v>4967381</v>
      </c>
      <c r="F199" s="2160">
        <f>+F200</f>
        <v>0</v>
      </c>
      <c r="G199" s="2160">
        <f t="shared" si="146"/>
        <v>0</v>
      </c>
      <c r="H199" s="2163">
        <f t="shared" si="146"/>
        <v>0</v>
      </c>
      <c r="I199" s="2158">
        <f t="shared" si="146"/>
        <v>4967381</v>
      </c>
      <c r="J199" s="2377">
        <f t="shared" si="118"/>
        <v>100</v>
      </c>
      <c r="K199" s="2160">
        <f>+K200</f>
        <v>0</v>
      </c>
      <c r="L199" s="2380">
        <v>0</v>
      </c>
      <c r="M199" s="2180">
        <f t="shared" si="143"/>
        <v>0</v>
      </c>
      <c r="N199" s="3107"/>
    </row>
    <row r="200" spans="1:14" ht="12.75" customHeight="1" x14ac:dyDescent="0.2">
      <c r="A200" s="3104"/>
      <c r="B200" s="310" t="s">
        <v>10</v>
      </c>
      <c r="C200" s="3048"/>
      <c r="D200" s="1701">
        <f>+E200+F200+G200</f>
        <v>4967381</v>
      </c>
      <c r="E200" s="2144">
        <f>1336670+3643961-13250</f>
        <v>4967381</v>
      </c>
      <c r="F200" s="300">
        <v>0</v>
      </c>
      <c r="G200" s="300">
        <v>0</v>
      </c>
      <c r="H200" s="2359">
        <v>0</v>
      </c>
      <c r="I200" s="295">
        <f>E200+F200+K200</f>
        <v>4967381</v>
      </c>
      <c r="J200" s="1291">
        <f t="shared" si="118"/>
        <v>100</v>
      </c>
      <c r="K200" s="300">
        <v>0</v>
      </c>
      <c r="L200" s="1077">
        <v>0</v>
      </c>
      <c r="M200" s="2175">
        <f t="shared" si="143"/>
        <v>0</v>
      </c>
      <c r="N200" s="3107"/>
    </row>
    <row r="201" spans="1:14" ht="12" customHeight="1" x14ac:dyDescent="0.2">
      <c r="A201" s="3104"/>
      <c r="B201" s="281" t="s">
        <v>13</v>
      </c>
      <c r="C201" s="3048"/>
      <c r="D201" s="282">
        <f t="shared" ref="D201:I201" si="147">+D202</f>
        <v>14639590</v>
      </c>
      <c r="E201" s="283">
        <f t="shared" si="147"/>
        <v>12432191</v>
      </c>
      <c r="F201" s="283">
        <f>+F202</f>
        <v>2207399</v>
      </c>
      <c r="G201" s="284">
        <f t="shared" si="147"/>
        <v>0</v>
      </c>
      <c r="H201" s="285">
        <f t="shared" si="147"/>
        <v>0</v>
      </c>
      <c r="I201" s="282">
        <f t="shared" si="147"/>
        <v>14639590</v>
      </c>
      <c r="J201" s="1231">
        <f t="shared" si="118"/>
        <v>100</v>
      </c>
      <c r="K201" s="284">
        <f>+K202</f>
        <v>0</v>
      </c>
      <c r="L201" s="1078">
        <v>0</v>
      </c>
      <c r="M201" s="1426">
        <f t="shared" si="143"/>
        <v>0</v>
      </c>
      <c r="N201" s="3107"/>
    </row>
    <row r="202" spans="1:14" ht="13.5" customHeight="1" thickBot="1" x14ac:dyDescent="0.25">
      <c r="A202" s="3103"/>
      <c r="B202" s="287" t="s">
        <v>15</v>
      </c>
      <c r="C202" s="3134"/>
      <c r="D202" s="1711">
        <f>+E202+F202+G202+H202</f>
        <v>14639590</v>
      </c>
      <c r="E202" s="1712">
        <f>5451106+6981085</f>
        <v>12432191</v>
      </c>
      <c r="F202" s="1712">
        <v>2207399</v>
      </c>
      <c r="G202" s="288">
        <v>0</v>
      </c>
      <c r="H202" s="1813">
        <v>0</v>
      </c>
      <c r="I202" s="2353">
        <f>E202+F202+K202</f>
        <v>14639590</v>
      </c>
      <c r="J202" s="290">
        <f t="shared" si="118"/>
        <v>100</v>
      </c>
      <c r="K202" s="288">
        <v>0</v>
      </c>
      <c r="L202" s="1079">
        <v>0</v>
      </c>
      <c r="M202" s="2193">
        <f t="shared" si="143"/>
        <v>0</v>
      </c>
      <c r="N202" s="3108"/>
    </row>
    <row r="203" spans="1:14" ht="28.5" customHeight="1" x14ac:dyDescent="0.2">
      <c r="A203" s="3092" t="s">
        <v>57</v>
      </c>
      <c r="B203" s="2122" t="s">
        <v>279</v>
      </c>
      <c r="C203" s="2123" t="s">
        <v>193</v>
      </c>
      <c r="D203" s="278"/>
      <c r="E203" s="276"/>
      <c r="F203" s="276"/>
      <c r="G203" s="276"/>
      <c r="H203" s="277"/>
      <c r="I203" s="278"/>
      <c r="J203" s="276"/>
      <c r="K203" s="276"/>
      <c r="L203" s="305"/>
      <c r="M203" s="277"/>
      <c r="N203" s="3121" t="s">
        <v>38</v>
      </c>
    </row>
    <row r="204" spans="1:14" x14ac:dyDescent="0.2">
      <c r="A204" s="3093"/>
      <c r="B204" s="236" t="s">
        <v>3</v>
      </c>
      <c r="C204" s="237"/>
      <c r="D204" s="302">
        <f t="shared" ref="D204:I204" si="148">+D205+D208</f>
        <v>26202703.34</v>
      </c>
      <c r="E204" s="304">
        <f t="shared" si="148"/>
        <v>9358171</v>
      </c>
      <c r="F204" s="304">
        <f>+F205+F208</f>
        <v>16514532.34</v>
      </c>
      <c r="G204" s="304">
        <f t="shared" si="148"/>
        <v>330000</v>
      </c>
      <c r="H204" s="306">
        <f t="shared" si="148"/>
        <v>0</v>
      </c>
      <c r="I204" s="302">
        <f t="shared" si="148"/>
        <v>26041623.34</v>
      </c>
      <c r="J204" s="1181">
        <f t="shared" si="118"/>
        <v>99.385254269722239</v>
      </c>
      <c r="K204" s="304">
        <f>+K205+K208</f>
        <v>168920</v>
      </c>
      <c r="L204" s="1740">
        <f t="shared" si="141"/>
        <v>51.187878787878795</v>
      </c>
      <c r="M204" s="1185">
        <f t="shared" si="143"/>
        <v>3920</v>
      </c>
      <c r="N204" s="3106"/>
    </row>
    <row r="205" spans="1:14" ht="13.5" customHeight="1" x14ac:dyDescent="0.2">
      <c r="A205" s="3093"/>
      <c r="B205" s="2373" t="s">
        <v>18</v>
      </c>
      <c r="C205" s="3049" t="s">
        <v>39</v>
      </c>
      <c r="D205" s="2158">
        <f t="shared" ref="D205:I205" si="149">+D206+D207</f>
        <v>7634046</v>
      </c>
      <c r="E205" s="2159">
        <f t="shared" si="149"/>
        <v>3151975</v>
      </c>
      <c r="F205" s="2159">
        <f>+F206+F207</f>
        <v>4152071</v>
      </c>
      <c r="G205" s="2159">
        <f t="shared" si="149"/>
        <v>330000</v>
      </c>
      <c r="H205" s="2163">
        <f t="shared" si="149"/>
        <v>0</v>
      </c>
      <c r="I205" s="2158">
        <f t="shared" si="149"/>
        <v>7472966</v>
      </c>
      <c r="J205" s="2377">
        <f t="shared" si="118"/>
        <v>97.889978656141182</v>
      </c>
      <c r="K205" s="2159">
        <f>+K206+K207</f>
        <v>168920</v>
      </c>
      <c r="L205" s="2378">
        <f t="shared" si="141"/>
        <v>51.187878787878795</v>
      </c>
      <c r="M205" s="2180">
        <f t="shared" si="143"/>
        <v>3920</v>
      </c>
      <c r="N205" s="3106"/>
    </row>
    <row r="206" spans="1:14" ht="12.75" customHeight="1" x14ac:dyDescent="0.2">
      <c r="A206" s="3093"/>
      <c r="B206" s="279" t="s">
        <v>5</v>
      </c>
      <c r="C206" s="3100"/>
      <c r="D206" s="1701">
        <f>+E206+F206+G206+H206</f>
        <v>6634046</v>
      </c>
      <c r="E206" s="1702">
        <f>249995+284063+1617917</f>
        <v>2151975</v>
      </c>
      <c r="F206" s="1702">
        <v>4152071</v>
      </c>
      <c r="G206" s="1702">
        <v>330000</v>
      </c>
      <c r="H206" s="1732">
        <v>0</v>
      </c>
      <c r="I206" s="295">
        <f>E206+F206+K206</f>
        <v>6472966</v>
      </c>
      <c r="J206" s="1291">
        <f t="shared" si="118"/>
        <v>97.571919157630205</v>
      </c>
      <c r="K206" s="1702">
        <v>168920</v>
      </c>
      <c r="L206" s="1749">
        <f t="shared" si="141"/>
        <v>51.187878787878795</v>
      </c>
      <c r="M206" s="2175">
        <f t="shared" si="143"/>
        <v>3920</v>
      </c>
      <c r="N206" s="3106"/>
    </row>
    <row r="207" spans="1:14" ht="11.25" customHeight="1" x14ac:dyDescent="0.2">
      <c r="A207" s="3093"/>
      <c r="B207" s="279" t="s">
        <v>59</v>
      </c>
      <c r="C207" s="3100"/>
      <c r="D207" s="1701">
        <f>+E207+F207+G207</f>
        <v>1000000</v>
      </c>
      <c r="E207" s="1702">
        <v>1000000</v>
      </c>
      <c r="F207" s="1702">
        <v>0</v>
      </c>
      <c r="G207" s="280">
        <v>0</v>
      </c>
      <c r="H207" s="1732">
        <v>0</v>
      </c>
      <c r="I207" s="295">
        <f>E207+F207+K207</f>
        <v>1000000</v>
      </c>
      <c r="J207" s="2326">
        <f t="shared" si="118"/>
        <v>100</v>
      </c>
      <c r="K207" s="280">
        <v>0</v>
      </c>
      <c r="L207" s="1077">
        <v>0</v>
      </c>
      <c r="M207" s="2175">
        <f t="shared" si="143"/>
        <v>0</v>
      </c>
      <c r="N207" s="3106"/>
    </row>
    <row r="208" spans="1:14" ht="13.5" customHeight="1" x14ac:dyDescent="0.2">
      <c r="A208" s="3093"/>
      <c r="B208" s="281" t="s">
        <v>13</v>
      </c>
      <c r="C208" s="3100"/>
      <c r="D208" s="282">
        <f t="shared" ref="D208:I208" si="150">+D209</f>
        <v>18568657.34</v>
      </c>
      <c r="E208" s="283">
        <f t="shared" si="150"/>
        <v>6206196</v>
      </c>
      <c r="F208" s="283">
        <f>+F209</f>
        <v>12362461.34</v>
      </c>
      <c r="G208" s="284">
        <f t="shared" si="150"/>
        <v>0</v>
      </c>
      <c r="H208" s="285">
        <f t="shared" si="150"/>
        <v>0</v>
      </c>
      <c r="I208" s="282">
        <f t="shared" si="150"/>
        <v>18568657.34</v>
      </c>
      <c r="J208" s="1231">
        <f t="shared" ref="J208:J271" si="151">I208/D208*100</f>
        <v>100</v>
      </c>
      <c r="K208" s="284">
        <f>+K209</f>
        <v>0</v>
      </c>
      <c r="L208" s="1077">
        <v>0</v>
      </c>
      <c r="M208" s="1426">
        <f t="shared" si="143"/>
        <v>0</v>
      </c>
      <c r="N208" s="3106"/>
    </row>
    <row r="209" spans="1:14" ht="11.25" customHeight="1" x14ac:dyDescent="0.2">
      <c r="A209" s="3093"/>
      <c r="B209" s="279" t="s">
        <v>15</v>
      </c>
      <c r="C209" s="3100"/>
      <c r="D209" s="1701">
        <f>+E209+F209+G209+H209</f>
        <v>18568657.34</v>
      </c>
      <c r="E209" s="1702">
        <f>749983+824325+4631888</f>
        <v>6206196</v>
      </c>
      <c r="F209" s="1702">
        <v>12362461.34</v>
      </c>
      <c r="G209" s="280">
        <v>0</v>
      </c>
      <c r="H209" s="1806">
        <v>0</v>
      </c>
      <c r="I209" s="295">
        <f>E209+F209+K209</f>
        <v>18568657.34</v>
      </c>
      <c r="J209" s="1291">
        <f t="shared" si="151"/>
        <v>100</v>
      </c>
      <c r="K209" s="280">
        <v>0</v>
      </c>
      <c r="L209" s="1077">
        <v>0</v>
      </c>
      <c r="M209" s="2175">
        <f t="shared" si="143"/>
        <v>0</v>
      </c>
      <c r="N209" s="3106"/>
    </row>
    <row r="210" spans="1:14" x14ac:dyDescent="0.2">
      <c r="A210" s="3104"/>
      <c r="B210" s="236" t="s">
        <v>17</v>
      </c>
      <c r="C210" s="237"/>
      <c r="D210" s="302">
        <f t="shared" ref="D210:I210" si="152">+D213+D211</f>
        <v>19568657</v>
      </c>
      <c r="E210" s="304">
        <f t="shared" ref="E210" si="153">+E213+E211</f>
        <v>3294283</v>
      </c>
      <c r="F210" s="304">
        <f>+F213+F211</f>
        <v>13243753</v>
      </c>
      <c r="G210" s="304">
        <f t="shared" si="152"/>
        <v>3030621</v>
      </c>
      <c r="H210" s="306">
        <f t="shared" si="152"/>
        <v>0</v>
      </c>
      <c r="I210" s="302">
        <f t="shared" si="152"/>
        <v>17991048</v>
      </c>
      <c r="J210" s="1181">
        <f t="shared" si="151"/>
        <v>91.93808241413808</v>
      </c>
      <c r="K210" s="304">
        <f>+K213+K211</f>
        <v>1453012</v>
      </c>
      <c r="L210" s="1740">
        <f t="shared" si="141"/>
        <v>47.944365197759794</v>
      </c>
      <c r="M210" s="1185">
        <f t="shared" si="143"/>
        <v>-62298.5</v>
      </c>
      <c r="N210" s="3107"/>
    </row>
    <row r="211" spans="1:14" ht="13.5" customHeight="1" x14ac:dyDescent="0.2">
      <c r="A211" s="3104"/>
      <c r="B211" s="2257" t="s">
        <v>18</v>
      </c>
      <c r="C211" s="3048" t="s">
        <v>52</v>
      </c>
      <c r="D211" s="2158">
        <f t="shared" ref="D211:I211" si="154">+D212</f>
        <v>1000000</v>
      </c>
      <c r="E211" s="2159">
        <f t="shared" si="154"/>
        <v>1000000</v>
      </c>
      <c r="F211" s="2160">
        <f>+F212</f>
        <v>0</v>
      </c>
      <c r="G211" s="2160">
        <f t="shared" si="154"/>
        <v>0</v>
      </c>
      <c r="H211" s="2163">
        <f t="shared" si="154"/>
        <v>0</v>
      </c>
      <c r="I211" s="2158">
        <f t="shared" si="154"/>
        <v>1000000</v>
      </c>
      <c r="J211" s="2377">
        <f t="shared" si="151"/>
        <v>100</v>
      </c>
      <c r="K211" s="2160">
        <f>+K212</f>
        <v>0</v>
      </c>
      <c r="L211" s="2380">
        <v>0</v>
      </c>
      <c r="M211" s="2180">
        <f t="shared" si="143"/>
        <v>0</v>
      </c>
      <c r="N211" s="3107"/>
    </row>
    <row r="212" spans="1:14" ht="13.5" customHeight="1" x14ac:dyDescent="0.2">
      <c r="A212" s="3104"/>
      <c r="B212" s="279" t="s">
        <v>59</v>
      </c>
      <c r="C212" s="3048"/>
      <c r="D212" s="1701">
        <f>+E212+F212+G212+H212</f>
        <v>1000000</v>
      </c>
      <c r="E212" s="1702">
        <v>1000000</v>
      </c>
      <c r="F212" s="280">
        <v>0</v>
      </c>
      <c r="G212" s="280">
        <v>0</v>
      </c>
      <c r="H212" s="1732">
        <v>0</v>
      </c>
      <c r="I212" s="295">
        <f>E212+F212+K212</f>
        <v>1000000</v>
      </c>
      <c r="J212" s="1291">
        <f t="shared" si="151"/>
        <v>100</v>
      </c>
      <c r="K212" s="280">
        <v>0</v>
      </c>
      <c r="L212" s="1077">
        <v>0</v>
      </c>
      <c r="M212" s="2175">
        <f t="shared" si="143"/>
        <v>0</v>
      </c>
      <c r="N212" s="3107"/>
    </row>
    <row r="213" spans="1:14" ht="12" customHeight="1" x14ac:dyDescent="0.2">
      <c r="A213" s="3104"/>
      <c r="B213" s="281" t="s">
        <v>13</v>
      </c>
      <c r="C213" s="3048"/>
      <c r="D213" s="282">
        <f t="shared" ref="D213:I213" si="155">+D214</f>
        <v>18568657</v>
      </c>
      <c r="E213" s="283">
        <f t="shared" si="155"/>
        <v>2294283</v>
      </c>
      <c r="F213" s="283">
        <f>+F214</f>
        <v>13243753</v>
      </c>
      <c r="G213" s="283">
        <f t="shared" si="155"/>
        <v>3030621</v>
      </c>
      <c r="H213" s="285">
        <f t="shared" si="155"/>
        <v>0</v>
      </c>
      <c r="I213" s="282">
        <f t="shared" si="155"/>
        <v>16991048</v>
      </c>
      <c r="J213" s="1231">
        <f t="shared" si="151"/>
        <v>91.503914364943029</v>
      </c>
      <c r="K213" s="283">
        <f>+K214</f>
        <v>1453012</v>
      </c>
      <c r="L213" s="2330">
        <f t="shared" si="141"/>
        <v>47.944365197759794</v>
      </c>
      <c r="M213" s="1426">
        <f t="shared" si="143"/>
        <v>-62298.5</v>
      </c>
      <c r="N213" s="3107"/>
    </row>
    <row r="214" spans="1:14" ht="13.5" customHeight="1" thickBot="1" x14ac:dyDescent="0.25">
      <c r="A214" s="3105"/>
      <c r="B214" s="2381" t="s">
        <v>15</v>
      </c>
      <c r="C214" s="3048"/>
      <c r="D214" s="1820">
        <f>+E214+F214+G214+H214</f>
        <v>18568657</v>
      </c>
      <c r="E214" s="1786">
        <v>2294283</v>
      </c>
      <c r="F214" s="1786">
        <v>13243753</v>
      </c>
      <c r="G214" s="1786">
        <v>3030621</v>
      </c>
      <c r="H214" s="1810">
        <v>0</v>
      </c>
      <c r="I214" s="2382">
        <f>E214+F214+K214</f>
        <v>16991048</v>
      </c>
      <c r="J214" s="1789">
        <f t="shared" si="151"/>
        <v>91.503914364943029</v>
      </c>
      <c r="K214" s="1786">
        <v>1453012</v>
      </c>
      <c r="L214" s="2383">
        <f t="shared" si="141"/>
        <v>47.944365197759794</v>
      </c>
      <c r="M214" s="2384">
        <f t="shared" si="143"/>
        <v>-62298.5</v>
      </c>
      <c r="N214" s="3124"/>
    </row>
    <row r="215" spans="1:14" ht="28.5" customHeight="1" x14ac:dyDescent="0.2">
      <c r="A215" s="3092" t="s">
        <v>58</v>
      </c>
      <c r="B215" s="2316" t="s">
        <v>320</v>
      </c>
      <c r="C215" s="2123" t="s">
        <v>193</v>
      </c>
      <c r="D215" s="278"/>
      <c r="E215" s="276"/>
      <c r="F215" s="276"/>
      <c r="G215" s="276"/>
      <c r="H215" s="277"/>
      <c r="I215" s="278"/>
      <c r="J215" s="276"/>
      <c r="K215" s="276"/>
      <c r="L215" s="305"/>
      <c r="M215" s="277"/>
      <c r="N215" s="3121" t="s">
        <v>38</v>
      </c>
    </row>
    <row r="216" spans="1:14" ht="12.75" customHeight="1" x14ac:dyDescent="0.2">
      <c r="A216" s="3093"/>
      <c r="B216" s="236" t="s">
        <v>3</v>
      </c>
      <c r="C216" s="237"/>
      <c r="D216" s="2142">
        <f t="shared" ref="D216:I216" si="156">+D217+D219</f>
        <v>16356550</v>
      </c>
      <c r="E216" s="2143">
        <f t="shared" si="156"/>
        <v>346651</v>
      </c>
      <c r="F216" s="2143">
        <f>+F217+F219</f>
        <v>4096693</v>
      </c>
      <c r="G216" s="2143">
        <f t="shared" si="156"/>
        <v>11913206</v>
      </c>
      <c r="H216" s="2156">
        <f t="shared" si="156"/>
        <v>0</v>
      </c>
      <c r="I216" s="2142">
        <f t="shared" si="156"/>
        <v>4733639.16</v>
      </c>
      <c r="J216" s="1181">
        <f t="shared" si="151"/>
        <v>28.940327636329176</v>
      </c>
      <c r="K216" s="2143">
        <f>+K217+K219</f>
        <v>290295.15999999997</v>
      </c>
      <c r="L216" s="1740">
        <f t="shared" si="141"/>
        <v>2.4367509468064261</v>
      </c>
      <c r="M216" s="2170">
        <f t="shared" si="143"/>
        <v>-5666307.8399999999</v>
      </c>
      <c r="N216" s="3106"/>
    </row>
    <row r="217" spans="1:14" ht="12.75" customHeight="1" x14ac:dyDescent="0.2">
      <c r="A217" s="3093"/>
      <c r="B217" s="301" t="s">
        <v>18</v>
      </c>
      <c r="C217" s="3039" t="s">
        <v>39</v>
      </c>
      <c r="D217" s="2385">
        <f t="shared" ref="D217:I217" si="157">+D218</f>
        <v>1334550</v>
      </c>
      <c r="E217" s="2386">
        <f t="shared" si="157"/>
        <v>134200</v>
      </c>
      <c r="F217" s="2386">
        <f>+F218</f>
        <v>706235</v>
      </c>
      <c r="G217" s="2386">
        <f t="shared" si="157"/>
        <v>494115</v>
      </c>
      <c r="H217" s="2387">
        <f t="shared" si="157"/>
        <v>0</v>
      </c>
      <c r="I217" s="2385">
        <f t="shared" si="157"/>
        <v>840435</v>
      </c>
      <c r="J217" s="1231">
        <f t="shared" si="151"/>
        <v>62.975160166348211</v>
      </c>
      <c r="K217" s="2386">
        <f>+K218</f>
        <v>0</v>
      </c>
      <c r="L217" s="2330">
        <f t="shared" si="141"/>
        <v>0</v>
      </c>
      <c r="M217" s="2388">
        <f t="shared" si="143"/>
        <v>-247057.5</v>
      </c>
      <c r="N217" s="3106"/>
    </row>
    <row r="218" spans="1:14" ht="12.75" customHeight="1" x14ac:dyDescent="0.2">
      <c r="A218" s="3093"/>
      <c r="B218" s="279" t="s">
        <v>5</v>
      </c>
      <c r="C218" s="3100"/>
      <c r="D218" s="1701">
        <f>++E218+F218+G218+H218</f>
        <v>1334550</v>
      </c>
      <c r="E218" s="292">
        <f>122000+12200</f>
        <v>134200</v>
      </c>
      <c r="F218" s="292">
        <v>706235</v>
      </c>
      <c r="G218" s="292">
        <v>494115</v>
      </c>
      <c r="H218" s="2389">
        <v>0</v>
      </c>
      <c r="I218" s="295">
        <f>E218+F218+K218</f>
        <v>840435</v>
      </c>
      <c r="J218" s="1291">
        <f t="shared" si="151"/>
        <v>62.975160166348211</v>
      </c>
      <c r="K218" s="1702">
        <v>0</v>
      </c>
      <c r="L218" s="1749">
        <f t="shared" si="141"/>
        <v>0</v>
      </c>
      <c r="M218" s="2175">
        <f t="shared" si="143"/>
        <v>-247057.5</v>
      </c>
      <c r="N218" s="3106"/>
    </row>
    <row r="219" spans="1:14" ht="12.75" customHeight="1" x14ac:dyDescent="0.2">
      <c r="A219" s="3093"/>
      <c r="B219" s="281" t="s">
        <v>13</v>
      </c>
      <c r="C219" s="3100"/>
      <c r="D219" s="282">
        <f t="shared" ref="D219:I219" si="158">+D220</f>
        <v>15022000</v>
      </c>
      <c r="E219" s="283">
        <f t="shared" si="158"/>
        <v>212451</v>
      </c>
      <c r="F219" s="283">
        <f>+F220</f>
        <v>3390458</v>
      </c>
      <c r="G219" s="283">
        <f t="shared" si="158"/>
        <v>11419091</v>
      </c>
      <c r="H219" s="285">
        <f t="shared" si="158"/>
        <v>0</v>
      </c>
      <c r="I219" s="282">
        <f t="shared" si="158"/>
        <v>3893204.16</v>
      </c>
      <c r="J219" s="1231">
        <f t="shared" si="151"/>
        <v>25.916683264545338</v>
      </c>
      <c r="K219" s="283">
        <f>+K220</f>
        <v>290295.15999999997</v>
      </c>
      <c r="L219" s="2330">
        <f t="shared" si="141"/>
        <v>2.5421914931757699</v>
      </c>
      <c r="M219" s="1426">
        <f t="shared" si="143"/>
        <v>-5419250.3399999999</v>
      </c>
      <c r="N219" s="3106"/>
    </row>
    <row r="220" spans="1:14" ht="12.75" customHeight="1" x14ac:dyDescent="0.2">
      <c r="A220" s="3093"/>
      <c r="B220" s="279" t="s">
        <v>15</v>
      </c>
      <c r="C220" s="3100"/>
      <c r="D220" s="1701">
        <f>+E220+F220+G220+H220</f>
        <v>15022000</v>
      </c>
      <c r="E220" s="292">
        <v>212451</v>
      </c>
      <c r="F220" s="292">
        <v>3390458</v>
      </c>
      <c r="G220" s="292">
        <v>11419091</v>
      </c>
      <c r="H220" s="2389">
        <v>0</v>
      </c>
      <c r="I220" s="295">
        <f>E220+F220+K220</f>
        <v>3893204.16</v>
      </c>
      <c r="J220" s="1291">
        <f t="shared" si="151"/>
        <v>25.916683264545338</v>
      </c>
      <c r="K220" s="1702">
        <v>290295.15999999997</v>
      </c>
      <c r="L220" s="1749">
        <f t="shared" si="141"/>
        <v>2.5421914931757699</v>
      </c>
      <c r="M220" s="2175">
        <f t="shared" si="143"/>
        <v>-5419250.3399999999</v>
      </c>
      <c r="N220" s="3106"/>
    </row>
    <row r="221" spans="1:14" s="291" customFormat="1" ht="12.75" customHeight="1" x14ac:dyDescent="0.2">
      <c r="A221" s="3104"/>
      <c r="B221" s="236" t="s">
        <v>17</v>
      </c>
      <c r="C221" s="237"/>
      <c r="D221" s="302">
        <f t="shared" ref="D221:H222" si="159">+D222</f>
        <v>15022000</v>
      </c>
      <c r="E221" s="303">
        <f t="shared" si="159"/>
        <v>0</v>
      </c>
      <c r="F221" s="304">
        <f>+F222</f>
        <v>2910028</v>
      </c>
      <c r="G221" s="304">
        <f t="shared" si="159"/>
        <v>12111972</v>
      </c>
      <c r="H221" s="306">
        <f t="shared" si="159"/>
        <v>0</v>
      </c>
      <c r="I221" s="302">
        <f>+I222</f>
        <v>3532130</v>
      </c>
      <c r="J221" s="1181">
        <f t="shared" si="151"/>
        <v>23.513047530288912</v>
      </c>
      <c r="K221" s="304">
        <f>+K222</f>
        <v>622102</v>
      </c>
      <c r="L221" s="1740">
        <f t="shared" si="141"/>
        <v>5.1362569200126948</v>
      </c>
      <c r="M221" s="1185">
        <f t="shared" si="143"/>
        <v>-5433884</v>
      </c>
      <c r="N221" s="3107"/>
    </row>
    <row r="222" spans="1:14" s="311" customFormat="1" ht="12.75" customHeight="1" x14ac:dyDescent="0.2">
      <c r="A222" s="3104"/>
      <c r="B222" s="281" t="s">
        <v>13</v>
      </c>
      <c r="C222" s="3039" t="s">
        <v>35</v>
      </c>
      <c r="D222" s="296">
        <f t="shared" si="159"/>
        <v>15022000</v>
      </c>
      <c r="E222" s="299">
        <f t="shared" si="159"/>
        <v>0</v>
      </c>
      <c r="F222" s="1697">
        <f>+F223</f>
        <v>2910028</v>
      </c>
      <c r="G222" s="1697">
        <f t="shared" si="159"/>
        <v>12111972</v>
      </c>
      <c r="H222" s="1723">
        <f t="shared" si="159"/>
        <v>0</v>
      </c>
      <c r="I222" s="296">
        <f>+I223</f>
        <v>3532130</v>
      </c>
      <c r="J222" s="1231">
        <f t="shared" si="151"/>
        <v>23.513047530288912</v>
      </c>
      <c r="K222" s="297">
        <f>+K223</f>
        <v>622102</v>
      </c>
      <c r="L222" s="2330">
        <f t="shared" si="141"/>
        <v>5.1362569200126948</v>
      </c>
      <c r="M222" s="1423">
        <f t="shared" si="143"/>
        <v>-5433884</v>
      </c>
      <c r="N222" s="3107"/>
    </row>
    <row r="223" spans="1:14" s="291" customFormat="1" ht="12.75" customHeight="1" thickBot="1" x14ac:dyDescent="0.25">
      <c r="A223" s="3103"/>
      <c r="B223" s="298" t="s">
        <v>15</v>
      </c>
      <c r="C223" s="3043"/>
      <c r="D223" s="1711">
        <f>+E223+F223+G223+H223</f>
        <v>15022000</v>
      </c>
      <c r="E223" s="288">
        <v>0</v>
      </c>
      <c r="F223" s="2351">
        <v>2910028</v>
      </c>
      <c r="G223" s="2351">
        <v>12111972</v>
      </c>
      <c r="H223" s="2352">
        <v>0</v>
      </c>
      <c r="I223" s="2353">
        <f>E223+F223+K223</f>
        <v>3532130</v>
      </c>
      <c r="J223" s="290">
        <f t="shared" si="151"/>
        <v>23.513047530288912</v>
      </c>
      <c r="K223" s="2351">
        <v>622102</v>
      </c>
      <c r="L223" s="1162">
        <f t="shared" si="141"/>
        <v>5.1362569200126948</v>
      </c>
      <c r="M223" s="2193">
        <f t="shared" si="143"/>
        <v>-5433884</v>
      </c>
      <c r="N223" s="3108"/>
    </row>
    <row r="224" spans="1:14" ht="28.5" customHeight="1" x14ac:dyDescent="0.2">
      <c r="A224" s="3092" t="s">
        <v>60</v>
      </c>
      <c r="B224" s="2316" t="s">
        <v>280</v>
      </c>
      <c r="C224" s="2123" t="s">
        <v>193</v>
      </c>
      <c r="D224" s="278"/>
      <c r="E224" s="276"/>
      <c r="F224" s="276"/>
      <c r="G224" s="276"/>
      <c r="H224" s="277"/>
      <c r="I224" s="278"/>
      <c r="J224" s="276"/>
      <c r="K224" s="276"/>
      <c r="L224" s="305"/>
      <c r="M224" s="277"/>
      <c r="N224" s="3121" t="s">
        <v>38</v>
      </c>
    </row>
    <row r="225" spans="1:14" ht="12.75" customHeight="1" x14ac:dyDescent="0.2">
      <c r="A225" s="3093"/>
      <c r="B225" s="312" t="s">
        <v>3</v>
      </c>
      <c r="C225" s="237"/>
      <c r="D225" s="302">
        <f t="shared" ref="D225:I225" si="160">+D226+D229</f>
        <v>10170615</v>
      </c>
      <c r="E225" s="304">
        <f t="shared" si="160"/>
        <v>9170615</v>
      </c>
      <c r="F225" s="303">
        <f t="shared" si="160"/>
        <v>0</v>
      </c>
      <c r="G225" s="304">
        <f t="shared" si="160"/>
        <v>1000000</v>
      </c>
      <c r="H225" s="306">
        <f t="shared" si="160"/>
        <v>0</v>
      </c>
      <c r="I225" s="302">
        <f t="shared" si="160"/>
        <v>10137325</v>
      </c>
      <c r="J225" s="1181">
        <f t="shared" si="151"/>
        <v>99.672684493513913</v>
      </c>
      <c r="K225" s="304">
        <f>+K226+K229</f>
        <v>966710</v>
      </c>
      <c r="L225" s="1740">
        <f t="shared" si="141"/>
        <v>96.670999999999992</v>
      </c>
      <c r="M225" s="1185">
        <f t="shared" si="143"/>
        <v>466710</v>
      </c>
      <c r="N225" s="3106"/>
    </row>
    <row r="226" spans="1:14" ht="12.75" customHeight="1" x14ac:dyDescent="0.2">
      <c r="A226" s="3093"/>
      <c r="B226" s="2157" t="s">
        <v>18</v>
      </c>
      <c r="C226" s="3049" t="s">
        <v>39</v>
      </c>
      <c r="D226" s="2374">
        <f>+D227+D228</f>
        <v>3936991</v>
      </c>
      <c r="E226" s="2375">
        <f>+E227+E228</f>
        <v>2936991</v>
      </c>
      <c r="F226" s="2390">
        <f>+F227+F228</f>
        <v>0</v>
      </c>
      <c r="G226" s="2375">
        <f>+G227+G228</f>
        <v>1000000</v>
      </c>
      <c r="H226" s="2376">
        <f>+H227</f>
        <v>0</v>
      </c>
      <c r="I226" s="2374">
        <f>+I227+I228</f>
        <v>3903701</v>
      </c>
      <c r="J226" s="2377">
        <f t="shared" si="151"/>
        <v>99.154430375888595</v>
      </c>
      <c r="K226" s="2375">
        <f>+K227+K228</f>
        <v>966710</v>
      </c>
      <c r="L226" s="2378">
        <f t="shared" si="141"/>
        <v>96.670999999999992</v>
      </c>
      <c r="M226" s="2379">
        <f t="shared" si="143"/>
        <v>466710</v>
      </c>
      <c r="N226" s="3106"/>
    </row>
    <row r="227" spans="1:14" ht="12.75" customHeight="1" x14ac:dyDescent="0.2">
      <c r="A227" s="3093"/>
      <c r="B227" s="279" t="s">
        <v>5</v>
      </c>
      <c r="C227" s="3100"/>
      <c r="D227" s="1701">
        <f>++E227+F227+G227</f>
        <v>3114543</v>
      </c>
      <c r="E227" s="1702">
        <f>43962+910061+1160520</f>
        <v>2114543</v>
      </c>
      <c r="F227" s="293">
        <v>0</v>
      </c>
      <c r="G227" s="292">
        <v>1000000</v>
      </c>
      <c r="H227" s="1127">
        <v>0</v>
      </c>
      <c r="I227" s="295">
        <f>E227+F227+K227</f>
        <v>3081253</v>
      </c>
      <c r="J227" s="1291">
        <f t="shared" si="151"/>
        <v>98.931143349120561</v>
      </c>
      <c r="K227" s="292">
        <v>966710</v>
      </c>
      <c r="L227" s="1749">
        <f t="shared" si="141"/>
        <v>96.670999999999992</v>
      </c>
      <c r="M227" s="2175">
        <f t="shared" si="143"/>
        <v>466710</v>
      </c>
      <c r="N227" s="3106"/>
    </row>
    <row r="228" spans="1:14" ht="12.75" customHeight="1" x14ac:dyDescent="0.2">
      <c r="A228" s="3093"/>
      <c r="B228" s="310" t="s">
        <v>10</v>
      </c>
      <c r="C228" s="3100"/>
      <c r="D228" s="1701">
        <f>++E228+F228+G228</f>
        <v>822448</v>
      </c>
      <c r="E228" s="292">
        <v>822448</v>
      </c>
      <c r="F228" s="293">
        <v>0</v>
      </c>
      <c r="G228" s="293">
        <v>0</v>
      </c>
      <c r="H228" s="1127">
        <v>0</v>
      </c>
      <c r="I228" s="295">
        <f>E228+F228+K228</f>
        <v>822448</v>
      </c>
      <c r="J228" s="2326">
        <f t="shared" si="151"/>
        <v>100</v>
      </c>
      <c r="K228" s="280">
        <v>0</v>
      </c>
      <c r="L228" s="900">
        <v>0</v>
      </c>
      <c r="M228" s="2175">
        <f t="shared" si="143"/>
        <v>0</v>
      </c>
      <c r="N228" s="3106"/>
    </row>
    <row r="229" spans="1:14" ht="12.75" customHeight="1" x14ac:dyDescent="0.2">
      <c r="A229" s="3093"/>
      <c r="B229" s="2004" t="s">
        <v>13</v>
      </c>
      <c r="C229" s="3100"/>
      <c r="D229" s="282">
        <f t="shared" ref="D229:I229" si="161">+D230</f>
        <v>6233624</v>
      </c>
      <c r="E229" s="283">
        <f t="shared" si="161"/>
        <v>6233624</v>
      </c>
      <c r="F229" s="284">
        <f t="shared" si="161"/>
        <v>0</v>
      </c>
      <c r="G229" s="284">
        <f t="shared" si="161"/>
        <v>0</v>
      </c>
      <c r="H229" s="285">
        <f t="shared" si="161"/>
        <v>0</v>
      </c>
      <c r="I229" s="282">
        <f t="shared" si="161"/>
        <v>6233624</v>
      </c>
      <c r="J229" s="1231">
        <f t="shared" si="151"/>
        <v>100</v>
      </c>
      <c r="K229" s="284">
        <f>+K230</f>
        <v>0</v>
      </c>
      <c r="L229" s="1078">
        <v>0</v>
      </c>
      <c r="M229" s="1426">
        <f t="shared" si="143"/>
        <v>0</v>
      </c>
      <c r="N229" s="3106"/>
    </row>
    <row r="230" spans="1:14" ht="12.75" customHeight="1" x14ac:dyDescent="0.2">
      <c r="A230" s="3093"/>
      <c r="B230" s="279" t="s">
        <v>15</v>
      </c>
      <c r="C230" s="3100"/>
      <c r="D230" s="1701">
        <f>+E230+F230+G230</f>
        <v>6233624</v>
      </c>
      <c r="E230" s="1702">
        <f>131887+2682842+3418895</f>
        <v>6233624</v>
      </c>
      <c r="F230" s="293">
        <v>0</v>
      </c>
      <c r="G230" s="293">
        <v>0</v>
      </c>
      <c r="H230" s="1127">
        <v>0</v>
      </c>
      <c r="I230" s="295">
        <f>E230+F230+K230</f>
        <v>6233624</v>
      </c>
      <c r="J230" s="1291">
        <f t="shared" si="151"/>
        <v>100</v>
      </c>
      <c r="K230" s="280">
        <v>0</v>
      </c>
      <c r="L230" s="1077">
        <v>0</v>
      </c>
      <c r="M230" s="2175">
        <f t="shared" si="143"/>
        <v>0</v>
      </c>
      <c r="N230" s="3106"/>
    </row>
    <row r="231" spans="1:14" s="291" customFormat="1" ht="12.75" customHeight="1" x14ac:dyDescent="0.2">
      <c r="A231" s="3104"/>
      <c r="B231" s="312" t="s">
        <v>17</v>
      </c>
      <c r="C231" s="237"/>
      <c r="D231" s="1179">
        <f t="shared" ref="D231:I231" si="162">+D234+D232</f>
        <v>7056072</v>
      </c>
      <c r="E231" s="1180">
        <f t="shared" ref="E231" si="163">+E234+E232</f>
        <v>6440789</v>
      </c>
      <c r="F231" s="1180">
        <f t="shared" si="162"/>
        <v>615283</v>
      </c>
      <c r="G231" s="1075">
        <f t="shared" si="162"/>
        <v>0</v>
      </c>
      <c r="H231" s="306">
        <f t="shared" si="162"/>
        <v>0</v>
      </c>
      <c r="I231" s="1179">
        <f t="shared" si="162"/>
        <v>7056072</v>
      </c>
      <c r="J231" s="1181">
        <f t="shared" si="151"/>
        <v>100</v>
      </c>
      <c r="K231" s="1075">
        <f>+K234+K232</f>
        <v>0</v>
      </c>
      <c r="L231" s="1075">
        <v>0</v>
      </c>
      <c r="M231" s="1185">
        <f t="shared" si="143"/>
        <v>0</v>
      </c>
      <c r="N231" s="3107"/>
    </row>
    <row r="232" spans="1:14" s="291" customFormat="1" ht="12.75" customHeight="1" x14ac:dyDescent="0.2">
      <c r="A232" s="3104"/>
      <c r="B232" s="2157" t="s">
        <v>18</v>
      </c>
      <c r="C232" s="3048" t="s">
        <v>52</v>
      </c>
      <c r="D232" s="2158">
        <f>+D233</f>
        <v>822448</v>
      </c>
      <c r="E232" s="2159">
        <f>+E233</f>
        <v>822448</v>
      </c>
      <c r="F232" s="2160">
        <f>+F233</f>
        <v>0</v>
      </c>
      <c r="G232" s="2160">
        <v>0</v>
      </c>
      <c r="H232" s="2163">
        <f>+H233</f>
        <v>0</v>
      </c>
      <c r="I232" s="2158">
        <f>+I233</f>
        <v>822448</v>
      </c>
      <c r="J232" s="2377">
        <f t="shared" si="151"/>
        <v>100</v>
      </c>
      <c r="K232" s="2391">
        <f>+K233</f>
        <v>0</v>
      </c>
      <c r="L232" s="2380">
        <v>0</v>
      </c>
      <c r="M232" s="2180">
        <f t="shared" si="143"/>
        <v>0</v>
      </c>
      <c r="N232" s="3107"/>
    </row>
    <row r="233" spans="1:14" s="291" customFormat="1" ht="12.75" customHeight="1" x14ac:dyDescent="0.2">
      <c r="A233" s="3104"/>
      <c r="B233" s="310" t="s">
        <v>10</v>
      </c>
      <c r="C233" s="3048"/>
      <c r="D233" s="1701">
        <f>++E233+F233+G233</f>
        <v>822448</v>
      </c>
      <c r="E233" s="2392">
        <v>822448</v>
      </c>
      <c r="F233" s="2393">
        <v>0</v>
      </c>
      <c r="G233" s="2393">
        <v>0</v>
      </c>
      <c r="H233" s="2394">
        <v>0</v>
      </c>
      <c r="I233" s="295">
        <f>E233+F233+K233</f>
        <v>822448</v>
      </c>
      <c r="J233" s="1291">
        <f t="shared" si="151"/>
        <v>100</v>
      </c>
      <c r="K233" s="2393">
        <v>0</v>
      </c>
      <c r="L233" s="1077">
        <v>0</v>
      </c>
      <c r="M233" s="2175">
        <f t="shared" si="143"/>
        <v>0</v>
      </c>
      <c r="N233" s="3107"/>
    </row>
    <row r="234" spans="1:14" s="311" customFormat="1" ht="12.75" customHeight="1" x14ac:dyDescent="0.2">
      <c r="A234" s="3104"/>
      <c r="B234" s="2004" t="s">
        <v>13</v>
      </c>
      <c r="C234" s="3048"/>
      <c r="D234" s="2320">
        <f t="shared" ref="D234:H234" si="164">D235</f>
        <v>6233624</v>
      </c>
      <c r="E234" s="297">
        <f t="shared" si="164"/>
        <v>5618341</v>
      </c>
      <c r="F234" s="297">
        <f t="shared" si="164"/>
        <v>615283</v>
      </c>
      <c r="G234" s="299">
        <f t="shared" si="164"/>
        <v>0</v>
      </c>
      <c r="H234" s="1723">
        <f t="shared" si="164"/>
        <v>0</v>
      </c>
      <c r="I234" s="295">
        <f>+I235</f>
        <v>6233624</v>
      </c>
      <c r="J234" s="1231">
        <f t="shared" si="151"/>
        <v>100</v>
      </c>
      <c r="K234" s="1752">
        <f>+K235</f>
        <v>0</v>
      </c>
      <c r="L234" s="1078">
        <v>0</v>
      </c>
      <c r="M234" s="2175">
        <f t="shared" si="143"/>
        <v>0</v>
      </c>
      <c r="N234" s="3107"/>
    </row>
    <row r="235" spans="1:14" s="291" customFormat="1" ht="12.75" customHeight="1" thickBot="1" x14ac:dyDescent="0.25">
      <c r="A235" s="3103"/>
      <c r="B235" s="298" t="s">
        <v>15</v>
      </c>
      <c r="C235" s="3134"/>
      <c r="D235" s="1711">
        <f>+E235+F235+G235+H235</f>
        <v>6233624</v>
      </c>
      <c r="E235" s="2351">
        <f>2714556+2903785</f>
        <v>5618341</v>
      </c>
      <c r="F235" s="2351">
        <v>615283</v>
      </c>
      <c r="G235" s="2395">
        <v>0</v>
      </c>
      <c r="H235" s="2396">
        <v>0</v>
      </c>
      <c r="I235" s="2353">
        <f>E235+F235+K235</f>
        <v>6233624</v>
      </c>
      <c r="J235" s="290">
        <f t="shared" si="151"/>
        <v>100</v>
      </c>
      <c r="K235" s="288">
        <v>0</v>
      </c>
      <c r="L235" s="1079">
        <v>0</v>
      </c>
      <c r="M235" s="2193">
        <f t="shared" si="143"/>
        <v>0</v>
      </c>
      <c r="N235" s="3108"/>
    </row>
    <row r="236" spans="1:14" ht="27" customHeight="1" x14ac:dyDescent="0.2">
      <c r="A236" s="3118" t="s">
        <v>61</v>
      </c>
      <c r="B236" s="2397" t="s">
        <v>63</v>
      </c>
      <c r="C236" s="2150" t="s">
        <v>193</v>
      </c>
      <c r="D236" s="2151"/>
      <c r="E236" s="2152"/>
      <c r="F236" s="2152"/>
      <c r="G236" s="2152"/>
      <c r="H236" s="2154"/>
      <c r="I236" s="2151"/>
      <c r="J236" s="2152"/>
      <c r="K236" s="2152"/>
      <c r="L236" s="2153"/>
      <c r="M236" s="2154"/>
      <c r="N236" s="3119" t="s">
        <v>38</v>
      </c>
    </row>
    <row r="237" spans="1:14" ht="13.5" customHeight="1" x14ac:dyDescent="0.2">
      <c r="A237" s="3093"/>
      <c r="B237" s="236" t="s">
        <v>3</v>
      </c>
      <c r="C237" s="237"/>
      <c r="D237" s="2142">
        <f t="shared" ref="D237:I237" si="165">+D238+D240</f>
        <v>20700000</v>
      </c>
      <c r="E237" s="2143">
        <f t="shared" ref="E237" si="166">+E238+E240</f>
        <v>94400</v>
      </c>
      <c r="F237" s="2143">
        <f>+F238+F240</f>
        <v>272752</v>
      </c>
      <c r="G237" s="2143">
        <f t="shared" si="165"/>
        <v>20332848</v>
      </c>
      <c r="H237" s="2170">
        <f t="shared" si="165"/>
        <v>0</v>
      </c>
      <c r="I237" s="2142">
        <f t="shared" si="165"/>
        <v>1704753.96</v>
      </c>
      <c r="J237" s="2334">
        <f t="shared" si="151"/>
        <v>8.2355263768115936</v>
      </c>
      <c r="K237" s="2143">
        <f>+K238+K240</f>
        <v>1337601.96</v>
      </c>
      <c r="L237" s="2335">
        <f t="shared" si="141"/>
        <v>6.5785273169798932</v>
      </c>
      <c r="M237" s="2170">
        <f t="shared" si="143"/>
        <v>-8828822.0399999991</v>
      </c>
      <c r="N237" s="3106"/>
    </row>
    <row r="238" spans="1:14" ht="12.75" customHeight="1" x14ac:dyDescent="0.2">
      <c r="A238" s="3093"/>
      <c r="B238" s="301" t="s">
        <v>18</v>
      </c>
      <c r="C238" s="3039" t="s">
        <v>39</v>
      </c>
      <c r="D238" s="1734">
        <f t="shared" ref="D238:I238" si="167">+D239</f>
        <v>7275000</v>
      </c>
      <c r="E238" s="1706">
        <f t="shared" si="167"/>
        <v>32277</v>
      </c>
      <c r="F238" s="1706">
        <f>+F239</f>
        <v>93257</v>
      </c>
      <c r="G238" s="1706">
        <f t="shared" si="167"/>
        <v>7149466</v>
      </c>
      <c r="H238" s="1425">
        <f t="shared" si="167"/>
        <v>0</v>
      </c>
      <c r="I238" s="1734">
        <f t="shared" si="167"/>
        <v>584899.43999999994</v>
      </c>
      <c r="J238" s="1256">
        <f t="shared" si="151"/>
        <v>8.0398548453608232</v>
      </c>
      <c r="K238" s="1706">
        <f>+K239</f>
        <v>459365.44</v>
      </c>
      <c r="L238" s="1742">
        <f t="shared" si="141"/>
        <v>6.4251713344744914</v>
      </c>
      <c r="M238" s="1425">
        <f t="shared" si="143"/>
        <v>-3115367.56</v>
      </c>
      <c r="N238" s="3106"/>
    </row>
    <row r="239" spans="1:14" ht="12.75" customHeight="1" x14ac:dyDescent="0.2">
      <c r="A239" s="3093"/>
      <c r="B239" s="2398" t="s">
        <v>5</v>
      </c>
      <c r="C239" s="3100"/>
      <c r="D239" s="1701">
        <f>++E239+F239+G239+H239</f>
        <v>7275000</v>
      </c>
      <c r="E239" s="292">
        <v>32277</v>
      </c>
      <c r="F239" s="292">
        <v>93257</v>
      </c>
      <c r="G239" s="292">
        <v>7149466</v>
      </c>
      <c r="H239" s="2399">
        <v>0</v>
      </c>
      <c r="I239" s="295">
        <f>E239+F239+K239</f>
        <v>584899.43999999994</v>
      </c>
      <c r="J239" s="2326">
        <f t="shared" si="151"/>
        <v>8.0398548453608232</v>
      </c>
      <c r="K239" s="1702">
        <v>459365.44</v>
      </c>
      <c r="L239" s="2339">
        <f t="shared" si="141"/>
        <v>6.4251713344744914</v>
      </c>
      <c r="M239" s="2175">
        <f t="shared" si="143"/>
        <v>-3115367.56</v>
      </c>
      <c r="N239" s="3106"/>
    </row>
    <row r="240" spans="1:14" ht="12.75" customHeight="1" x14ac:dyDescent="0.2">
      <c r="A240" s="3093"/>
      <c r="B240" s="281" t="s">
        <v>13</v>
      </c>
      <c r="C240" s="3100"/>
      <c r="D240" s="282">
        <f t="shared" ref="D240:I240" si="168">+D241</f>
        <v>13425000</v>
      </c>
      <c r="E240" s="283">
        <f t="shared" si="168"/>
        <v>62123</v>
      </c>
      <c r="F240" s="283">
        <f>+F241</f>
        <v>179495</v>
      </c>
      <c r="G240" s="283">
        <f t="shared" si="168"/>
        <v>13183382</v>
      </c>
      <c r="H240" s="1426">
        <f t="shared" si="168"/>
        <v>0</v>
      </c>
      <c r="I240" s="282">
        <f t="shared" si="168"/>
        <v>1119854.52</v>
      </c>
      <c r="J240" s="1231">
        <f t="shared" si="151"/>
        <v>8.3415606703910612</v>
      </c>
      <c r="K240" s="283">
        <f>+K241</f>
        <v>878236.52</v>
      </c>
      <c r="L240" s="2330">
        <f t="shared" si="141"/>
        <v>6.6616936382485168</v>
      </c>
      <c r="M240" s="1426">
        <f t="shared" si="143"/>
        <v>-5713454.4800000004</v>
      </c>
      <c r="N240" s="3106"/>
    </row>
    <row r="241" spans="1:14" ht="12.75" customHeight="1" x14ac:dyDescent="0.2">
      <c r="A241" s="3093"/>
      <c r="B241" s="2398" t="s">
        <v>15</v>
      </c>
      <c r="C241" s="3100"/>
      <c r="D241" s="1701">
        <f>++E241+F241+G241+H241</f>
        <v>13425000</v>
      </c>
      <c r="E241" s="292">
        <v>62123</v>
      </c>
      <c r="F241" s="292">
        <v>179495</v>
      </c>
      <c r="G241" s="292">
        <v>13183382</v>
      </c>
      <c r="H241" s="2175">
        <v>0</v>
      </c>
      <c r="I241" s="295">
        <f>E241+F241+K241</f>
        <v>1119854.52</v>
      </c>
      <c r="J241" s="2326">
        <f t="shared" si="151"/>
        <v>8.3415606703910612</v>
      </c>
      <c r="K241" s="1702">
        <v>878236.52</v>
      </c>
      <c r="L241" s="2339">
        <f t="shared" si="141"/>
        <v>6.6616936382485168</v>
      </c>
      <c r="M241" s="2175">
        <f t="shared" si="143"/>
        <v>-5713454.4800000004</v>
      </c>
      <c r="N241" s="3106"/>
    </row>
    <row r="242" spans="1:14" s="291" customFormat="1" ht="12.75" customHeight="1" x14ac:dyDescent="0.2">
      <c r="A242" s="3104"/>
      <c r="B242" s="236" t="s">
        <v>17</v>
      </c>
      <c r="C242" s="237"/>
      <c r="D242" s="302">
        <f t="shared" ref="D242:I243" si="169">+D243</f>
        <v>13425000</v>
      </c>
      <c r="E242" s="303">
        <f t="shared" si="169"/>
        <v>0</v>
      </c>
      <c r="F242" s="303">
        <f>+F243</f>
        <v>0</v>
      </c>
      <c r="G242" s="304">
        <f t="shared" si="169"/>
        <v>10800000</v>
      </c>
      <c r="H242" s="1695">
        <f t="shared" si="169"/>
        <v>2625000</v>
      </c>
      <c r="I242" s="2142">
        <f t="shared" ref="I242" si="170">+I243+I245</f>
        <v>0</v>
      </c>
      <c r="J242" s="2334">
        <f t="shared" si="151"/>
        <v>0</v>
      </c>
      <c r="K242" s="2143">
        <f>+K243</f>
        <v>0</v>
      </c>
      <c r="L242" s="2335">
        <f t="shared" si="141"/>
        <v>0</v>
      </c>
      <c r="M242" s="2170">
        <f t="shared" si="143"/>
        <v>-5400000</v>
      </c>
      <c r="N242" s="3107"/>
    </row>
    <row r="243" spans="1:14" s="311" customFormat="1" ht="12.75" customHeight="1" x14ac:dyDescent="0.2">
      <c r="A243" s="3104"/>
      <c r="B243" s="281" t="s">
        <v>13</v>
      </c>
      <c r="C243" s="3039" t="s">
        <v>35</v>
      </c>
      <c r="D243" s="296">
        <f t="shared" si="169"/>
        <v>13425000</v>
      </c>
      <c r="E243" s="299">
        <f t="shared" si="169"/>
        <v>0</v>
      </c>
      <c r="F243" s="299">
        <f>+F244</f>
        <v>0</v>
      </c>
      <c r="G243" s="297">
        <f t="shared" si="169"/>
        <v>10800000</v>
      </c>
      <c r="H243" s="1699">
        <f t="shared" si="169"/>
        <v>2625000</v>
      </c>
      <c r="I243" s="1734">
        <f t="shared" si="169"/>
        <v>0</v>
      </c>
      <c r="J243" s="1256">
        <f t="shared" si="151"/>
        <v>0</v>
      </c>
      <c r="K243" s="1706">
        <f>+K244</f>
        <v>0</v>
      </c>
      <c r="L243" s="1742">
        <f t="shared" si="141"/>
        <v>0</v>
      </c>
      <c r="M243" s="1425">
        <f t="shared" si="143"/>
        <v>-5400000</v>
      </c>
      <c r="N243" s="3107"/>
    </row>
    <row r="244" spans="1:14" s="311" customFormat="1" ht="12.75" customHeight="1" thickBot="1" x14ac:dyDescent="0.25">
      <c r="A244" s="3103"/>
      <c r="B244" s="2400" t="s">
        <v>15</v>
      </c>
      <c r="C244" s="3043"/>
      <c r="D244" s="1711">
        <f>+E244+F244+G244+H244</f>
        <v>13425000</v>
      </c>
      <c r="E244" s="2401">
        <v>0</v>
      </c>
      <c r="F244" s="2401">
        <v>0</v>
      </c>
      <c r="G244" s="2402">
        <v>10800000</v>
      </c>
      <c r="H244" s="2403">
        <v>2625000</v>
      </c>
      <c r="I244" s="2353">
        <f>E244+F244+K244</f>
        <v>0</v>
      </c>
      <c r="J244" s="2148">
        <f t="shared" si="151"/>
        <v>0</v>
      </c>
      <c r="K244" s="1712">
        <v>0</v>
      </c>
      <c r="L244" s="2341">
        <f t="shared" ref="L244:L305" si="171">K244/G244*100</f>
        <v>0</v>
      </c>
      <c r="M244" s="2193">
        <f t="shared" si="143"/>
        <v>-5400000</v>
      </c>
      <c r="N244" s="3108"/>
    </row>
    <row r="245" spans="1:14" ht="28.5" customHeight="1" x14ac:dyDescent="0.2">
      <c r="A245" s="3092" t="s">
        <v>62</v>
      </c>
      <c r="B245" s="2404" t="s">
        <v>281</v>
      </c>
      <c r="C245" s="2123" t="s">
        <v>193</v>
      </c>
      <c r="D245" s="2369"/>
      <c r="E245" s="2370"/>
      <c r="F245" s="2370"/>
      <c r="G245" s="2370"/>
      <c r="H245" s="2371"/>
      <c r="I245" s="2369"/>
      <c r="J245" s="2370"/>
      <c r="K245" s="2370"/>
      <c r="L245" s="2372"/>
      <c r="M245" s="2371"/>
      <c r="N245" s="3121" t="s">
        <v>38</v>
      </c>
    </row>
    <row r="246" spans="1:14" ht="13.5" customHeight="1" x14ac:dyDescent="0.2">
      <c r="A246" s="3093"/>
      <c r="B246" s="2405" t="s">
        <v>3</v>
      </c>
      <c r="C246" s="477"/>
      <c r="D246" s="2406">
        <f t="shared" ref="D246:I246" si="172">+D247+D250</f>
        <v>21503075</v>
      </c>
      <c r="E246" s="2407">
        <f t="shared" si="172"/>
        <v>6096694</v>
      </c>
      <c r="F246" s="2407">
        <f>+F247+F250</f>
        <v>15106381</v>
      </c>
      <c r="G246" s="2407">
        <f t="shared" si="172"/>
        <v>300000</v>
      </c>
      <c r="H246" s="2408">
        <f t="shared" si="172"/>
        <v>0</v>
      </c>
      <c r="I246" s="2406">
        <f t="shared" si="172"/>
        <v>21203332.420000002</v>
      </c>
      <c r="J246" s="2409">
        <f t="shared" si="151"/>
        <v>98.606047832693704</v>
      </c>
      <c r="K246" s="2410">
        <f>+K247+K250</f>
        <v>257.42</v>
      </c>
      <c r="L246" s="2411">
        <f t="shared" si="171"/>
        <v>8.580666666666667E-2</v>
      </c>
      <c r="M246" s="2412">
        <f t="shared" si="143"/>
        <v>-149742.57999999999</v>
      </c>
      <c r="N246" s="3106"/>
    </row>
    <row r="247" spans="1:14" ht="12.75" customHeight="1" x14ac:dyDescent="0.2">
      <c r="A247" s="3093"/>
      <c r="B247" s="301" t="s">
        <v>18</v>
      </c>
      <c r="C247" s="3039" t="s">
        <v>39</v>
      </c>
      <c r="D247" s="2320">
        <f t="shared" ref="D247:I247" si="173">+D248+D249</f>
        <v>9038910</v>
      </c>
      <c r="E247" s="2321">
        <f t="shared" si="173"/>
        <v>2000000</v>
      </c>
      <c r="F247" s="2321">
        <f>+F248+F249</f>
        <v>6738910</v>
      </c>
      <c r="G247" s="2321">
        <f t="shared" si="173"/>
        <v>300000</v>
      </c>
      <c r="H247" s="2029">
        <f t="shared" si="173"/>
        <v>0</v>
      </c>
      <c r="I247" s="2320">
        <f t="shared" si="173"/>
        <v>8739167.4199999999</v>
      </c>
      <c r="J247" s="1231">
        <f t="shared" si="151"/>
        <v>96.683863651701358</v>
      </c>
      <c r="K247" s="1706">
        <f>+K248+K249</f>
        <v>257.42</v>
      </c>
      <c r="L247" s="2330">
        <f t="shared" si="171"/>
        <v>8.580666666666667E-2</v>
      </c>
      <c r="M247" s="2325">
        <f t="shared" si="143"/>
        <v>-149742.57999999999</v>
      </c>
      <c r="N247" s="3106"/>
    </row>
    <row r="248" spans="1:14" ht="12.75" customHeight="1" x14ac:dyDescent="0.2">
      <c r="A248" s="3093"/>
      <c r="B248" s="279" t="s">
        <v>5</v>
      </c>
      <c r="C248" s="3100"/>
      <c r="D248" s="1701">
        <f>+E248+F248+G248+H248</f>
        <v>3538910</v>
      </c>
      <c r="E248" s="292">
        <v>0</v>
      </c>
      <c r="F248" s="292">
        <v>3238910</v>
      </c>
      <c r="G248" s="292">
        <v>300000</v>
      </c>
      <c r="H248" s="1127">
        <v>0</v>
      </c>
      <c r="I248" s="295">
        <f>E248+F248+K248</f>
        <v>3239167.42</v>
      </c>
      <c r="J248" s="1291">
        <f t="shared" si="151"/>
        <v>91.530087512821751</v>
      </c>
      <c r="K248" s="1702">
        <v>257.42</v>
      </c>
      <c r="L248" s="1749">
        <f t="shared" si="171"/>
        <v>8.580666666666667E-2</v>
      </c>
      <c r="M248" s="2175">
        <f t="shared" si="143"/>
        <v>-149742.57999999999</v>
      </c>
      <c r="N248" s="3106"/>
    </row>
    <row r="249" spans="1:14" ht="12.75" customHeight="1" x14ac:dyDescent="0.2">
      <c r="A249" s="3093"/>
      <c r="B249" s="310" t="s">
        <v>10</v>
      </c>
      <c r="C249" s="3100"/>
      <c r="D249" s="1701">
        <f>+E249+F249+G249+H249</f>
        <v>5500000</v>
      </c>
      <c r="E249" s="292">
        <v>2000000</v>
      </c>
      <c r="F249" s="292">
        <v>3500000</v>
      </c>
      <c r="G249" s="293">
        <v>0</v>
      </c>
      <c r="H249" s="1127">
        <v>0</v>
      </c>
      <c r="I249" s="295">
        <f>E249+F249+K249</f>
        <v>5500000</v>
      </c>
      <c r="J249" s="2326">
        <f t="shared" si="151"/>
        <v>100</v>
      </c>
      <c r="K249" s="293">
        <v>0</v>
      </c>
      <c r="L249" s="900">
        <v>0</v>
      </c>
      <c r="M249" s="2175">
        <f t="shared" si="143"/>
        <v>0</v>
      </c>
      <c r="N249" s="3106"/>
    </row>
    <row r="250" spans="1:14" ht="12.75" customHeight="1" x14ac:dyDescent="0.2">
      <c r="A250" s="3093"/>
      <c r="B250" s="281" t="s">
        <v>13</v>
      </c>
      <c r="C250" s="3100"/>
      <c r="D250" s="282">
        <f t="shared" ref="D250:I250" si="174">+D251</f>
        <v>12464165</v>
      </c>
      <c r="E250" s="283">
        <f t="shared" si="174"/>
        <v>4096694</v>
      </c>
      <c r="F250" s="283">
        <f>+F251</f>
        <v>8367471</v>
      </c>
      <c r="G250" s="284">
        <f t="shared" si="174"/>
        <v>0</v>
      </c>
      <c r="H250" s="285">
        <f t="shared" si="174"/>
        <v>0</v>
      </c>
      <c r="I250" s="282">
        <f t="shared" si="174"/>
        <v>12464165</v>
      </c>
      <c r="J250" s="1231">
        <f t="shared" si="151"/>
        <v>100</v>
      </c>
      <c r="K250" s="284">
        <f>+K251</f>
        <v>0</v>
      </c>
      <c r="L250" s="1078">
        <v>0</v>
      </c>
      <c r="M250" s="1426">
        <f t="shared" si="143"/>
        <v>0</v>
      </c>
      <c r="N250" s="3106"/>
    </row>
    <row r="251" spans="1:14" ht="12.75" customHeight="1" x14ac:dyDescent="0.2">
      <c r="A251" s="3093"/>
      <c r="B251" s="279" t="s">
        <v>15</v>
      </c>
      <c r="C251" s="3100"/>
      <c r="D251" s="1701">
        <f>++E251+F251+G251+H251</f>
        <v>12464165</v>
      </c>
      <c r="E251" s="1702">
        <f>41480+201799+3853415</f>
        <v>4096694</v>
      </c>
      <c r="F251" s="292">
        <v>8367471</v>
      </c>
      <c r="G251" s="293">
        <v>0</v>
      </c>
      <c r="H251" s="2389">
        <v>0</v>
      </c>
      <c r="I251" s="295">
        <f>E251+F251+K251</f>
        <v>12464165</v>
      </c>
      <c r="J251" s="1291">
        <f t="shared" si="151"/>
        <v>100</v>
      </c>
      <c r="K251" s="293">
        <v>0</v>
      </c>
      <c r="L251" s="1077">
        <v>0</v>
      </c>
      <c r="M251" s="2175">
        <f t="shared" si="143"/>
        <v>0</v>
      </c>
      <c r="N251" s="3106"/>
    </row>
    <row r="252" spans="1:14" s="291" customFormat="1" ht="12.75" customHeight="1" x14ac:dyDescent="0.2">
      <c r="A252" s="3104"/>
      <c r="B252" s="236" t="s">
        <v>17</v>
      </c>
      <c r="C252" s="237"/>
      <c r="D252" s="1179">
        <f t="shared" ref="D252:I252" si="175">+D255+D253</f>
        <v>18764165</v>
      </c>
      <c r="E252" s="1180">
        <f t="shared" ref="E252" si="176">+E255+E253</f>
        <v>2000000</v>
      </c>
      <c r="F252" s="1180">
        <f>+F255+F253</f>
        <v>15067686</v>
      </c>
      <c r="G252" s="1180">
        <f t="shared" si="175"/>
        <v>1696479</v>
      </c>
      <c r="H252" s="306">
        <f t="shared" si="175"/>
        <v>0</v>
      </c>
      <c r="I252" s="1179">
        <f t="shared" si="175"/>
        <v>17067686</v>
      </c>
      <c r="J252" s="1181">
        <f t="shared" si="151"/>
        <v>90.958942217785861</v>
      </c>
      <c r="K252" s="1180">
        <f>+K255+K253</f>
        <v>0</v>
      </c>
      <c r="L252" s="1740">
        <f t="shared" si="171"/>
        <v>0</v>
      </c>
      <c r="M252" s="1185">
        <f t="shared" si="143"/>
        <v>-848239.5</v>
      </c>
      <c r="N252" s="3107"/>
    </row>
    <row r="253" spans="1:14" s="291" customFormat="1" ht="12.75" customHeight="1" x14ac:dyDescent="0.2">
      <c r="A253" s="3104"/>
      <c r="B253" s="2373" t="s">
        <v>18</v>
      </c>
      <c r="C253" s="3048" t="s">
        <v>52</v>
      </c>
      <c r="D253" s="2158">
        <f t="shared" ref="D253:I253" si="177">+D254</f>
        <v>6300000</v>
      </c>
      <c r="E253" s="2159">
        <f t="shared" si="177"/>
        <v>2000000</v>
      </c>
      <c r="F253" s="2159">
        <f>+F254</f>
        <v>3500000</v>
      </c>
      <c r="G253" s="2178">
        <f t="shared" si="177"/>
        <v>800000</v>
      </c>
      <c r="H253" s="2163">
        <f t="shared" si="177"/>
        <v>0</v>
      </c>
      <c r="I253" s="2158">
        <f t="shared" si="177"/>
        <v>5500000</v>
      </c>
      <c r="J253" s="2377">
        <f t="shared" si="151"/>
        <v>87.301587301587304</v>
      </c>
      <c r="K253" s="2159">
        <f>+K254</f>
        <v>0</v>
      </c>
      <c r="L253" s="2378">
        <f t="shared" si="171"/>
        <v>0</v>
      </c>
      <c r="M253" s="2180">
        <f t="shared" si="143"/>
        <v>-400000</v>
      </c>
      <c r="N253" s="3107"/>
    </row>
    <row r="254" spans="1:14" s="291" customFormat="1" ht="12.75" customHeight="1" x14ac:dyDescent="0.2">
      <c r="A254" s="3104"/>
      <c r="B254" s="310" t="s">
        <v>10</v>
      </c>
      <c r="C254" s="3048"/>
      <c r="D254" s="1701">
        <f>+E254+F254+G254+H254</f>
        <v>6300000</v>
      </c>
      <c r="E254" s="2392">
        <v>2000000</v>
      </c>
      <c r="F254" s="2392">
        <v>3500000</v>
      </c>
      <c r="G254" s="2392">
        <v>800000</v>
      </c>
      <c r="H254" s="2394">
        <v>0</v>
      </c>
      <c r="I254" s="295">
        <f>E254+F254+K254</f>
        <v>5500000</v>
      </c>
      <c r="J254" s="1291">
        <f t="shared" si="151"/>
        <v>87.301587301587304</v>
      </c>
      <c r="K254" s="2364">
        <v>0</v>
      </c>
      <c r="L254" s="1749">
        <f t="shared" si="171"/>
        <v>0</v>
      </c>
      <c r="M254" s="2175">
        <f t="shared" si="143"/>
        <v>-400000</v>
      </c>
      <c r="N254" s="3107"/>
    </row>
    <row r="255" spans="1:14" s="311" customFormat="1" ht="12.75" customHeight="1" x14ac:dyDescent="0.2">
      <c r="A255" s="3104"/>
      <c r="B255" s="281" t="s">
        <v>13</v>
      </c>
      <c r="C255" s="3048"/>
      <c r="D255" s="2320">
        <f>+D256</f>
        <v>12464165</v>
      </c>
      <c r="E255" s="299">
        <v>0</v>
      </c>
      <c r="F255" s="1697">
        <f>+F256</f>
        <v>11567686</v>
      </c>
      <c r="G255" s="1697">
        <f>+G256</f>
        <v>896479</v>
      </c>
      <c r="H255" s="1768">
        <f>+H256</f>
        <v>0</v>
      </c>
      <c r="I255" s="296">
        <f>+I256</f>
        <v>11567686</v>
      </c>
      <c r="J255" s="1231">
        <f t="shared" si="151"/>
        <v>92.807548680557417</v>
      </c>
      <c r="K255" s="297">
        <f>+K256</f>
        <v>0</v>
      </c>
      <c r="L255" s="2330">
        <f t="shared" si="171"/>
        <v>0</v>
      </c>
      <c r="M255" s="1423">
        <f t="shared" si="143"/>
        <v>-448239.5</v>
      </c>
      <c r="N255" s="3107"/>
    </row>
    <row r="256" spans="1:14" s="291" customFormat="1" ht="12.75" customHeight="1" thickBot="1" x14ac:dyDescent="0.25">
      <c r="A256" s="3105"/>
      <c r="B256" s="341" t="s">
        <v>15</v>
      </c>
      <c r="C256" s="3048"/>
      <c r="D256" s="1820">
        <f>+E256+F256+G256+H256</f>
        <v>12464165</v>
      </c>
      <c r="E256" s="1808">
        <v>0</v>
      </c>
      <c r="F256" s="342">
        <v>11567686</v>
      </c>
      <c r="G256" s="342">
        <v>896479</v>
      </c>
      <c r="H256" s="2413">
        <v>0</v>
      </c>
      <c r="I256" s="2382">
        <f>E256+F256+K256</f>
        <v>11567686</v>
      </c>
      <c r="J256" s="1789">
        <f t="shared" si="151"/>
        <v>92.807548680557417</v>
      </c>
      <c r="K256" s="342">
        <v>0</v>
      </c>
      <c r="L256" s="2383">
        <f>K256/G256*100</f>
        <v>0</v>
      </c>
      <c r="M256" s="2384">
        <f t="shared" si="143"/>
        <v>-448239.5</v>
      </c>
      <c r="N256" s="3124"/>
    </row>
    <row r="257" spans="1:14" ht="26.25" customHeight="1" x14ac:dyDescent="0.2">
      <c r="A257" s="3092" t="s">
        <v>64</v>
      </c>
      <c r="B257" s="2122" t="s">
        <v>66</v>
      </c>
      <c r="C257" s="2123" t="s">
        <v>193</v>
      </c>
      <c r="D257" s="2369"/>
      <c r="E257" s="2370"/>
      <c r="F257" s="2370"/>
      <c r="G257" s="2370"/>
      <c r="H257" s="2371"/>
      <c r="I257" s="2369"/>
      <c r="J257" s="276"/>
      <c r="K257" s="2370"/>
      <c r="L257" s="305"/>
      <c r="M257" s="2371"/>
      <c r="N257" s="3121" t="s">
        <v>38</v>
      </c>
    </row>
    <row r="258" spans="1:14" ht="12.75" customHeight="1" x14ac:dyDescent="0.2">
      <c r="A258" s="3093"/>
      <c r="B258" s="236" t="s">
        <v>3</v>
      </c>
      <c r="C258" s="237"/>
      <c r="D258" s="2142">
        <f t="shared" ref="D258" si="178">+D259+D261</f>
        <v>24200000.32</v>
      </c>
      <c r="E258" s="2143">
        <f>+E259+E261</f>
        <v>644308</v>
      </c>
      <c r="F258" s="2143">
        <f>+F259+F261</f>
        <v>7988162.3200000003</v>
      </c>
      <c r="G258" s="2143">
        <f>+G259+G261</f>
        <v>15567530</v>
      </c>
      <c r="H258" s="2156">
        <f>+H259+H261</f>
        <v>0</v>
      </c>
      <c r="I258" s="2142">
        <f>+I259+I261</f>
        <v>12863827.119999999</v>
      </c>
      <c r="J258" s="2334">
        <f t="shared" si="151"/>
        <v>53.156309710329786</v>
      </c>
      <c r="K258" s="2143">
        <f>+K259+K261</f>
        <v>4231356.8</v>
      </c>
      <c r="L258" s="2335">
        <f t="shared" si="171"/>
        <v>27.180656147763965</v>
      </c>
      <c r="M258" s="2170">
        <f t="shared" ref="M258:M321" si="179">+K258-G258*0.5</f>
        <v>-3552408.2</v>
      </c>
      <c r="N258" s="3106"/>
    </row>
    <row r="259" spans="1:14" ht="12.75" customHeight="1" x14ac:dyDescent="0.2">
      <c r="A259" s="3093"/>
      <c r="B259" s="301" t="s">
        <v>18</v>
      </c>
      <c r="C259" s="3039" t="s">
        <v>39</v>
      </c>
      <c r="D259" s="1734">
        <f t="shared" ref="D259" si="180">+D260</f>
        <v>3800000</v>
      </c>
      <c r="E259" s="308">
        <f>+E260</f>
        <v>0</v>
      </c>
      <c r="F259" s="1706">
        <f>+F260</f>
        <v>197</v>
      </c>
      <c r="G259" s="1706">
        <f>+G260</f>
        <v>3799803</v>
      </c>
      <c r="H259" s="309">
        <f>+H260</f>
        <v>0</v>
      </c>
      <c r="I259" s="1734">
        <f>+I260</f>
        <v>259495.37</v>
      </c>
      <c r="J259" s="1256">
        <f t="shared" si="151"/>
        <v>6.8288255263157893</v>
      </c>
      <c r="K259" s="1706">
        <f>+K260</f>
        <v>259298.37</v>
      </c>
      <c r="L259" s="1742">
        <f t="shared" si="171"/>
        <v>6.823995086061041</v>
      </c>
      <c r="M259" s="1425">
        <f t="shared" si="179"/>
        <v>-1640603.13</v>
      </c>
      <c r="N259" s="3106"/>
    </row>
    <row r="260" spans="1:14" ht="12.75" customHeight="1" x14ac:dyDescent="0.2">
      <c r="A260" s="3093"/>
      <c r="B260" s="279" t="s">
        <v>5</v>
      </c>
      <c r="C260" s="3100"/>
      <c r="D260" s="1701">
        <f>+E260+F260+G260+H260</f>
        <v>3800000</v>
      </c>
      <c r="E260" s="280">
        <v>0</v>
      </c>
      <c r="F260" s="292">
        <v>197</v>
      </c>
      <c r="G260" s="292">
        <v>3799803</v>
      </c>
      <c r="H260" s="1127">
        <v>0</v>
      </c>
      <c r="I260" s="295">
        <f>E260+F260+K260</f>
        <v>259495.37</v>
      </c>
      <c r="J260" s="2326">
        <f t="shared" si="151"/>
        <v>6.8288255263157893</v>
      </c>
      <c r="K260" s="1702">
        <v>259298.37</v>
      </c>
      <c r="L260" s="2339">
        <f t="shared" si="171"/>
        <v>6.823995086061041</v>
      </c>
      <c r="M260" s="2175">
        <f t="shared" si="179"/>
        <v>-1640603.13</v>
      </c>
      <c r="N260" s="3106"/>
    </row>
    <row r="261" spans="1:14" ht="12.75" customHeight="1" x14ac:dyDescent="0.2">
      <c r="A261" s="3093"/>
      <c r="B261" s="281" t="s">
        <v>13</v>
      </c>
      <c r="C261" s="3100"/>
      <c r="D261" s="282">
        <f t="shared" ref="D261" si="181">+D262</f>
        <v>20400000.32</v>
      </c>
      <c r="E261" s="283">
        <f>+E262</f>
        <v>644308</v>
      </c>
      <c r="F261" s="283">
        <f>+F262</f>
        <v>7987965.3200000003</v>
      </c>
      <c r="G261" s="283">
        <f>+G262</f>
        <v>11767727</v>
      </c>
      <c r="H261" s="285">
        <f>+H262</f>
        <v>0</v>
      </c>
      <c r="I261" s="282">
        <f>+I262</f>
        <v>12604331.75</v>
      </c>
      <c r="J261" s="1231">
        <f t="shared" si="151"/>
        <v>61.785938981789187</v>
      </c>
      <c r="K261" s="283">
        <f>+K262</f>
        <v>3972058.43</v>
      </c>
      <c r="L261" s="2330">
        <f t="shared" si="171"/>
        <v>33.7538288405229</v>
      </c>
      <c r="M261" s="1426">
        <f t="shared" si="179"/>
        <v>-1911805.0699999998</v>
      </c>
      <c r="N261" s="3106"/>
    </row>
    <row r="262" spans="1:14" ht="12.75" customHeight="1" x14ac:dyDescent="0.2">
      <c r="A262" s="3093"/>
      <c r="B262" s="279" t="s">
        <v>15</v>
      </c>
      <c r="C262" s="3100"/>
      <c r="D262" s="1701">
        <f>++E262+F262+G262+H262</f>
        <v>20400000.32</v>
      </c>
      <c r="E262" s="1702">
        <f>17047+365000+262261</f>
        <v>644308</v>
      </c>
      <c r="F262" s="292">
        <v>7987965.3200000003</v>
      </c>
      <c r="G262" s="292">
        <v>11767727</v>
      </c>
      <c r="H262" s="2389">
        <v>0</v>
      </c>
      <c r="I262" s="295">
        <f>E262+F262+K262</f>
        <v>12604331.75</v>
      </c>
      <c r="J262" s="2326">
        <f t="shared" si="151"/>
        <v>61.785938981789187</v>
      </c>
      <c r="K262" s="1702">
        <v>3972058.43</v>
      </c>
      <c r="L262" s="2339">
        <f t="shared" si="171"/>
        <v>33.7538288405229</v>
      </c>
      <c r="M262" s="2175">
        <f t="shared" si="179"/>
        <v>-1911805.0699999998</v>
      </c>
      <c r="N262" s="3106"/>
    </row>
    <row r="263" spans="1:14" s="291" customFormat="1" ht="12.75" customHeight="1" x14ac:dyDescent="0.2">
      <c r="A263" s="3104"/>
      <c r="B263" s="236" t="s">
        <v>17</v>
      </c>
      <c r="C263" s="237"/>
      <c r="D263" s="302">
        <f>+D264</f>
        <v>20400000</v>
      </c>
      <c r="E263" s="303">
        <v>0</v>
      </c>
      <c r="F263" s="303">
        <f>+F264</f>
        <v>0</v>
      </c>
      <c r="G263" s="304">
        <f t="shared" ref="G263:I264" si="182">+G264</f>
        <v>19300000</v>
      </c>
      <c r="H263" s="1695">
        <f t="shared" si="182"/>
        <v>1100000</v>
      </c>
      <c r="I263" s="2142">
        <f t="shared" ref="I263" si="183">+I264+I266</f>
        <v>0</v>
      </c>
      <c r="J263" s="2334">
        <f t="shared" si="151"/>
        <v>0</v>
      </c>
      <c r="K263" s="2143">
        <f>+K264</f>
        <v>0</v>
      </c>
      <c r="L263" s="2335">
        <f t="shared" si="171"/>
        <v>0</v>
      </c>
      <c r="M263" s="2170">
        <f t="shared" si="179"/>
        <v>-9650000</v>
      </c>
      <c r="N263" s="3107"/>
    </row>
    <row r="264" spans="1:14" s="311" customFormat="1" ht="12.75" customHeight="1" x14ac:dyDescent="0.2">
      <c r="A264" s="3104"/>
      <c r="B264" s="281" t="s">
        <v>13</v>
      </c>
      <c r="C264" s="3039" t="s">
        <v>35</v>
      </c>
      <c r="D264" s="296">
        <f>+D265</f>
        <v>20400000</v>
      </c>
      <c r="E264" s="299">
        <v>0</v>
      </c>
      <c r="F264" s="299">
        <f>+F265</f>
        <v>0</v>
      </c>
      <c r="G264" s="297">
        <f t="shared" si="182"/>
        <v>19300000</v>
      </c>
      <c r="H264" s="1699">
        <f t="shared" si="182"/>
        <v>1100000</v>
      </c>
      <c r="I264" s="1734">
        <f t="shared" si="182"/>
        <v>0</v>
      </c>
      <c r="J264" s="1256">
        <f t="shared" si="151"/>
        <v>0</v>
      </c>
      <c r="K264" s="1706">
        <f>+K265</f>
        <v>0</v>
      </c>
      <c r="L264" s="1742">
        <f t="shared" si="171"/>
        <v>0</v>
      </c>
      <c r="M264" s="1425">
        <f t="shared" si="179"/>
        <v>-9650000</v>
      </c>
      <c r="N264" s="3107"/>
    </row>
    <row r="265" spans="1:14" s="291" customFormat="1" ht="12.75" customHeight="1" thickBot="1" x14ac:dyDescent="0.25">
      <c r="A265" s="3103"/>
      <c r="B265" s="298" t="s">
        <v>15</v>
      </c>
      <c r="C265" s="3043"/>
      <c r="D265" s="1711">
        <f>++E265+F265+G265+H265</f>
        <v>20400000</v>
      </c>
      <c r="E265" s="288">
        <v>0</v>
      </c>
      <c r="F265" s="2414">
        <v>0</v>
      </c>
      <c r="G265" s="2351">
        <v>19300000</v>
      </c>
      <c r="H265" s="2415">
        <v>1100000</v>
      </c>
      <c r="I265" s="2353">
        <f>E265+F265+K265</f>
        <v>0</v>
      </c>
      <c r="J265" s="2148">
        <f t="shared" si="151"/>
        <v>0</v>
      </c>
      <c r="K265" s="1712">
        <v>0</v>
      </c>
      <c r="L265" s="2341">
        <f t="shared" si="171"/>
        <v>0</v>
      </c>
      <c r="M265" s="2193">
        <f t="shared" si="179"/>
        <v>-9650000</v>
      </c>
      <c r="N265" s="3108"/>
    </row>
    <row r="266" spans="1:14" ht="26.25" customHeight="1" x14ac:dyDescent="0.2">
      <c r="A266" s="3092" t="s">
        <v>65</v>
      </c>
      <c r="B266" s="2122" t="s">
        <v>68</v>
      </c>
      <c r="C266" s="2123" t="s">
        <v>193</v>
      </c>
      <c r="D266" s="278"/>
      <c r="E266" s="276"/>
      <c r="F266" s="276"/>
      <c r="G266" s="276"/>
      <c r="H266" s="277"/>
      <c r="I266" s="278"/>
      <c r="J266" s="276"/>
      <c r="K266" s="276"/>
      <c r="L266" s="305"/>
      <c r="M266" s="277"/>
      <c r="N266" s="3121" t="s">
        <v>38</v>
      </c>
    </row>
    <row r="267" spans="1:14" ht="12.75" customHeight="1" x14ac:dyDescent="0.2">
      <c r="A267" s="3093"/>
      <c r="B267" s="236" t="s">
        <v>3</v>
      </c>
      <c r="C267" s="237"/>
      <c r="D267" s="2142">
        <f t="shared" ref="D267:I267" si="184">+D268+D270</f>
        <v>15750000</v>
      </c>
      <c r="E267" s="2143">
        <f t="shared" si="184"/>
        <v>768834</v>
      </c>
      <c r="F267" s="2143">
        <f>+F268+F270</f>
        <v>166758</v>
      </c>
      <c r="G267" s="2143">
        <f t="shared" si="184"/>
        <v>14814408</v>
      </c>
      <c r="H267" s="2156">
        <f t="shared" si="184"/>
        <v>0</v>
      </c>
      <c r="I267" s="2142">
        <f t="shared" si="184"/>
        <v>2377270.7800000003</v>
      </c>
      <c r="J267" s="2334">
        <f t="shared" si="151"/>
        <v>15.093782730158731</v>
      </c>
      <c r="K267" s="2143">
        <f>+K268+K270</f>
        <v>1441678.78</v>
      </c>
      <c r="L267" s="2335">
        <f t="shared" si="171"/>
        <v>9.7315989947083938</v>
      </c>
      <c r="M267" s="2170">
        <f t="shared" si="179"/>
        <v>-5965525.2199999997</v>
      </c>
      <c r="N267" s="3106"/>
    </row>
    <row r="268" spans="1:14" ht="13.5" customHeight="1" x14ac:dyDescent="0.2">
      <c r="A268" s="3093"/>
      <c r="B268" s="301" t="s">
        <v>18</v>
      </c>
      <c r="C268" s="3039" t="s">
        <v>39</v>
      </c>
      <c r="D268" s="1734">
        <f t="shared" ref="D268:I268" si="185">+D269</f>
        <v>1900000</v>
      </c>
      <c r="E268" s="1706">
        <f t="shared" si="185"/>
        <v>622029</v>
      </c>
      <c r="F268" s="1706">
        <f>+F269</f>
        <v>0</v>
      </c>
      <c r="G268" s="1706">
        <f t="shared" si="185"/>
        <v>1277971</v>
      </c>
      <c r="H268" s="309">
        <f t="shared" si="185"/>
        <v>0</v>
      </c>
      <c r="I268" s="1734">
        <f t="shared" si="185"/>
        <v>635839</v>
      </c>
      <c r="J268" s="1256">
        <f t="shared" si="151"/>
        <v>33.465210526315794</v>
      </c>
      <c r="K268" s="1706">
        <f>+K269</f>
        <v>13810</v>
      </c>
      <c r="L268" s="1742">
        <f t="shared" si="171"/>
        <v>1.0806192002791926</v>
      </c>
      <c r="M268" s="1425">
        <f t="shared" si="179"/>
        <v>-625175.5</v>
      </c>
      <c r="N268" s="3106"/>
    </row>
    <row r="269" spans="1:14" ht="12" customHeight="1" x14ac:dyDescent="0.2">
      <c r="A269" s="3093"/>
      <c r="B269" s="279" t="s">
        <v>5</v>
      </c>
      <c r="C269" s="3039"/>
      <c r="D269" s="1701">
        <f>+E269+F269+G269+H269</f>
        <v>1900000</v>
      </c>
      <c r="E269" s="1702">
        <f>56534+79390+486105</f>
        <v>622029</v>
      </c>
      <c r="F269" s="292">
        <v>0</v>
      </c>
      <c r="G269" s="292">
        <v>1277971</v>
      </c>
      <c r="H269" s="1127">
        <v>0</v>
      </c>
      <c r="I269" s="295">
        <f>E269+F269+K269</f>
        <v>635839</v>
      </c>
      <c r="J269" s="2326">
        <f t="shared" si="151"/>
        <v>33.465210526315794</v>
      </c>
      <c r="K269" s="1702">
        <v>13810</v>
      </c>
      <c r="L269" s="2339">
        <f t="shared" si="171"/>
        <v>1.0806192002791926</v>
      </c>
      <c r="M269" s="2175">
        <f t="shared" si="179"/>
        <v>-625175.5</v>
      </c>
      <c r="N269" s="3106"/>
    </row>
    <row r="270" spans="1:14" ht="12.75" customHeight="1" x14ac:dyDescent="0.2">
      <c r="A270" s="3093"/>
      <c r="B270" s="281" t="s">
        <v>13</v>
      </c>
      <c r="C270" s="3039"/>
      <c r="D270" s="282">
        <f t="shared" ref="D270:I270" si="186">+D271</f>
        <v>13850000</v>
      </c>
      <c r="E270" s="283">
        <f t="shared" si="186"/>
        <v>146805</v>
      </c>
      <c r="F270" s="283">
        <f>+F271</f>
        <v>166758</v>
      </c>
      <c r="G270" s="283">
        <f t="shared" si="186"/>
        <v>13536437</v>
      </c>
      <c r="H270" s="285">
        <f t="shared" si="186"/>
        <v>0</v>
      </c>
      <c r="I270" s="282">
        <f t="shared" si="186"/>
        <v>1741431.78</v>
      </c>
      <c r="J270" s="1231">
        <f t="shared" si="151"/>
        <v>12.573514657039711</v>
      </c>
      <c r="K270" s="283">
        <f>+K271</f>
        <v>1427868.78</v>
      </c>
      <c r="L270" s="2330">
        <f t="shared" si="171"/>
        <v>10.548335429773728</v>
      </c>
      <c r="M270" s="1426">
        <f t="shared" si="179"/>
        <v>-5340349.72</v>
      </c>
      <c r="N270" s="3107"/>
    </row>
    <row r="271" spans="1:14" ht="12" customHeight="1" x14ac:dyDescent="0.2">
      <c r="A271" s="3093"/>
      <c r="B271" s="279" t="s">
        <v>15</v>
      </c>
      <c r="C271" s="3039"/>
      <c r="D271" s="1701">
        <f>+E271+F271+G271+H271</f>
        <v>13850000</v>
      </c>
      <c r="E271" s="1702">
        <f>20610+126195</f>
        <v>146805</v>
      </c>
      <c r="F271" s="292">
        <v>166758</v>
      </c>
      <c r="G271" s="292">
        <v>13536437</v>
      </c>
      <c r="H271" s="1127">
        <v>0</v>
      </c>
      <c r="I271" s="295">
        <f>E271+F271+K271</f>
        <v>1741431.78</v>
      </c>
      <c r="J271" s="2326">
        <f t="shared" si="151"/>
        <v>12.573514657039711</v>
      </c>
      <c r="K271" s="1702">
        <v>1427868.78</v>
      </c>
      <c r="L271" s="2339">
        <f t="shared" si="171"/>
        <v>10.548335429773728</v>
      </c>
      <c r="M271" s="2175">
        <f t="shared" si="179"/>
        <v>-5340349.72</v>
      </c>
      <c r="N271" s="3107"/>
    </row>
    <row r="272" spans="1:14" s="291" customFormat="1" ht="12.75" customHeight="1" x14ac:dyDescent="0.2">
      <c r="A272" s="3093"/>
      <c r="B272" s="236" t="s">
        <v>17</v>
      </c>
      <c r="C272" s="237"/>
      <c r="D272" s="302">
        <f>+D273</f>
        <v>13850000</v>
      </c>
      <c r="E272" s="303">
        <v>0</v>
      </c>
      <c r="F272" s="303">
        <f>+F273</f>
        <v>0</v>
      </c>
      <c r="G272" s="304">
        <f t="shared" ref="G272:H273" si="187">+G273</f>
        <v>11350000</v>
      </c>
      <c r="H272" s="1695">
        <f t="shared" si="187"/>
        <v>2500000</v>
      </c>
      <c r="I272" s="302">
        <f>+I273</f>
        <v>0</v>
      </c>
      <c r="J272" s="2334">
        <f t="shared" ref="J272:J335" si="188">I272/D272*100</f>
        <v>0</v>
      </c>
      <c r="K272" s="304">
        <f>+K273</f>
        <v>0</v>
      </c>
      <c r="L272" s="2335">
        <f t="shared" si="171"/>
        <v>0</v>
      </c>
      <c r="M272" s="1185">
        <f t="shared" si="179"/>
        <v>-5675000</v>
      </c>
      <c r="N272" s="3107"/>
    </row>
    <row r="273" spans="1:14" s="311" customFormat="1" ht="12.75" customHeight="1" x14ac:dyDescent="0.2">
      <c r="A273" s="3093"/>
      <c r="B273" s="281" t="s">
        <v>13</v>
      </c>
      <c r="C273" s="3039" t="s">
        <v>35</v>
      </c>
      <c r="D273" s="296">
        <f>+D274</f>
        <v>13850000</v>
      </c>
      <c r="E273" s="299">
        <v>0</v>
      </c>
      <c r="F273" s="299">
        <f>+F274</f>
        <v>0</v>
      </c>
      <c r="G273" s="297">
        <f t="shared" si="187"/>
        <v>11350000</v>
      </c>
      <c r="H273" s="1699">
        <f t="shared" si="187"/>
        <v>2500000</v>
      </c>
      <c r="I273" s="296">
        <f>+I274</f>
        <v>0</v>
      </c>
      <c r="J273" s="1256">
        <f t="shared" si="188"/>
        <v>0</v>
      </c>
      <c r="K273" s="297">
        <f>+K274</f>
        <v>0</v>
      </c>
      <c r="L273" s="1742">
        <f t="shared" si="171"/>
        <v>0</v>
      </c>
      <c r="M273" s="1423">
        <f t="shared" si="179"/>
        <v>-5675000</v>
      </c>
      <c r="N273" s="3107"/>
    </row>
    <row r="274" spans="1:14" s="291" customFormat="1" ht="12.75" customHeight="1" thickBot="1" x14ac:dyDescent="0.25">
      <c r="A274" s="3114"/>
      <c r="B274" s="298" t="s">
        <v>15</v>
      </c>
      <c r="C274" s="3043"/>
      <c r="D274" s="1711">
        <f>+E274+F274+G274+H274</f>
        <v>13850000</v>
      </c>
      <c r="E274" s="288">
        <v>0</v>
      </c>
      <c r="F274" s="2414">
        <v>0</v>
      </c>
      <c r="G274" s="2351">
        <v>11350000</v>
      </c>
      <c r="H274" s="2415">
        <v>2500000</v>
      </c>
      <c r="I274" s="2353">
        <f>E274+F274+K274</f>
        <v>0</v>
      </c>
      <c r="J274" s="2148">
        <f t="shared" si="188"/>
        <v>0</v>
      </c>
      <c r="K274" s="2351">
        <v>0</v>
      </c>
      <c r="L274" s="2341">
        <f t="shared" si="171"/>
        <v>0</v>
      </c>
      <c r="M274" s="2193">
        <f t="shared" si="179"/>
        <v>-5675000</v>
      </c>
      <c r="N274" s="3108"/>
    </row>
    <row r="275" spans="1:14" ht="27.75" customHeight="1" x14ac:dyDescent="0.2">
      <c r="A275" s="3118" t="s">
        <v>67</v>
      </c>
      <c r="B275" s="2149" t="s">
        <v>70</v>
      </c>
      <c r="C275" s="2150" t="s">
        <v>193</v>
      </c>
      <c r="D275" s="2151"/>
      <c r="E275" s="2152"/>
      <c r="F275" s="2152"/>
      <c r="G275" s="2152"/>
      <c r="H275" s="2154"/>
      <c r="I275" s="2151"/>
      <c r="J275" s="2152"/>
      <c r="K275" s="2152"/>
      <c r="L275" s="2153"/>
      <c r="M275" s="2154"/>
      <c r="N275" s="3119" t="s">
        <v>38</v>
      </c>
    </row>
    <row r="276" spans="1:14" ht="13.5" customHeight="1" x14ac:dyDescent="0.2">
      <c r="A276" s="3093"/>
      <c r="B276" s="236" t="s">
        <v>3</v>
      </c>
      <c r="C276" s="237"/>
      <c r="D276" s="2142">
        <f t="shared" ref="D276:I276" si="189">+D277+D279</f>
        <v>13148695.08</v>
      </c>
      <c r="E276" s="2143">
        <f t="shared" si="189"/>
        <v>6027674</v>
      </c>
      <c r="F276" s="2143">
        <f>+F277+F279</f>
        <v>7121021.0799999991</v>
      </c>
      <c r="G276" s="307">
        <f t="shared" si="189"/>
        <v>0</v>
      </c>
      <c r="H276" s="2156">
        <f t="shared" si="189"/>
        <v>0</v>
      </c>
      <c r="I276" s="2142">
        <f t="shared" si="189"/>
        <v>13148695.08</v>
      </c>
      <c r="J276" s="2334">
        <f t="shared" si="188"/>
        <v>100</v>
      </c>
      <c r="K276" s="307">
        <f>+K277+K279</f>
        <v>0</v>
      </c>
      <c r="L276" s="1080">
        <v>0</v>
      </c>
      <c r="M276" s="2170">
        <f t="shared" si="179"/>
        <v>0</v>
      </c>
      <c r="N276" s="3106"/>
    </row>
    <row r="277" spans="1:14" ht="13.5" customHeight="1" x14ac:dyDescent="0.2">
      <c r="A277" s="3093"/>
      <c r="B277" s="301" t="s">
        <v>18</v>
      </c>
      <c r="C277" s="3039" t="s">
        <v>39</v>
      </c>
      <c r="D277" s="1734">
        <f t="shared" ref="D277:I277" si="190">+D278</f>
        <v>217585.31</v>
      </c>
      <c r="E277" s="1706">
        <f t="shared" si="190"/>
        <v>41074</v>
      </c>
      <c r="F277" s="1706">
        <f>+F278</f>
        <v>176511.31</v>
      </c>
      <c r="G277" s="308">
        <f t="shared" si="190"/>
        <v>0</v>
      </c>
      <c r="H277" s="309">
        <f t="shared" si="190"/>
        <v>0</v>
      </c>
      <c r="I277" s="1734">
        <f t="shared" si="190"/>
        <v>217585.31</v>
      </c>
      <c r="J277" s="1256">
        <f t="shared" si="188"/>
        <v>100</v>
      </c>
      <c r="K277" s="308">
        <f>+K278</f>
        <v>0</v>
      </c>
      <c r="L277" s="1076">
        <v>0</v>
      </c>
      <c r="M277" s="1425">
        <f t="shared" si="179"/>
        <v>0</v>
      </c>
      <c r="N277" s="3106"/>
    </row>
    <row r="278" spans="1:14" ht="13.5" customHeight="1" x14ac:dyDescent="0.2">
      <c r="A278" s="3093"/>
      <c r="B278" s="279" t="s">
        <v>5</v>
      </c>
      <c r="C278" s="3100"/>
      <c r="D278" s="1701">
        <f>+E278+F278+G278+H278</f>
        <v>217585.31</v>
      </c>
      <c r="E278" s="1702">
        <f>40000+1074</f>
        <v>41074</v>
      </c>
      <c r="F278" s="292">
        <v>176511.31</v>
      </c>
      <c r="G278" s="293">
        <v>0</v>
      </c>
      <c r="H278" s="1127">
        <v>0</v>
      </c>
      <c r="I278" s="295">
        <f>E278+F278+K278</f>
        <v>217585.31</v>
      </c>
      <c r="J278" s="2326">
        <f t="shared" si="188"/>
        <v>100</v>
      </c>
      <c r="K278" s="280">
        <v>0</v>
      </c>
      <c r="L278" s="900">
        <v>0</v>
      </c>
      <c r="M278" s="2175">
        <f t="shared" si="179"/>
        <v>0</v>
      </c>
      <c r="N278" s="3106"/>
    </row>
    <row r="279" spans="1:14" ht="13.5" customHeight="1" x14ac:dyDescent="0.2">
      <c r="A279" s="3093"/>
      <c r="B279" s="281" t="s">
        <v>13</v>
      </c>
      <c r="C279" s="3100"/>
      <c r="D279" s="282">
        <f t="shared" ref="D279:I279" si="191">+D280</f>
        <v>12931109.77</v>
      </c>
      <c r="E279" s="283">
        <f t="shared" si="191"/>
        <v>5986600</v>
      </c>
      <c r="F279" s="283">
        <f>+F280</f>
        <v>6944509.7699999996</v>
      </c>
      <c r="G279" s="284">
        <f t="shared" si="191"/>
        <v>0</v>
      </c>
      <c r="H279" s="285">
        <f t="shared" si="191"/>
        <v>0</v>
      </c>
      <c r="I279" s="282">
        <f t="shared" si="191"/>
        <v>12931109.77</v>
      </c>
      <c r="J279" s="1231">
        <f t="shared" si="188"/>
        <v>100</v>
      </c>
      <c r="K279" s="284">
        <f>+K280</f>
        <v>0</v>
      </c>
      <c r="L279" s="1078">
        <v>0</v>
      </c>
      <c r="M279" s="1426">
        <f t="shared" si="179"/>
        <v>0</v>
      </c>
      <c r="N279" s="3106"/>
    </row>
    <row r="280" spans="1:14" ht="11.25" customHeight="1" x14ac:dyDescent="0.2">
      <c r="A280" s="3093"/>
      <c r="B280" s="279" t="s">
        <v>15</v>
      </c>
      <c r="C280" s="3100"/>
      <c r="D280" s="1701">
        <f>+E280+F280+G280+H280</f>
        <v>12931109.77</v>
      </c>
      <c r="E280" s="1702">
        <f>8260+326960+5651380</f>
        <v>5986600</v>
      </c>
      <c r="F280" s="292">
        <v>6944509.7699999996</v>
      </c>
      <c r="G280" s="293">
        <v>0</v>
      </c>
      <c r="H280" s="1127">
        <v>0</v>
      </c>
      <c r="I280" s="295">
        <f>E280+F280+K280</f>
        <v>12931109.77</v>
      </c>
      <c r="J280" s="2326">
        <f t="shared" si="188"/>
        <v>100</v>
      </c>
      <c r="K280" s="280">
        <v>0</v>
      </c>
      <c r="L280" s="900">
        <v>0</v>
      </c>
      <c r="M280" s="2175">
        <f t="shared" si="179"/>
        <v>0</v>
      </c>
      <c r="N280" s="3106"/>
    </row>
    <row r="281" spans="1:14" s="291" customFormat="1" ht="12.75" customHeight="1" x14ac:dyDescent="0.2">
      <c r="A281" s="3104"/>
      <c r="B281" s="236" t="s">
        <v>17</v>
      </c>
      <c r="C281" s="237"/>
      <c r="D281" s="302">
        <f>+D282</f>
        <v>12931110</v>
      </c>
      <c r="E281" s="303">
        <v>0</v>
      </c>
      <c r="F281" s="304">
        <f>+F282</f>
        <v>12213110</v>
      </c>
      <c r="G281" s="304">
        <f t="shared" ref="G281:H282" si="192">+G282</f>
        <v>718000</v>
      </c>
      <c r="H281" s="306">
        <f t="shared" si="192"/>
        <v>0</v>
      </c>
      <c r="I281" s="302">
        <f>+I282</f>
        <v>12931110</v>
      </c>
      <c r="J281" s="2334">
        <f t="shared" si="188"/>
        <v>100</v>
      </c>
      <c r="K281" s="304">
        <f>+K282</f>
        <v>718000</v>
      </c>
      <c r="L281" s="2335">
        <f t="shared" si="171"/>
        <v>100</v>
      </c>
      <c r="M281" s="1185">
        <f t="shared" si="179"/>
        <v>359000</v>
      </c>
      <c r="N281" s="3107"/>
    </row>
    <row r="282" spans="1:14" s="311" customFormat="1" ht="12.75" customHeight="1" x14ac:dyDescent="0.2">
      <c r="A282" s="3104"/>
      <c r="B282" s="281" t="s">
        <v>13</v>
      </c>
      <c r="C282" s="3039" t="s">
        <v>35</v>
      </c>
      <c r="D282" s="296">
        <f>+D283</f>
        <v>12931110</v>
      </c>
      <c r="E282" s="299">
        <v>0</v>
      </c>
      <c r="F282" s="297">
        <f>+F283</f>
        <v>12213110</v>
      </c>
      <c r="G282" s="297">
        <f t="shared" si="192"/>
        <v>718000</v>
      </c>
      <c r="H282" s="1723">
        <f t="shared" si="192"/>
        <v>0</v>
      </c>
      <c r="I282" s="295">
        <f>E282+F282+K282</f>
        <v>12931110</v>
      </c>
      <c r="J282" s="1256">
        <f t="shared" si="188"/>
        <v>100</v>
      </c>
      <c r="K282" s="297">
        <f>+K283</f>
        <v>718000</v>
      </c>
      <c r="L282" s="1742">
        <f t="shared" si="171"/>
        <v>100</v>
      </c>
      <c r="M282" s="2175">
        <f t="shared" si="179"/>
        <v>359000</v>
      </c>
      <c r="N282" s="3107"/>
    </row>
    <row r="283" spans="1:14" s="291" customFormat="1" ht="12.75" customHeight="1" thickBot="1" x14ac:dyDescent="0.25">
      <c r="A283" s="3103"/>
      <c r="B283" s="298" t="s">
        <v>15</v>
      </c>
      <c r="C283" s="3043"/>
      <c r="D283" s="1711">
        <f>+E283+F283+G283+H283</f>
        <v>12931110</v>
      </c>
      <c r="E283" s="288">
        <v>0</v>
      </c>
      <c r="F283" s="2251">
        <v>12213110</v>
      </c>
      <c r="G283" s="2251">
        <v>718000</v>
      </c>
      <c r="H283" s="2356">
        <v>0</v>
      </c>
      <c r="I283" s="2353">
        <f>E283+F283+K283</f>
        <v>12931110</v>
      </c>
      <c r="J283" s="2148">
        <f t="shared" si="188"/>
        <v>100</v>
      </c>
      <c r="K283" s="2251">
        <v>718000</v>
      </c>
      <c r="L283" s="2341">
        <f t="shared" si="171"/>
        <v>100</v>
      </c>
      <c r="M283" s="2193">
        <f t="shared" si="179"/>
        <v>359000</v>
      </c>
      <c r="N283" s="3108"/>
    </row>
    <row r="284" spans="1:14" ht="28.5" customHeight="1" x14ac:dyDescent="0.2">
      <c r="A284" s="3092" t="s">
        <v>69</v>
      </c>
      <c r="B284" s="2416" t="s">
        <v>319</v>
      </c>
      <c r="C284" s="2123" t="s">
        <v>193</v>
      </c>
      <c r="D284" s="2369"/>
      <c r="E284" s="2370"/>
      <c r="F284" s="2370"/>
      <c r="G284" s="2370"/>
      <c r="H284" s="2371"/>
      <c r="I284" s="2369"/>
      <c r="J284" s="2370"/>
      <c r="K284" s="2370"/>
      <c r="L284" s="2372"/>
      <c r="M284" s="2371"/>
      <c r="N284" s="3121" t="s">
        <v>38</v>
      </c>
    </row>
    <row r="285" spans="1:14" ht="13.5" customHeight="1" x14ac:dyDescent="0.2">
      <c r="A285" s="3093"/>
      <c r="B285" s="236" t="s">
        <v>3</v>
      </c>
      <c r="C285" s="237"/>
      <c r="D285" s="2142">
        <f t="shared" ref="D285:I285" si="193">+D286+D288</f>
        <v>32582967</v>
      </c>
      <c r="E285" s="2143">
        <f t="shared" si="193"/>
        <v>696120</v>
      </c>
      <c r="F285" s="2143">
        <f>+F286+F288</f>
        <v>861723</v>
      </c>
      <c r="G285" s="2143">
        <f t="shared" si="193"/>
        <v>5700000</v>
      </c>
      <c r="H285" s="2143">
        <f t="shared" si="193"/>
        <v>25325124</v>
      </c>
      <c r="I285" s="2142">
        <f t="shared" si="193"/>
        <v>3463948.2800000003</v>
      </c>
      <c r="J285" s="2334">
        <f t="shared" si="188"/>
        <v>10.631162840388354</v>
      </c>
      <c r="K285" s="2143">
        <f>+K286+K288</f>
        <v>1906105.28</v>
      </c>
      <c r="L285" s="2335">
        <f t="shared" si="171"/>
        <v>33.440443508771928</v>
      </c>
      <c r="M285" s="2170">
        <f t="shared" si="179"/>
        <v>-943894.72</v>
      </c>
      <c r="N285" s="3106"/>
    </row>
    <row r="286" spans="1:14" ht="13.5" customHeight="1" x14ac:dyDescent="0.2">
      <c r="A286" s="3093"/>
      <c r="B286" s="301" t="s">
        <v>18</v>
      </c>
      <c r="C286" s="3039" t="s">
        <v>39</v>
      </c>
      <c r="D286" s="1734">
        <f t="shared" ref="D286:I286" si="194">+D287</f>
        <v>1082967</v>
      </c>
      <c r="E286" s="1706">
        <f t="shared" si="194"/>
        <v>0</v>
      </c>
      <c r="F286" s="1706">
        <f>+F287</f>
        <v>0</v>
      </c>
      <c r="G286" s="1706">
        <f t="shared" si="194"/>
        <v>482967</v>
      </c>
      <c r="H286" s="1706">
        <f t="shared" si="194"/>
        <v>600000</v>
      </c>
      <c r="I286" s="1734">
        <f t="shared" si="194"/>
        <v>0</v>
      </c>
      <c r="J286" s="1256">
        <f t="shared" si="188"/>
        <v>0</v>
      </c>
      <c r="K286" s="1706">
        <f>+K287</f>
        <v>0</v>
      </c>
      <c r="L286" s="1742">
        <f t="shared" si="171"/>
        <v>0</v>
      </c>
      <c r="M286" s="1425">
        <f t="shared" si="179"/>
        <v>-241483.5</v>
      </c>
      <c r="N286" s="3106"/>
    </row>
    <row r="287" spans="1:14" ht="13.5" customHeight="1" x14ac:dyDescent="0.2">
      <c r="A287" s="3093"/>
      <c r="B287" s="279" t="s">
        <v>5</v>
      </c>
      <c r="C287" s="3100"/>
      <c r="D287" s="1701">
        <f>+E287+F287+G287+H287</f>
        <v>1082967</v>
      </c>
      <c r="E287" s="1702">
        <v>0</v>
      </c>
      <c r="F287" s="292">
        <v>0</v>
      </c>
      <c r="G287" s="292">
        <v>482967</v>
      </c>
      <c r="H287" s="292">
        <v>600000</v>
      </c>
      <c r="I287" s="295">
        <f>E287+F287+K287</f>
        <v>0</v>
      </c>
      <c r="J287" s="2326">
        <f t="shared" si="188"/>
        <v>0</v>
      </c>
      <c r="K287" s="292">
        <v>0</v>
      </c>
      <c r="L287" s="2339">
        <f t="shared" si="171"/>
        <v>0</v>
      </c>
      <c r="M287" s="2175">
        <f t="shared" si="179"/>
        <v>-241483.5</v>
      </c>
      <c r="N287" s="3106"/>
    </row>
    <row r="288" spans="1:14" ht="13.5" customHeight="1" x14ac:dyDescent="0.2">
      <c r="A288" s="3093"/>
      <c r="B288" s="281" t="s">
        <v>13</v>
      </c>
      <c r="C288" s="3100"/>
      <c r="D288" s="1734">
        <f t="shared" ref="D288:I288" si="195">+D289</f>
        <v>31500000</v>
      </c>
      <c r="E288" s="1706">
        <f t="shared" si="195"/>
        <v>696120</v>
      </c>
      <c r="F288" s="1706">
        <f t="shared" si="195"/>
        <v>861723</v>
      </c>
      <c r="G288" s="1706">
        <f t="shared" si="195"/>
        <v>5217033</v>
      </c>
      <c r="H288" s="1706">
        <f t="shared" si="195"/>
        <v>24725124</v>
      </c>
      <c r="I288" s="1734">
        <f t="shared" si="195"/>
        <v>3463948.2800000003</v>
      </c>
      <c r="J288" s="2326">
        <f t="shared" si="188"/>
        <v>10.996661206349208</v>
      </c>
      <c r="K288" s="1706">
        <f>+K289</f>
        <v>1906105.28</v>
      </c>
      <c r="L288" s="2339">
        <f t="shared" si="171"/>
        <v>36.536193656432694</v>
      </c>
      <c r="M288" s="1425">
        <f t="shared" si="179"/>
        <v>-702411.22</v>
      </c>
      <c r="N288" s="3106"/>
    </row>
    <row r="289" spans="1:14" ht="13.5" customHeight="1" x14ac:dyDescent="0.2">
      <c r="A289" s="3093"/>
      <c r="B289" s="279" t="s">
        <v>15</v>
      </c>
      <c r="C289" s="3100"/>
      <c r="D289" s="1701">
        <f>++E289+F289+G289+H289</f>
        <v>31500000</v>
      </c>
      <c r="E289" s="1702">
        <f>81977+521360+92783</f>
        <v>696120</v>
      </c>
      <c r="F289" s="292">
        <v>861723</v>
      </c>
      <c r="G289" s="292">
        <v>5217033</v>
      </c>
      <c r="H289" s="292">
        <v>24725124</v>
      </c>
      <c r="I289" s="295">
        <f>E289+F289+K289</f>
        <v>3463948.2800000003</v>
      </c>
      <c r="J289" s="2326">
        <f t="shared" si="188"/>
        <v>10.996661206349208</v>
      </c>
      <c r="K289" s="292">
        <v>1906105.28</v>
      </c>
      <c r="L289" s="2339">
        <f t="shared" si="171"/>
        <v>36.536193656432694</v>
      </c>
      <c r="M289" s="2175">
        <f t="shared" si="179"/>
        <v>-702411.22</v>
      </c>
      <c r="N289" s="3106"/>
    </row>
    <row r="290" spans="1:14" s="291" customFormat="1" ht="13.5" customHeight="1" x14ac:dyDescent="0.2">
      <c r="A290" s="3104"/>
      <c r="B290" s="236" t="s">
        <v>17</v>
      </c>
      <c r="C290" s="237"/>
      <c r="D290" s="2142">
        <f>+D291</f>
        <v>31500000</v>
      </c>
      <c r="E290" s="2143">
        <v>0</v>
      </c>
      <c r="F290" s="2143">
        <f t="shared" ref="F290:H291" si="196">+F291</f>
        <v>0</v>
      </c>
      <c r="G290" s="2143">
        <f t="shared" si="196"/>
        <v>4000000</v>
      </c>
      <c r="H290" s="2143">
        <f t="shared" si="196"/>
        <v>27500000</v>
      </c>
      <c r="I290" s="315">
        <f>+I291</f>
        <v>0</v>
      </c>
      <c r="J290" s="2334">
        <f t="shared" si="188"/>
        <v>0</v>
      </c>
      <c r="K290" s="304">
        <f>+K291</f>
        <v>0</v>
      </c>
      <c r="L290" s="2335">
        <f t="shared" si="171"/>
        <v>0</v>
      </c>
      <c r="M290" s="2170">
        <f t="shared" si="179"/>
        <v>-2000000</v>
      </c>
      <c r="N290" s="3107"/>
    </row>
    <row r="291" spans="1:14" s="311" customFormat="1" ht="13.5" customHeight="1" x14ac:dyDescent="0.2">
      <c r="A291" s="3104"/>
      <c r="B291" s="281" t="s">
        <v>13</v>
      </c>
      <c r="C291" s="3039" t="s">
        <v>35</v>
      </c>
      <c r="D291" s="1734">
        <f>+D292</f>
        <v>31500000</v>
      </c>
      <c r="E291" s="1706">
        <v>0</v>
      </c>
      <c r="F291" s="1706">
        <f t="shared" si="196"/>
        <v>0</v>
      </c>
      <c r="G291" s="1706">
        <f t="shared" si="196"/>
        <v>4000000</v>
      </c>
      <c r="H291" s="1706">
        <f t="shared" si="196"/>
        <v>27500000</v>
      </c>
      <c r="I291" s="316">
        <f>+I292</f>
        <v>0</v>
      </c>
      <c r="J291" s="1256">
        <f t="shared" si="188"/>
        <v>0</v>
      </c>
      <c r="K291" s="297">
        <f>+K292</f>
        <v>0</v>
      </c>
      <c r="L291" s="1742">
        <f t="shared" si="171"/>
        <v>0</v>
      </c>
      <c r="M291" s="1425">
        <f t="shared" si="179"/>
        <v>-2000000</v>
      </c>
      <c r="N291" s="3107"/>
    </row>
    <row r="292" spans="1:14" s="291" customFormat="1" ht="13.5" customHeight="1" thickBot="1" x14ac:dyDescent="0.25">
      <c r="A292" s="3105"/>
      <c r="B292" s="341" t="s">
        <v>15</v>
      </c>
      <c r="C292" s="3136"/>
      <c r="D292" s="1820">
        <f>++E292+F292+G292+H292</f>
        <v>31500000</v>
      </c>
      <c r="E292" s="1786">
        <v>0</v>
      </c>
      <c r="F292" s="2417">
        <v>0</v>
      </c>
      <c r="G292" s="2417">
        <v>4000000</v>
      </c>
      <c r="H292" s="2417">
        <f>25000000+2500000</f>
        <v>27500000</v>
      </c>
      <c r="I292" s="2418">
        <f>E292+F292+K292</f>
        <v>0</v>
      </c>
      <c r="J292" s="2419">
        <f t="shared" si="188"/>
        <v>0</v>
      </c>
      <c r="K292" s="2420">
        <v>0</v>
      </c>
      <c r="L292" s="2421">
        <f t="shared" si="171"/>
        <v>0</v>
      </c>
      <c r="M292" s="2384">
        <f t="shared" si="179"/>
        <v>-2000000</v>
      </c>
      <c r="N292" s="3124"/>
    </row>
    <row r="293" spans="1:14" ht="27" customHeight="1" x14ac:dyDescent="0.2">
      <c r="A293" s="3092" t="s">
        <v>71</v>
      </c>
      <c r="B293" s="2316" t="s">
        <v>282</v>
      </c>
      <c r="C293" s="2123" t="s">
        <v>193</v>
      </c>
      <c r="D293" s="278"/>
      <c r="E293" s="276"/>
      <c r="F293" s="276"/>
      <c r="G293" s="276"/>
      <c r="H293" s="277"/>
      <c r="I293" s="278"/>
      <c r="J293" s="276"/>
      <c r="K293" s="276"/>
      <c r="L293" s="305"/>
      <c r="M293" s="277"/>
      <c r="N293" s="3121" t="s">
        <v>38</v>
      </c>
    </row>
    <row r="294" spans="1:14" ht="15" customHeight="1" x14ac:dyDescent="0.2">
      <c r="A294" s="3137"/>
      <c r="B294" s="312" t="s">
        <v>3</v>
      </c>
      <c r="C294" s="237"/>
      <c r="D294" s="2142">
        <f t="shared" ref="D294:I294" si="197">+D295+D297</f>
        <v>14918802.1</v>
      </c>
      <c r="E294" s="2143">
        <f t="shared" si="197"/>
        <v>2347694</v>
      </c>
      <c r="F294" s="2143">
        <f>+F295+F297</f>
        <v>12555108.1</v>
      </c>
      <c r="G294" s="2143">
        <f t="shared" si="197"/>
        <v>16000</v>
      </c>
      <c r="H294" s="2156">
        <f t="shared" si="197"/>
        <v>0</v>
      </c>
      <c r="I294" s="2142">
        <f t="shared" si="197"/>
        <v>14902802.1</v>
      </c>
      <c r="J294" s="2334">
        <f t="shared" si="188"/>
        <v>99.892752783415489</v>
      </c>
      <c r="K294" s="2143">
        <f>+K295+K297</f>
        <v>0</v>
      </c>
      <c r="L294" s="2335">
        <f t="shared" si="171"/>
        <v>0</v>
      </c>
      <c r="M294" s="2170">
        <f t="shared" si="179"/>
        <v>-8000</v>
      </c>
      <c r="N294" s="3106"/>
    </row>
    <row r="295" spans="1:14" ht="15" customHeight="1" x14ac:dyDescent="0.2">
      <c r="A295" s="3137"/>
      <c r="B295" s="1994" t="s">
        <v>18</v>
      </c>
      <c r="C295" s="3039" t="s">
        <v>39</v>
      </c>
      <c r="D295" s="1734">
        <f t="shared" ref="D295:I295" si="198">+D296</f>
        <v>1628492.81</v>
      </c>
      <c r="E295" s="1706">
        <f t="shared" si="198"/>
        <v>37954</v>
      </c>
      <c r="F295" s="1706">
        <f>+F296</f>
        <v>1574538.81</v>
      </c>
      <c r="G295" s="1706">
        <f t="shared" si="198"/>
        <v>16000</v>
      </c>
      <c r="H295" s="309">
        <f t="shared" si="198"/>
        <v>0</v>
      </c>
      <c r="I295" s="1734">
        <f t="shared" si="198"/>
        <v>1612492.81</v>
      </c>
      <c r="J295" s="1256">
        <f t="shared" si="188"/>
        <v>99.017496429720183</v>
      </c>
      <c r="K295" s="1706">
        <f>+K296</f>
        <v>0</v>
      </c>
      <c r="L295" s="1742">
        <f t="shared" si="171"/>
        <v>0</v>
      </c>
      <c r="M295" s="1425">
        <f t="shared" si="179"/>
        <v>-8000</v>
      </c>
      <c r="N295" s="3106"/>
    </row>
    <row r="296" spans="1:14" ht="15" customHeight="1" x14ac:dyDescent="0.2">
      <c r="A296" s="3137"/>
      <c r="B296" s="279" t="s">
        <v>5</v>
      </c>
      <c r="C296" s="3100"/>
      <c r="D296" s="1701">
        <f>+E296+F296+G296+H296</f>
        <v>1628492.81</v>
      </c>
      <c r="E296" s="1702">
        <v>37954</v>
      </c>
      <c r="F296" s="292">
        <v>1574538.81</v>
      </c>
      <c r="G296" s="292">
        <v>16000</v>
      </c>
      <c r="H296" s="1127">
        <v>0</v>
      </c>
      <c r="I296" s="295">
        <f>E296+F296+K296</f>
        <v>1612492.81</v>
      </c>
      <c r="J296" s="2326">
        <f t="shared" si="188"/>
        <v>99.017496429720183</v>
      </c>
      <c r="K296" s="1702">
        <v>0</v>
      </c>
      <c r="L296" s="2339">
        <f t="shared" si="171"/>
        <v>0</v>
      </c>
      <c r="M296" s="2175">
        <f t="shared" si="179"/>
        <v>-8000</v>
      </c>
      <c r="N296" s="3106"/>
    </row>
    <row r="297" spans="1:14" ht="15" customHeight="1" x14ac:dyDescent="0.2">
      <c r="A297" s="3137"/>
      <c r="B297" s="2004" t="s">
        <v>13</v>
      </c>
      <c r="C297" s="3100"/>
      <c r="D297" s="282">
        <f t="shared" ref="D297:I297" si="199">+D298</f>
        <v>13290309.289999999</v>
      </c>
      <c r="E297" s="283">
        <f t="shared" si="199"/>
        <v>2309740</v>
      </c>
      <c r="F297" s="283">
        <f>+F298</f>
        <v>10980569.289999999</v>
      </c>
      <c r="G297" s="284">
        <f t="shared" si="199"/>
        <v>0</v>
      </c>
      <c r="H297" s="285">
        <f t="shared" si="199"/>
        <v>0</v>
      </c>
      <c r="I297" s="282">
        <f t="shared" si="199"/>
        <v>13290309.289999999</v>
      </c>
      <c r="J297" s="1231">
        <f t="shared" si="188"/>
        <v>100</v>
      </c>
      <c r="K297" s="284">
        <f>+K298</f>
        <v>0</v>
      </c>
      <c r="L297" s="1078">
        <v>0</v>
      </c>
      <c r="M297" s="1426">
        <f t="shared" si="179"/>
        <v>0</v>
      </c>
      <c r="N297" s="3106"/>
    </row>
    <row r="298" spans="1:14" ht="15" customHeight="1" x14ac:dyDescent="0.2">
      <c r="A298" s="3137"/>
      <c r="B298" s="279" t="s">
        <v>15</v>
      </c>
      <c r="C298" s="3100"/>
      <c r="D298" s="1701">
        <f>++E298+F298+G298+H298</f>
        <v>13290309.289999999</v>
      </c>
      <c r="E298" s="1702">
        <f>7866+355124+1946750</f>
        <v>2309740</v>
      </c>
      <c r="F298" s="292">
        <v>10980569.289999999</v>
      </c>
      <c r="G298" s="293">
        <v>0</v>
      </c>
      <c r="H298" s="1127">
        <v>0</v>
      </c>
      <c r="I298" s="295">
        <f>E298+F298+K298</f>
        <v>13290309.289999999</v>
      </c>
      <c r="J298" s="2326">
        <f t="shared" si="188"/>
        <v>100</v>
      </c>
      <c r="K298" s="280">
        <v>0</v>
      </c>
      <c r="L298" s="900">
        <v>0</v>
      </c>
      <c r="M298" s="2175">
        <f t="shared" si="179"/>
        <v>0</v>
      </c>
      <c r="N298" s="3106"/>
    </row>
    <row r="299" spans="1:14" s="291" customFormat="1" ht="15" customHeight="1" x14ac:dyDescent="0.2">
      <c r="A299" s="3137"/>
      <c r="B299" s="312" t="s">
        <v>17</v>
      </c>
      <c r="C299" s="237"/>
      <c r="D299" s="302">
        <f>+D300</f>
        <v>13290309</v>
      </c>
      <c r="E299" s="303">
        <v>0</v>
      </c>
      <c r="F299" s="304">
        <f>+F300</f>
        <v>10042439</v>
      </c>
      <c r="G299" s="304">
        <f t="shared" ref="G299:H300" si="200">+G300</f>
        <v>3247870</v>
      </c>
      <c r="H299" s="306">
        <f t="shared" si="200"/>
        <v>0</v>
      </c>
      <c r="I299" s="302">
        <f>+I300</f>
        <v>10042439</v>
      </c>
      <c r="J299" s="2334">
        <f t="shared" si="188"/>
        <v>75.562118232164494</v>
      </c>
      <c r="K299" s="304">
        <f>+K300</f>
        <v>0</v>
      </c>
      <c r="L299" s="2335">
        <f t="shared" si="171"/>
        <v>0</v>
      </c>
      <c r="M299" s="1185">
        <f t="shared" si="179"/>
        <v>-1623935</v>
      </c>
      <c r="N299" s="3106"/>
    </row>
    <row r="300" spans="1:14" s="311" customFormat="1" ht="15" customHeight="1" x14ac:dyDescent="0.2">
      <c r="A300" s="3137"/>
      <c r="B300" s="2004" t="s">
        <v>13</v>
      </c>
      <c r="C300" s="3039" t="s">
        <v>35</v>
      </c>
      <c r="D300" s="296">
        <f>+D301</f>
        <v>13290309</v>
      </c>
      <c r="E300" s="299">
        <v>0</v>
      </c>
      <c r="F300" s="1697">
        <f>+F301</f>
        <v>10042439</v>
      </c>
      <c r="G300" s="1697">
        <f t="shared" si="200"/>
        <v>3247870</v>
      </c>
      <c r="H300" s="1768">
        <f t="shared" si="200"/>
        <v>0</v>
      </c>
      <c r="I300" s="295">
        <f>E300+F300+K300</f>
        <v>10042439</v>
      </c>
      <c r="J300" s="1256">
        <f t="shared" si="188"/>
        <v>75.562118232164494</v>
      </c>
      <c r="K300" s="297">
        <f>+K301</f>
        <v>0</v>
      </c>
      <c r="L300" s="1742">
        <f t="shared" si="171"/>
        <v>0</v>
      </c>
      <c r="M300" s="2175">
        <f t="shared" si="179"/>
        <v>-1623935</v>
      </c>
      <c r="N300" s="3106"/>
    </row>
    <row r="301" spans="1:14" s="311" customFormat="1" ht="15" customHeight="1" thickBot="1" x14ac:dyDescent="0.25">
      <c r="A301" s="3138"/>
      <c r="B301" s="298" t="s">
        <v>15</v>
      </c>
      <c r="C301" s="3043"/>
      <c r="D301" s="1711">
        <f>+E301+F301+G301+H301</f>
        <v>13290309</v>
      </c>
      <c r="E301" s="2401">
        <v>0</v>
      </c>
      <c r="F301" s="2422">
        <v>10042439</v>
      </c>
      <c r="G301" s="2422">
        <v>3247870</v>
      </c>
      <c r="H301" s="2423">
        <v>0</v>
      </c>
      <c r="I301" s="2353">
        <f>E301+F301+K301</f>
        <v>10042439</v>
      </c>
      <c r="J301" s="2148">
        <f t="shared" si="188"/>
        <v>75.562118232164494</v>
      </c>
      <c r="K301" s="2424">
        <v>0</v>
      </c>
      <c r="L301" s="2341">
        <f t="shared" si="171"/>
        <v>0</v>
      </c>
      <c r="M301" s="2193">
        <f t="shared" si="179"/>
        <v>-1623935</v>
      </c>
      <c r="N301" s="3120"/>
    </row>
    <row r="302" spans="1:14" ht="25.5" customHeight="1" x14ac:dyDescent="0.2">
      <c r="A302" s="3092" t="s">
        <v>72</v>
      </c>
      <c r="B302" s="2425" t="s">
        <v>283</v>
      </c>
      <c r="C302" s="2426"/>
      <c r="D302" s="2369"/>
      <c r="E302" s="2370"/>
      <c r="F302" s="2370"/>
      <c r="G302" s="2370"/>
      <c r="H302" s="2371"/>
      <c r="I302" s="2369"/>
      <c r="J302" s="2370"/>
      <c r="K302" s="2370"/>
      <c r="L302" s="2372"/>
      <c r="M302" s="2371"/>
      <c r="N302" s="3121" t="s">
        <v>38</v>
      </c>
    </row>
    <row r="303" spans="1:14" ht="14.25" customHeight="1" x14ac:dyDescent="0.2">
      <c r="A303" s="3093"/>
      <c r="B303" s="236" t="s">
        <v>3</v>
      </c>
      <c r="C303" s="237"/>
      <c r="D303" s="2142">
        <f t="shared" ref="D303:I303" si="201">+D304+D306</f>
        <v>3841880</v>
      </c>
      <c r="E303" s="2143">
        <f t="shared" si="201"/>
        <v>422286</v>
      </c>
      <c r="F303" s="2143">
        <f t="shared" si="201"/>
        <v>3414594</v>
      </c>
      <c r="G303" s="2143">
        <f t="shared" si="201"/>
        <v>5000</v>
      </c>
      <c r="H303" s="2156">
        <f t="shared" si="201"/>
        <v>0</v>
      </c>
      <c r="I303" s="2142">
        <f t="shared" si="201"/>
        <v>3837480</v>
      </c>
      <c r="J303" s="2334">
        <f t="shared" si="188"/>
        <v>99.88547273730569</v>
      </c>
      <c r="K303" s="2143">
        <f>+K304+K306</f>
        <v>600</v>
      </c>
      <c r="L303" s="2335">
        <f t="shared" si="171"/>
        <v>12</v>
      </c>
      <c r="M303" s="2170">
        <f t="shared" si="179"/>
        <v>-1900</v>
      </c>
      <c r="N303" s="3106"/>
    </row>
    <row r="304" spans="1:14" ht="14.25" customHeight="1" x14ac:dyDescent="0.2">
      <c r="A304" s="3093"/>
      <c r="B304" s="301" t="s">
        <v>18</v>
      </c>
      <c r="C304" s="3039" t="s">
        <v>39</v>
      </c>
      <c r="D304" s="1734">
        <f t="shared" ref="D304:I304" si="202">+D305</f>
        <v>3841880</v>
      </c>
      <c r="E304" s="1706">
        <f t="shared" si="202"/>
        <v>422286</v>
      </c>
      <c r="F304" s="1706">
        <f t="shared" si="202"/>
        <v>3414594</v>
      </c>
      <c r="G304" s="1706">
        <f t="shared" si="202"/>
        <v>5000</v>
      </c>
      <c r="H304" s="309">
        <f t="shared" si="202"/>
        <v>0</v>
      </c>
      <c r="I304" s="1734">
        <f t="shared" si="202"/>
        <v>3837480</v>
      </c>
      <c r="J304" s="1256">
        <f t="shared" si="188"/>
        <v>99.88547273730569</v>
      </c>
      <c r="K304" s="1706">
        <f>+K305</f>
        <v>600</v>
      </c>
      <c r="L304" s="1742">
        <f t="shared" si="171"/>
        <v>12</v>
      </c>
      <c r="M304" s="1425">
        <f t="shared" si="179"/>
        <v>-1900</v>
      </c>
      <c r="N304" s="3106"/>
    </row>
    <row r="305" spans="1:14" ht="14.25" customHeight="1" x14ac:dyDescent="0.2">
      <c r="A305" s="3093"/>
      <c r="B305" s="2398" t="s">
        <v>5</v>
      </c>
      <c r="C305" s="3100"/>
      <c r="D305" s="1701">
        <f>+E305+F305+G305+H305</f>
        <v>3841880</v>
      </c>
      <c r="E305" s="1702">
        <f>6266+366000+50020</f>
        <v>422286</v>
      </c>
      <c r="F305" s="292">
        <v>3414594</v>
      </c>
      <c r="G305" s="292">
        <v>5000</v>
      </c>
      <c r="H305" s="1127">
        <v>0</v>
      </c>
      <c r="I305" s="295">
        <f>E305+F305+K305</f>
        <v>3837480</v>
      </c>
      <c r="J305" s="2326">
        <f t="shared" si="188"/>
        <v>99.88547273730569</v>
      </c>
      <c r="K305" s="292">
        <v>600</v>
      </c>
      <c r="L305" s="2339">
        <f t="shared" si="171"/>
        <v>12</v>
      </c>
      <c r="M305" s="2175">
        <f t="shared" si="179"/>
        <v>-1900</v>
      </c>
      <c r="N305" s="3106"/>
    </row>
    <row r="306" spans="1:14" ht="14.25" customHeight="1" x14ac:dyDescent="0.2">
      <c r="A306" s="3093"/>
      <c r="B306" s="281" t="s">
        <v>13</v>
      </c>
      <c r="C306" s="3100"/>
      <c r="D306" s="313">
        <f t="shared" ref="D306:I306" si="203">+D307</f>
        <v>0</v>
      </c>
      <c r="E306" s="284">
        <f t="shared" si="203"/>
        <v>0</v>
      </c>
      <c r="F306" s="284">
        <f t="shared" si="203"/>
        <v>0</v>
      </c>
      <c r="G306" s="284">
        <f t="shared" si="203"/>
        <v>0</v>
      </c>
      <c r="H306" s="285">
        <f t="shared" si="203"/>
        <v>0</v>
      </c>
      <c r="I306" s="313">
        <f t="shared" si="203"/>
        <v>0</v>
      </c>
      <c r="J306" s="284">
        <v>0</v>
      </c>
      <c r="K306" s="284">
        <f>+K307</f>
        <v>0</v>
      </c>
      <c r="L306" s="1078">
        <v>0</v>
      </c>
      <c r="M306" s="285">
        <f t="shared" si="179"/>
        <v>0</v>
      </c>
      <c r="N306" s="3106"/>
    </row>
    <row r="307" spans="1:14" ht="14.25" customHeight="1" x14ac:dyDescent="0.2">
      <c r="A307" s="3093"/>
      <c r="B307" s="2398" t="s">
        <v>15</v>
      </c>
      <c r="C307" s="3100"/>
      <c r="D307" s="286">
        <f>+E307+F307+G307+H307</f>
        <v>0</v>
      </c>
      <c r="E307" s="280">
        <v>0</v>
      </c>
      <c r="F307" s="293">
        <v>0</v>
      </c>
      <c r="G307" s="293">
        <v>0</v>
      </c>
      <c r="H307" s="2389">
        <v>0</v>
      </c>
      <c r="I307" s="314">
        <f>E307+F307+K307</f>
        <v>0</v>
      </c>
      <c r="J307" s="293">
        <v>0</v>
      </c>
      <c r="K307" s="280">
        <v>0</v>
      </c>
      <c r="L307" s="900">
        <v>0</v>
      </c>
      <c r="M307" s="1127">
        <f t="shared" si="179"/>
        <v>0</v>
      </c>
      <c r="N307" s="3106"/>
    </row>
    <row r="308" spans="1:14" s="291" customFormat="1" ht="14.25" customHeight="1" x14ac:dyDescent="0.2">
      <c r="A308" s="3104"/>
      <c r="B308" s="236" t="s">
        <v>17</v>
      </c>
      <c r="C308" s="237"/>
      <c r="D308" s="315">
        <f>+D309</f>
        <v>0</v>
      </c>
      <c r="E308" s="303">
        <f t="shared" ref="E308:H309" si="204">+E309</f>
        <v>0</v>
      </c>
      <c r="F308" s="303">
        <f t="shared" si="204"/>
        <v>0</v>
      </c>
      <c r="G308" s="303">
        <f t="shared" si="204"/>
        <v>0</v>
      </c>
      <c r="H308" s="306">
        <f t="shared" si="204"/>
        <v>0</v>
      </c>
      <c r="I308" s="315">
        <f>+I309</f>
        <v>0</v>
      </c>
      <c r="J308" s="303">
        <v>0</v>
      </c>
      <c r="K308" s="303">
        <f>+K309</f>
        <v>0</v>
      </c>
      <c r="L308" s="1075">
        <v>0</v>
      </c>
      <c r="M308" s="306">
        <f t="shared" si="179"/>
        <v>0</v>
      </c>
      <c r="N308" s="3107"/>
    </row>
    <row r="309" spans="1:14" s="311" customFormat="1" ht="14.25" customHeight="1" x14ac:dyDescent="0.2">
      <c r="A309" s="3104"/>
      <c r="B309" s="281" t="s">
        <v>13</v>
      </c>
      <c r="C309" s="3039" t="s">
        <v>35</v>
      </c>
      <c r="D309" s="316">
        <f>+D310</f>
        <v>0</v>
      </c>
      <c r="E309" s="299">
        <v>0</v>
      </c>
      <c r="F309" s="299">
        <f t="shared" si="204"/>
        <v>0</v>
      </c>
      <c r="G309" s="1752">
        <f t="shared" si="204"/>
        <v>0</v>
      </c>
      <c r="H309" s="1723">
        <f t="shared" si="204"/>
        <v>0</v>
      </c>
      <c r="I309" s="316">
        <f>+I310</f>
        <v>0</v>
      </c>
      <c r="J309" s="299">
        <v>0</v>
      </c>
      <c r="K309" s="299">
        <f>+K310</f>
        <v>0</v>
      </c>
      <c r="L309" s="1741">
        <v>0</v>
      </c>
      <c r="M309" s="1723">
        <f t="shared" si="179"/>
        <v>0</v>
      </c>
      <c r="N309" s="3107"/>
    </row>
    <row r="310" spans="1:14" s="311" customFormat="1" ht="14.25" customHeight="1" thickBot="1" x14ac:dyDescent="0.25">
      <c r="A310" s="3103"/>
      <c r="B310" s="2400" t="s">
        <v>15</v>
      </c>
      <c r="C310" s="3043"/>
      <c r="D310" s="317">
        <f>+E310+F310+G310+H310</f>
        <v>0</v>
      </c>
      <c r="E310" s="2401">
        <v>0</v>
      </c>
      <c r="F310" s="2401">
        <v>0</v>
      </c>
      <c r="G310" s="2427">
        <v>0</v>
      </c>
      <c r="H310" s="2428">
        <v>0</v>
      </c>
      <c r="I310" s="2429">
        <f>E310+F310+K310</f>
        <v>0</v>
      </c>
      <c r="J310" s="2360">
        <v>0</v>
      </c>
      <c r="K310" s="2401">
        <v>0</v>
      </c>
      <c r="L310" s="2430">
        <v>0</v>
      </c>
      <c r="M310" s="1128">
        <f t="shared" si="179"/>
        <v>0</v>
      </c>
      <c r="N310" s="3108"/>
    </row>
    <row r="311" spans="1:14" ht="25.5" x14ac:dyDescent="0.2">
      <c r="A311" s="3118" t="s">
        <v>73</v>
      </c>
      <c r="B311" s="2431" t="s">
        <v>284</v>
      </c>
      <c r="C311" s="2150" t="s">
        <v>193</v>
      </c>
      <c r="D311" s="2432"/>
      <c r="E311" s="2433"/>
      <c r="F311" s="2433"/>
      <c r="G311" s="2433"/>
      <c r="H311" s="2434"/>
      <c r="I311" s="2433"/>
      <c r="J311" s="2433"/>
      <c r="K311" s="2433"/>
      <c r="L311" s="2435"/>
      <c r="M311" s="2434"/>
      <c r="N311" s="3119" t="s">
        <v>38</v>
      </c>
    </row>
    <row r="312" spans="1:14" ht="15" customHeight="1" x14ac:dyDescent="0.2">
      <c r="A312" s="3093"/>
      <c r="B312" s="236" t="s">
        <v>3</v>
      </c>
      <c r="C312" s="237"/>
      <c r="D312" s="2142">
        <f t="shared" ref="D312:I312" si="205">+D313+D315</f>
        <v>4559294</v>
      </c>
      <c r="E312" s="2143">
        <f t="shared" si="205"/>
        <v>559294</v>
      </c>
      <c r="F312" s="307">
        <f t="shared" si="205"/>
        <v>0</v>
      </c>
      <c r="G312" s="2143">
        <f t="shared" si="205"/>
        <v>4000000</v>
      </c>
      <c r="H312" s="2156">
        <f t="shared" si="205"/>
        <v>0</v>
      </c>
      <c r="I312" s="2142">
        <f t="shared" si="205"/>
        <v>559294</v>
      </c>
      <c r="J312" s="2334">
        <f t="shared" si="188"/>
        <v>12.267118549494723</v>
      </c>
      <c r="K312" s="2143">
        <f>+K313+K315</f>
        <v>0</v>
      </c>
      <c r="L312" s="2335">
        <f t="shared" ref="L312:L369" si="206">K312/G312*100</f>
        <v>0</v>
      </c>
      <c r="M312" s="2170">
        <f t="shared" si="179"/>
        <v>-2000000</v>
      </c>
      <c r="N312" s="3106"/>
    </row>
    <row r="313" spans="1:14" ht="14.25" customHeight="1" x14ac:dyDescent="0.2">
      <c r="A313" s="3093"/>
      <c r="B313" s="301" t="s">
        <v>18</v>
      </c>
      <c r="C313" s="3039" t="s">
        <v>39</v>
      </c>
      <c r="D313" s="1734">
        <f t="shared" ref="D313:I313" si="207">+D314</f>
        <v>4559294</v>
      </c>
      <c r="E313" s="1706">
        <f t="shared" si="207"/>
        <v>559294</v>
      </c>
      <c r="F313" s="308">
        <f t="shared" si="207"/>
        <v>0</v>
      </c>
      <c r="G313" s="1706">
        <f t="shared" si="207"/>
        <v>4000000</v>
      </c>
      <c r="H313" s="309">
        <f t="shared" si="207"/>
        <v>0</v>
      </c>
      <c r="I313" s="1734">
        <f t="shared" si="207"/>
        <v>559294</v>
      </c>
      <c r="J313" s="1256">
        <f t="shared" si="188"/>
        <v>12.267118549494723</v>
      </c>
      <c r="K313" s="1706">
        <f>+K314</f>
        <v>0</v>
      </c>
      <c r="L313" s="1742">
        <f t="shared" si="206"/>
        <v>0</v>
      </c>
      <c r="M313" s="1425">
        <f t="shared" si="179"/>
        <v>-2000000</v>
      </c>
      <c r="N313" s="3106"/>
    </row>
    <row r="314" spans="1:14" ht="15" customHeight="1" x14ac:dyDescent="0.2">
      <c r="A314" s="3093"/>
      <c r="B314" s="2398" t="s">
        <v>5</v>
      </c>
      <c r="C314" s="3100"/>
      <c r="D314" s="1701">
        <f>+E314+F314+G314+H314</f>
        <v>4559294</v>
      </c>
      <c r="E314" s="292">
        <f>315360+243934</f>
        <v>559294</v>
      </c>
      <c r="F314" s="293">
        <v>0</v>
      </c>
      <c r="G314" s="292">
        <v>4000000</v>
      </c>
      <c r="H314" s="1127">
        <v>0</v>
      </c>
      <c r="I314" s="295">
        <f>E314+F314+K314</f>
        <v>559294</v>
      </c>
      <c r="J314" s="2326">
        <f t="shared" si="188"/>
        <v>12.267118549494723</v>
      </c>
      <c r="K314" s="292">
        <v>0</v>
      </c>
      <c r="L314" s="2339">
        <f t="shared" si="206"/>
        <v>0</v>
      </c>
      <c r="M314" s="2175">
        <f t="shared" si="179"/>
        <v>-2000000</v>
      </c>
      <c r="N314" s="3106"/>
    </row>
    <row r="315" spans="1:14" ht="15" customHeight="1" x14ac:dyDescent="0.2">
      <c r="A315" s="3093"/>
      <c r="B315" s="281" t="s">
        <v>13</v>
      </c>
      <c r="C315" s="3100"/>
      <c r="D315" s="313">
        <f t="shared" ref="D315:I315" si="208">+D316</f>
        <v>0</v>
      </c>
      <c r="E315" s="284">
        <f t="shared" si="208"/>
        <v>0</v>
      </c>
      <c r="F315" s="284">
        <f t="shared" si="208"/>
        <v>0</v>
      </c>
      <c r="G315" s="284">
        <f t="shared" si="208"/>
        <v>0</v>
      </c>
      <c r="H315" s="2436">
        <f t="shared" si="208"/>
        <v>0</v>
      </c>
      <c r="I315" s="313">
        <f t="shared" si="208"/>
        <v>0</v>
      </c>
      <c r="J315" s="284">
        <v>0</v>
      </c>
      <c r="K315" s="284">
        <f>+K316</f>
        <v>0</v>
      </c>
      <c r="L315" s="1078">
        <v>0</v>
      </c>
      <c r="M315" s="285">
        <f t="shared" si="179"/>
        <v>0</v>
      </c>
      <c r="N315" s="3106"/>
    </row>
    <row r="316" spans="1:14" ht="12" customHeight="1" x14ac:dyDescent="0.2">
      <c r="A316" s="3093"/>
      <c r="B316" s="2398" t="s">
        <v>15</v>
      </c>
      <c r="C316" s="3100"/>
      <c r="D316" s="286">
        <f>+E316+F316+G316+H316</f>
        <v>0</v>
      </c>
      <c r="E316" s="293">
        <v>0</v>
      </c>
      <c r="F316" s="293">
        <v>0</v>
      </c>
      <c r="G316" s="293">
        <v>0</v>
      </c>
      <c r="H316" s="2389">
        <v>0</v>
      </c>
      <c r="I316" s="314">
        <f>E316+F316+K316</f>
        <v>0</v>
      </c>
      <c r="J316" s="293">
        <v>0</v>
      </c>
      <c r="K316" s="280">
        <v>0</v>
      </c>
      <c r="L316" s="900">
        <v>0</v>
      </c>
      <c r="M316" s="1127">
        <f t="shared" si="179"/>
        <v>0</v>
      </c>
      <c r="N316" s="3106"/>
    </row>
    <row r="317" spans="1:14" s="291" customFormat="1" ht="15" customHeight="1" x14ac:dyDescent="0.2">
      <c r="A317" s="3104"/>
      <c r="B317" s="236" t="s">
        <v>17</v>
      </c>
      <c r="C317" s="237"/>
      <c r="D317" s="315">
        <f>+D318</f>
        <v>0</v>
      </c>
      <c r="E317" s="303">
        <v>0</v>
      </c>
      <c r="F317" s="303">
        <f t="shared" ref="F317:H318" si="209">+F318</f>
        <v>0</v>
      </c>
      <c r="G317" s="303">
        <f t="shared" si="209"/>
        <v>0</v>
      </c>
      <c r="H317" s="306">
        <f t="shared" si="209"/>
        <v>0</v>
      </c>
      <c r="I317" s="315">
        <f>+I318</f>
        <v>0</v>
      </c>
      <c r="J317" s="303">
        <v>0</v>
      </c>
      <c r="K317" s="303">
        <f>+K318</f>
        <v>0</v>
      </c>
      <c r="L317" s="1075">
        <v>0</v>
      </c>
      <c r="M317" s="306">
        <f t="shared" si="179"/>
        <v>0</v>
      </c>
      <c r="N317" s="3107"/>
    </row>
    <row r="318" spans="1:14" s="311" customFormat="1" ht="12.75" customHeight="1" x14ac:dyDescent="0.2">
      <c r="A318" s="3104"/>
      <c r="B318" s="281" t="s">
        <v>13</v>
      </c>
      <c r="C318" s="3039" t="s">
        <v>35</v>
      </c>
      <c r="D318" s="316">
        <f>+D319</f>
        <v>0</v>
      </c>
      <c r="E318" s="299">
        <v>0</v>
      </c>
      <c r="F318" s="299">
        <f t="shared" si="209"/>
        <v>0</v>
      </c>
      <c r="G318" s="1752">
        <f t="shared" si="209"/>
        <v>0</v>
      </c>
      <c r="H318" s="1723">
        <f t="shared" si="209"/>
        <v>0</v>
      </c>
      <c r="I318" s="316">
        <f>+I319</f>
        <v>0</v>
      </c>
      <c r="J318" s="299">
        <v>0</v>
      </c>
      <c r="K318" s="299">
        <f>+K319</f>
        <v>0</v>
      </c>
      <c r="L318" s="1741">
        <v>0</v>
      </c>
      <c r="M318" s="1723">
        <f t="shared" si="179"/>
        <v>0</v>
      </c>
      <c r="N318" s="3107"/>
    </row>
    <row r="319" spans="1:14" s="311" customFormat="1" ht="15" customHeight="1" thickBot="1" x14ac:dyDescent="0.25">
      <c r="A319" s="3103"/>
      <c r="B319" s="2400" t="s">
        <v>15</v>
      </c>
      <c r="C319" s="3043"/>
      <c r="D319" s="317">
        <f>+E319+F319+G319+H319</f>
        <v>0</v>
      </c>
      <c r="E319" s="2437">
        <v>0</v>
      </c>
      <c r="F319" s="2401">
        <v>0</v>
      </c>
      <c r="G319" s="2427">
        <v>0</v>
      </c>
      <c r="H319" s="2428">
        <v>0</v>
      </c>
      <c r="I319" s="2429">
        <f>E319+F319+K319</f>
        <v>0</v>
      </c>
      <c r="J319" s="2360">
        <v>0</v>
      </c>
      <c r="K319" s="2401">
        <v>0</v>
      </c>
      <c r="L319" s="2430">
        <v>0</v>
      </c>
      <c r="M319" s="1128">
        <f t="shared" si="179"/>
        <v>0</v>
      </c>
      <c r="N319" s="3108"/>
    </row>
    <row r="320" spans="1:14" ht="25.5" x14ac:dyDescent="0.2">
      <c r="A320" s="3092" t="s">
        <v>74</v>
      </c>
      <c r="B320" s="2425" t="s">
        <v>285</v>
      </c>
      <c r="C320" s="2123" t="s">
        <v>193</v>
      </c>
      <c r="D320" s="2369"/>
      <c r="E320" s="2370"/>
      <c r="F320" s="2370"/>
      <c r="G320" s="2370"/>
      <c r="H320" s="2371"/>
      <c r="I320" s="2369"/>
      <c r="J320" s="2370"/>
      <c r="K320" s="2370"/>
      <c r="L320" s="2372"/>
      <c r="M320" s="2371"/>
      <c r="N320" s="3121" t="s">
        <v>38</v>
      </c>
    </row>
    <row r="321" spans="1:14" ht="15.75" customHeight="1" x14ac:dyDescent="0.2">
      <c r="A321" s="3093"/>
      <c r="B321" s="236" t="s">
        <v>3</v>
      </c>
      <c r="C321" s="237"/>
      <c r="D321" s="2142">
        <f t="shared" ref="D321" si="210">+D322+D324</f>
        <v>2310000</v>
      </c>
      <c r="E321" s="307">
        <v>0</v>
      </c>
      <c r="F321" s="2143">
        <f>+F322+F324</f>
        <v>57340</v>
      </c>
      <c r="G321" s="2143">
        <f>+G322+G324</f>
        <v>2252660</v>
      </c>
      <c r="H321" s="2156">
        <f>+H322+H324</f>
        <v>0</v>
      </c>
      <c r="I321" s="2142">
        <f>+I322+I324</f>
        <v>279390</v>
      </c>
      <c r="J321" s="2334">
        <f t="shared" si="188"/>
        <v>12.094805194805195</v>
      </c>
      <c r="K321" s="2143">
        <f>+K322+K324</f>
        <v>222050</v>
      </c>
      <c r="L321" s="2335">
        <f t="shared" si="206"/>
        <v>9.8572354460948386</v>
      </c>
      <c r="M321" s="2170">
        <f t="shared" si="179"/>
        <v>-904280</v>
      </c>
      <c r="N321" s="3106"/>
    </row>
    <row r="322" spans="1:14" ht="14.25" customHeight="1" x14ac:dyDescent="0.2">
      <c r="A322" s="3093"/>
      <c r="B322" s="301" t="s">
        <v>18</v>
      </c>
      <c r="C322" s="3039" t="s">
        <v>39</v>
      </c>
      <c r="D322" s="1734">
        <f t="shared" ref="D322" si="211">+D323</f>
        <v>2310000</v>
      </c>
      <c r="E322" s="308">
        <v>0</v>
      </c>
      <c r="F322" s="1706">
        <f>+F323</f>
        <v>57340</v>
      </c>
      <c r="G322" s="1706">
        <f>+G323</f>
        <v>2252660</v>
      </c>
      <c r="H322" s="309">
        <f>+H323</f>
        <v>0</v>
      </c>
      <c r="I322" s="1734">
        <f>+I323</f>
        <v>279390</v>
      </c>
      <c r="J322" s="1256">
        <f t="shared" si="188"/>
        <v>12.094805194805195</v>
      </c>
      <c r="K322" s="1706">
        <f>+K323</f>
        <v>222050</v>
      </c>
      <c r="L322" s="1742">
        <f t="shared" si="206"/>
        <v>9.8572354460948386</v>
      </c>
      <c r="M322" s="1425">
        <f t="shared" ref="M322:M385" si="212">+K322-G322*0.5</f>
        <v>-904280</v>
      </c>
      <c r="N322" s="3106"/>
    </row>
    <row r="323" spans="1:14" ht="14.25" customHeight="1" x14ac:dyDescent="0.2">
      <c r="A323" s="3093"/>
      <c r="B323" s="2398" t="s">
        <v>5</v>
      </c>
      <c r="C323" s="3100"/>
      <c r="D323" s="1701">
        <f>+E323+F323+G323+H323</f>
        <v>2310000</v>
      </c>
      <c r="E323" s="280">
        <v>0</v>
      </c>
      <c r="F323" s="1702">
        <v>57340</v>
      </c>
      <c r="G323" s="1702">
        <v>2252660</v>
      </c>
      <c r="H323" s="1732">
        <v>0</v>
      </c>
      <c r="I323" s="295">
        <f>E323+F323+K323</f>
        <v>279390</v>
      </c>
      <c r="J323" s="2326">
        <f t="shared" si="188"/>
        <v>12.094805194805195</v>
      </c>
      <c r="K323" s="292">
        <v>222050</v>
      </c>
      <c r="L323" s="2339">
        <f t="shared" si="206"/>
        <v>9.8572354460948386</v>
      </c>
      <c r="M323" s="2175">
        <f t="shared" si="212"/>
        <v>-904280</v>
      </c>
      <c r="N323" s="3106"/>
    </row>
    <row r="324" spans="1:14" ht="14.25" customHeight="1" x14ac:dyDescent="0.2">
      <c r="A324" s="3093"/>
      <c r="B324" s="281" t="s">
        <v>13</v>
      </c>
      <c r="C324" s="3100"/>
      <c r="D324" s="313">
        <f t="shared" ref="D324" si="213">+D325</f>
        <v>0</v>
      </c>
      <c r="E324" s="284">
        <v>0</v>
      </c>
      <c r="F324" s="284">
        <f>+F325</f>
        <v>0</v>
      </c>
      <c r="G324" s="284">
        <f>+G325</f>
        <v>0</v>
      </c>
      <c r="H324" s="2436">
        <f>+H325</f>
        <v>0</v>
      </c>
      <c r="I324" s="313">
        <f>+I325</f>
        <v>0</v>
      </c>
      <c r="J324" s="284">
        <v>0</v>
      </c>
      <c r="K324" s="284">
        <f>+K325</f>
        <v>0</v>
      </c>
      <c r="L324" s="1078">
        <v>0</v>
      </c>
      <c r="M324" s="285">
        <f t="shared" si="212"/>
        <v>0</v>
      </c>
      <c r="N324" s="3106"/>
    </row>
    <row r="325" spans="1:14" ht="14.25" customHeight="1" x14ac:dyDescent="0.2">
      <c r="A325" s="3093"/>
      <c r="B325" s="2398" t="s">
        <v>15</v>
      </c>
      <c r="C325" s="3100"/>
      <c r="D325" s="286">
        <f>+E325+F325+G325+H325</f>
        <v>0</v>
      </c>
      <c r="E325" s="280">
        <v>0</v>
      </c>
      <c r="F325" s="280">
        <f>163508-163508</f>
        <v>0</v>
      </c>
      <c r="G325" s="280">
        <v>0</v>
      </c>
      <c r="H325" s="1806">
        <v>0</v>
      </c>
      <c r="I325" s="314">
        <f>E325+F325+K325</f>
        <v>0</v>
      </c>
      <c r="J325" s="293">
        <v>0</v>
      </c>
      <c r="K325" s="280">
        <v>0</v>
      </c>
      <c r="L325" s="900">
        <v>0</v>
      </c>
      <c r="M325" s="1127">
        <f t="shared" si="212"/>
        <v>0</v>
      </c>
      <c r="N325" s="3106"/>
    </row>
    <row r="326" spans="1:14" s="291" customFormat="1" ht="14.25" customHeight="1" x14ac:dyDescent="0.2">
      <c r="A326" s="3104"/>
      <c r="B326" s="236" t="s">
        <v>17</v>
      </c>
      <c r="C326" s="237"/>
      <c r="D326" s="315">
        <f>+D327</f>
        <v>0</v>
      </c>
      <c r="E326" s="303">
        <v>0</v>
      </c>
      <c r="F326" s="303">
        <f t="shared" ref="F326:H327" si="214">+F327</f>
        <v>0</v>
      </c>
      <c r="G326" s="303">
        <f t="shared" si="214"/>
        <v>0</v>
      </c>
      <c r="H326" s="1804">
        <f t="shared" si="214"/>
        <v>0</v>
      </c>
      <c r="I326" s="315">
        <f>+I327</f>
        <v>0</v>
      </c>
      <c r="J326" s="303">
        <v>0</v>
      </c>
      <c r="K326" s="303">
        <f>+K327</f>
        <v>0</v>
      </c>
      <c r="L326" s="1075">
        <v>0</v>
      </c>
      <c r="M326" s="306">
        <f t="shared" si="212"/>
        <v>0</v>
      </c>
      <c r="N326" s="3107"/>
    </row>
    <row r="327" spans="1:14" s="311" customFormat="1" ht="14.25" customHeight="1" x14ac:dyDescent="0.2">
      <c r="A327" s="3104"/>
      <c r="B327" s="281" t="s">
        <v>13</v>
      </c>
      <c r="C327" s="3039" t="s">
        <v>35</v>
      </c>
      <c r="D327" s="316">
        <f>+D328</f>
        <v>0</v>
      </c>
      <c r="E327" s="299">
        <v>0</v>
      </c>
      <c r="F327" s="299">
        <f t="shared" si="214"/>
        <v>0</v>
      </c>
      <c r="G327" s="299">
        <f t="shared" si="214"/>
        <v>0</v>
      </c>
      <c r="H327" s="2438">
        <f t="shared" si="214"/>
        <v>0</v>
      </c>
      <c r="I327" s="316">
        <f>+I328</f>
        <v>0</v>
      </c>
      <c r="J327" s="299">
        <v>0</v>
      </c>
      <c r="K327" s="299">
        <f>+K328</f>
        <v>0</v>
      </c>
      <c r="L327" s="1741">
        <v>0</v>
      </c>
      <c r="M327" s="1723">
        <f t="shared" si="212"/>
        <v>0</v>
      </c>
      <c r="N327" s="3107"/>
    </row>
    <row r="328" spans="1:14" s="311" customFormat="1" ht="14.25" customHeight="1" thickBot="1" x14ac:dyDescent="0.25">
      <c r="A328" s="3105"/>
      <c r="B328" s="2439" t="s">
        <v>15</v>
      </c>
      <c r="C328" s="3136"/>
      <c r="D328" s="2440">
        <f>+E328+F328+G328+H328</f>
        <v>0</v>
      </c>
      <c r="E328" s="2441">
        <v>0</v>
      </c>
      <c r="F328" s="2441">
        <v>0</v>
      </c>
      <c r="G328" s="2441">
        <v>0</v>
      </c>
      <c r="H328" s="2442">
        <v>0</v>
      </c>
      <c r="I328" s="2418">
        <f>E328+F328+K328</f>
        <v>0</v>
      </c>
      <c r="J328" s="2443">
        <v>0</v>
      </c>
      <c r="K328" s="2441">
        <v>0</v>
      </c>
      <c r="L328" s="2444">
        <v>0</v>
      </c>
      <c r="M328" s="2445">
        <f t="shared" si="212"/>
        <v>0</v>
      </c>
      <c r="N328" s="3124"/>
    </row>
    <row r="329" spans="1:14" ht="27.75" customHeight="1" x14ac:dyDescent="0.2">
      <c r="A329" s="3092" t="s">
        <v>75</v>
      </c>
      <c r="B329" s="2122" t="s">
        <v>77</v>
      </c>
      <c r="C329" s="2123" t="s">
        <v>193</v>
      </c>
      <c r="D329" s="2369"/>
      <c r="E329" s="2370"/>
      <c r="F329" s="2370"/>
      <c r="G329" s="2370"/>
      <c r="H329" s="2371"/>
      <c r="I329" s="2370"/>
      <c r="J329" s="2370"/>
      <c r="K329" s="2370"/>
      <c r="L329" s="2372"/>
      <c r="M329" s="2371"/>
      <c r="N329" s="3121" t="s">
        <v>38</v>
      </c>
    </row>
    <row r="330" spans="1:14" ht="14.25" customHeight="1" x14ac:dyDescent="0.2">
      <c r="A330" s="3093"/>
      <c r="B330" s="236" t="s">
        <v>3</v>
      </c>
      <c r="C330" s="237"/>
      <c r="D330" s="2142">
        <f t="shared" ref="D330:I330" si="215">+D331+D333</f>
        <v>9796068.3100000005</v>
      </c>
      <c r="E330" s="2143">
        <f t="shared" si="215"/>
        <v>6341500</v>
      </c>
      <c r="F330" s="2143">
        <f>+F331+F333</f>
        <v>3454568.31</v>
      </c>
      <c r="G330" s="307">
        <f t="shared" si="215"/>
        <v>0</v>
      </c>
      <c r="H330" s="2446">
        <f t="shared" si="215"/>
        <v>0</v>
      </c>
      <c r="I330" s="2142">
        <f t="shared" si="215"/>
        <v>9796068.3100000005</v>
      </c>
      <c r="J330" s="2334">
        <f t="shared" si="188"/>
        <v>100</v>
      </c>
      <c r="K330" s="307">
        <f>+K331+K333</f>
        <v>0</v>
      </c>
      <c r="L330" s="1080">
        <v>0</v>
      </c>
      <c r="M330" s="2170">
        <f t="shared" si="212"/>
        <v>0</v>
      </c>
      <c r="N330" s="3106"/>
    </row>
    <row r="331" spans="1:14" ht="14.25" customHeight="1" x14ac:dyDescent="0.2">
      <c r="A331" s="3093"/>
      <c r="B331" s="301" t="s">
        <v>18</v>
      </c>
      <c r="C331" s="3039" t="s">
        <v>39</v>
      </c>
      <c r="D331" s="1734">
        <f t="shared" ref="D331:I331" si="216">+D332</f>
        <v>2660258</v>
      </c>
      <c r="E331" s="1706">
        <f t="shared" si="216"/>
        <v>1589089</v>
      </c>
      <c r="F331" s="1706">
        <f>+F332</f>
        <v>1071169</v>
      </c>
      <c r="G331" s="308">
        <f t="shared" si="216"/>
        <v>0</v>
      </c>
      <c r="H331" s="2447">
        <f t="shared" si="216"/>
        <v>0</v>
      </c>
      <c r="I331" s="1734">
        <f t="shared" si="216"/>
        <v>2660258</v>
      </c>
      <c r="J331" s="1256">
        <f t="shared" si="188"/>
        <v>100</v>
      </c>
      <c r="K331" s="308">
        <f>+K332</f>
        <v>0</v>
      </c>
      <c r="L331" s="1076">
        <v>0</v>
      </c>
      <c r="M331" s="1425">
        <f t="shared" si="212"/>
        <v>0</v>
      </c>
      <c r="N331" s="3106"/>
    </row>
    <row r="332" spans="1:14" ht="14.25" customHeight="1" x14ac:dyDescent="0.2">
      <c r="A332" s="3093"/>
      <c r="B332" s="279" t="s">
        <v>5</v>
      </c>
      <c r="C332" s="3100"/>
      <c r="D332" s="1701">
        <f>+E332+F332+G332+H332</f>
        <v>2660258</v>
      </c>
      <c r="E332" s="1702">
        <f>19885+154542+1414662</f>
        <v>1589089</v>
      </c>
      <c r="F332" s="1702">
        <v>1071169</v>
      </c>
      <c r="G332" s="280">
        <v>0</v>
      </c>
      <c r="H332" s="1806">
        <v>0</v>
      </c>
      <c r="I332" s="295">
        <f>E332+F332+K332</f>
        <v>2660258</v>
      </c>
      <c r="J332" s="2326">
        <f t="shared" si="188"/>
        <v>100</v>
      </c>
      <c r="K332" s="280">
        <v>0</v>
      </c>
      <c r="L332" s="900">
        <v>0</v>
      </c>
      <c r="M332" s="2175">
        <f t="shared" si="212"/>
        <v>0</v>
      </c>
      <c r="N332" s="3106"/>
    </row>
    <row r="333" spans="1:14" ht="14.25" customHeight="1" x14ac:dyDescent="0.2">
      <c r="A333" s="3093"/>
      <c r="B333" s="281" t="s">
        <v>13</v>
      </c>
      <c r="C333" s="3100"/>
      <c r="D333" s="282">
        <f t="shared" ref="D333:I333" si="217">+D334</f>
        <v>7135810.3100000005</v>
      </c>
      <c r="E333" s="283">
        <f t="shared" si="217"/>
        <v>4752411</v>
      </c>
      <c r="F333" s="283">
        <f>+F334</f>
        <v>2383399.31</v>
      </c>
      <c r="G333" s="284">
        <f t="shared" si="217"/>
        <v>0</v>
      </c>
      <c r="H333" s="2436">
        <f t="shared" si="217"/>
        <v>0</v>
      </c>
      <c r="I333" s="282">
        <f t="shared" si="217"/>
        <v>7135810.3100000005</v>
      </c>
      <c r="J333" s="1231">
        <f t="shared" si="188"/>
        <v>100</v>
      </c>
      <c r="K333" s="284">
        <f>+K334</f>
        <v>0</v>
      </c>
      <c r="L333" s="1078">
        <v>0</v>
      </c>
      <c r="M333" s="1426">
        <f t="shared" si="212"/>
        <v>0</v>
      </c>
      <c r="N333" s="3106"/>
    </row>
    <row r="334" spans="1:14" ht="14.25" customHeight="1" x14ac:dyDescent="0.2">
      <c r="A334" s="3093"/>
      <c r="B334" s="279" t="s">
        <v>15</v>
      </c>
      <c r="C334" s="3100"/>
      <c r="D334" s="1701">
        <f>+E334+F334+G334+H334</f>
        <v>7135810.3100000005</v>
      </c>
      <c r="E334" s="1702">
        <f>1506+450667+4300238</f>
        <v>4752411</v>
      </c>
      <c r="F334" s="1702">
        <v>2383399.31</v>
      </c>
      <c r="G334" s="280">
        <v>0</v>
      </c>
      <c r="H334" s="1806">
        <v>0</v>
      </c>
      <c r="I334" s="295">
        <f>E334+F334+K334</f>
        <v>7135810.3100000005</v>
      </c>
      <c r="J334" s="2326">
        <f t="shared" si="188"/>
        <v>100</v>
      </c>
      <c r="K334" s="280">
        <v>0</v>
      </c>
      <c r="L334" s="900">
        <v>0</v>
      </c>
      <c r="M334" s="2175">
        <f t="shared" si="212"/>
        <v>0</v>
      </c>
      <c r="N334" s="3106"/>
    </row>
    <row r="335" spans="1:14" s="291" customFormat="1" ht="14.25" customHeight="1" x14ac:dyDescent="0.2">
      <c r="A335" s="3104"/>
      <c r="B335" s="236" t="s">
        <v>17</v>
      </c>
      <c r="C335" s="237"/>
      <c r="D335" s="302">
        <f>+D336</f>
        <v>7135810</v>
      </c>
      <c r="E335" s="304">
        <f t="shared" ref="E335:H336" si="218">+E336</f>
        <v>4280872</v>
      </c>
      <c r="F335" s="304">
        <f>+F336</f>
        <v>2497377</v>
      </c>
      <c r="G335" s="304">
        <f t="shared" si="218"/>
        <v>357561</v>
      </c>
      <c r="H335" s="1804">
        <f t="shared" si="218"/>
        <v>0</v>
      </c>
      <c r="I335" s="302">
        <f>+I336</f>
        <v>7133763</v>
      </c>
      <c r="J335" s="2334">
        <f t="shared" si="188"/>
        <v>99.971313698094548</v>
      </c>
      <c r="K335" s="304">
        <f>+K336</f>
        <v>355514</v>
      </c>
      <c r="L335" s="2335">
        <f t="shared" si="206"/>
        <v>99.427510270974736</v>
      </c>
      <c r="M335" s="1185">
        <f t="shared" si="212"/>
        <v>176733.5</v>
      </c>
      <c r="N335" s="3107"/>
    </row>
    <row r="336" spans="1:14" s="311" customFormat="1" ht="14.25" customHeight="1" x14ac:dyDescent="0.2">
      <c r="A336" s="3104"/>
      <c r="B336" s="281" t="s">
        <v>13</v>
      </c>
      <c r="C336" s="3039" t="s">
        <v>35</v>
      </c>
      <c r="D336" s="296">
        <f>+D337</f>
        <v>7135810</v>
      </c>
      <c r="E336" s="1697">
        <f t="shared" si="218"/>
        <v>4280872</v>
      </c>
      <c r="F336" s="1697">
        <f>+F337</f>
        <v>2497377</v>
      </c>
      <c r="G336" s="297">
        <f t="shared" si="218"/>
        <v>357561</v>
      </c>
      <c r="H336" s="2438">
        <f t="shared" si="218"/>
        <v>0</v>
      </c>
      <c r="I336" s="296">
        <f>+I337</f>
        <v>7133763</v>
      </c>
      <c r="J336" s="1256">
        <f t="shared" ref="J336:J399" si="219">I336/D336*100</f>
        <v>99.971313698094548</v>
      </c>
      <c r="K336" s="297">
        <f>+K337</f>
        <v>355514</v>
      </c>
      <c r="L336" s="1742">
        <f t="shared" si="206"/>
        <v>99.427510270974736</v>
      </c>
      <c r="M336" s="1423">
        <f t="shared" si="212"/>
        <v>176733.5</v>
      </c>
      <c r="N336" s="3107"/>
    </row>
    <row r="337" spans="1:14" s="291" customFormat="1" ht="14.25" customHeight="1" thickBot="1" x14ac:dyDescent="0.25">
      <c r="A337" s="3103"/>
      <c r="B337" s="298" t="s">
        <v>15</v>
      </c>
      <c r="C337" s="3043"/>
      <c r="D337" s="1711">
        <f>+E337+F337+G337+H337</f>
        <v>7135810</v>
      </c>
      <c r="E337" s="2422">
        <v>4280872</v>
      </c>
      <c r="F337" s="2422">
        <v>2497377</v>
      </c>
      <c r="G337" s="2402">
        <v>357561</v>
      </c>
      <c r="H337" s="2448">
        <v>0</v>
      </c>
      <c r="I337" s="2353">
        <f>E337+F337+K337</f>
        <v>7133763</v>
      </c>
      <c r="J337" s="2148">
        <f t="shared" si="219"/>
        <v>99.971313698094548</v>
      </c>
      <c r="K337" s="2351">
        <v>355514</v>
      </c>
      <c r="L337" s="2341">
        <f t="shared" si="206"/>
        <v>99.427510270974736</v>
      </c>
      <c r="M337" s="2193">
        <f t="shared" si="212"/>
        <v>176733.5</v>
      </c>
      <c r="N337" s="3108"/>
    </row>
    <row r="338" spans="1:14" ht="27.75" customHeight="1" x14ac:dyDescent="0.2">
      <c r="A338" s="3092" t="s">
        <v>76</v>
      </c>
      <c r="B338" s="2122" t="s">
        <v>79</v>
      </c>
      <c r="C338" s="2123" t="s">
        <v>193</v>
      </c>
      <c r="D338" s="278"/>
      <c r="E338" s="276"/>
      <c r="F338" s="276"/>
      <c r="G338" s="276"/>
      <c r="H338" s="277"/>
      <c r="I338" s="278"/>
      <c r="J338" s="276"/>
      <c r="K338" s="276"/>
      <c r="L338" s="305"/>
      <c r="M338" s="277"/>
      <c r="N338" s="3121" t="s">
        <v>38</v>
      </c>
    </row>
    <row r="339" spans="1:14" ht="13.5" customHeight="1" x14ac:dyDescent="0.2">
      <c r="A339" s="3093"/>
      <c r="B339" s="236" t="s">
        <v>3</v>
      </c>
      <c r="C339" s="237"/>
      <c r="D339" s="319">
        <f t="shared" ref="D339:I339" si="220">+D340+D342</f>
        <v>4729539.4800000004</v>
      </c>
      <c r="E339" s="320">
        <f t="shared" si="220"/>
        <v>3322187</v>
      </c>
      <c r="F339" s="320">
        <f>+F340+F342</f>
        <v>1407352.48</v>
      </c>
      <c r="G339" s="321">
        <f t="shared" si="220"/>
        <v>0</v>
      </c>
      <c r="H339" s="2449">
        <f t="shared" si="220"/>
        <v>0</v>
      </c>
      <c r="I339" s="319">
        <f t="shared" si="220"/>
        <v>4729539.4800000004</v>
      </c>
      <c r="J339" s="2334">
        <f t="shared" si="219"/>
        <v>100</v>
      </c>
      <c r="K339" s="321">
        <f>+K340+K342</f>
        <v>0</v>
      </c>
      <c r="L339" s="1080">
        <v>0</v>
      </c>
      <c r="M339" s="2120">
        <f t="shared" si="212"/>
        <v>0</v>
      </c>
      <c r="N339" s="3106"/>
    </row>
    <row r="340" spans="1:14" ht="13.5" customHeight="1" x14ac:dyDescent="0.2">
      <c r="A340" s="3093"/>
      <c r="B340" s="322" t="s">
        <v>18</v>
      </c>
      <c r="C340" s="3039" t="s">
        <v>39</v>
      </c>
      <c r="D340" s="1734">
        <f t="shared" ref="D340:I340" si="221">+D341</f>
        <v>2287125</v>
      </c>
      <c r="E340" s="1706">
        <f t="shared" si="221"/>
        <v>1628281</v>
      </c>
      <c r="F340" s="1706">
        <f>+F341</f>
        <v>658844</v>
      </c>
      <c r="G340" s="308">
        <f t="shared" si="221"/>
        <v>0</v>
      </c>
      <c r="H340" s="2447">
        <f t="shared" si="221"/>
        <v>0</v>
      </c>
      <c r="I340" s="1734">
        <f t="shared" si="221"/>
        <v>2287125</v>
      </c>
      <c r="J340" s="1256">
        <f t="shared" si="219"/>
        <v>100</v>
      </c>
      <c r="K340" s="308">
        <f>+K341</f>
        <v>0</v>
      </c>
      <c r="L340" s="1076">
        <v>0</v>
      </c>
      <c r="M340" s="1425">
        <f t="shared" si="212"/>
        <v>0</v>
      </c>
      <c r="N340" s="3106"/>
    </row>
    <row r="341" spans="1:14" ht="13.5" customHeight="1" x14ac:dyDescent="0.2">
      <c r="A341" s="3093"/>
      <c r="B341" s="279" t="s">
        <v>5</v>
      </c>
      <c r="C341" s="3100"/>
      <c r="D341" s="1701">
        <f>+E341+F341+G341+H341</f>
        <v>2287125</v>
      </c>
      <c r="E341" s="1702">
        <f>304358+1323923</f>
        <v>1628281</v>
      </c>
      <c r="F341" s="1702">
        <v>658844</v>
      </c>
      <c r="G341" s="280">
        <v>0</v>
      </c>
      <c r="H341" s="1806">
        <v>0</v>
      </c>
      <c r="I341" s="295">
        <f>E341+F341+K341</f>
        <v>2287125</v>
      </c>
      <c r="J341" s="2326">
        <f t="shared" si="219"/>
        <v>100</v>
      </c>
      <c r="K341" s="280">
        <v>0</v>
      </c>
      <c r="L341" s="900">
        <v>0</v>
      </c>
      <c r="M341" s="2175">
        <f t="shared" si="212"/>
        <v>0</v>
      </c>
      <c r="N341" s="3106"/>
    </row>
    <row r="342" spans="1:14" ht="13.5" customHeight="1" x14ac:dyDescent="0.2">
      <c r="A342" s="3093"/>
      <c r="B342" s="2257" t="s">
        <v>13</v>
      </c>
      <c r="C342" s="3100"/>
      <c r="D342" s="282">
        <f t="shared" ref="D342:I342" si="222">+D343</f>
        <v>2442414.48</v>
      </c>
      <c r="E342" s="283">
        <f t="shared" si="222"/>
        <v>1693906</v>
      </c>
      <c r="F342" s="283">
        <f>+F343</f>
        <v>748508.48</v>
      </c>
      <c r="G342" s="284">
        <f t="shared" si="222"/>
        <v>0</v>
      </c>
      <c r="H342" s="2436">
        <f t="shared" si="222"/>
        <v>0</v>
      </c>
      <c r="I342" s="282">
        <f t="shared" si="222"/>
        <v>2442414.48</v>
      </c>
      <c r="J342" s="1231">
        <f t="shared" si="219"/>
        <v>100</v>
      </c>
      <c r="K342" s="284">
        <f>+K343</f>
        <v>0</v>
      </c>
      <c r="L342" s="1078">
        <v>0</v>
      </c>
      <c r="M342" s="1426">
        <f t="shared" si="212"/>
        <v>0</v>
      </c>
      <c r="N342" s="3106"/>
    </row>
    <row r="343" spans="1:14" ht="13.5" customHeight="1" x14ac:dyDescent="0.2">
      <c r="A343" s="3093"/>
      <c r="B343" s="279" t="s">
        <v>15</v>
      </c>
      <c r="C343" s="3100"/>
      <c r="D343" s="1701">
        <f>+E343+F343+G343+H343</f>
        <v>2442414.48</v>
      </c>
      <c r="E343" s="1702">
        <f>359889+1334017</f>
        <v>1693906</v>
      </c>
      <c r="F343" s="1702">
        <v>748508.48</v>
      </c>
      <c r="G343" s="280">
        <v>0</v>
      </c>
      <c r="H343" s="1806">
        <v>0</v>
      </c>
      <c r="I343" s="295">
        <f>E343+F343+K343</f>
        <v>2442414.48</v>
      </c>
      <c r="J343" s="2326">
        <f t="shared" si="219"/>
        <v>100</v>
      </c>
      <c r="K343" s="280">
        <v>0</v>
      </c>
      <c r="L343" s="900">
        <v>0</v>
      </c>
      <c r="M343" s="2175">
        <f t="shared" si="212"/>
        <v>0</v>
      </c>
      <c r="N343" s="3106"/>
    </row>
    <row r="344" spans="1:14" s="291" customFormat="1" ht="13.5" customHeight="1" x14ac:dyDescent="0.2">
      <c r="A344" s="3104"/>
      <c r="B344" s="236" t="s">
        <v>17</v>
      </c>
      <c r="C344" s="237"/>
      <c r="D344" s="302">
        <f t="shared" ref="D344:E345" si="223">+D345</f>
        <v>2442414</v>
      </c>
      <c r="E344" s="304">
        <f t="shared" si="223"/>
        <v>1644009</v>
      </c>
      <c r="F344" s="304">
        <f>+F345</f>
        <v>668373</v>
      </c>
      <c r="G344" s="304">
        <f t="shared" ref="G344:H345" si="224">+G345</f>
        <v>130032</v>
      </c>
      <c r="H344" s="1804">
        <f t="shared" si="224"/>
        <v>0</v>
      </c>
      <c r="I344" s="302">
        <f>+I345</f>
        <v>2441588</v>
      </c>
      <c r="J344" s="2334">
        <f t="shared" si="219"/>
        <v>99.966180999617592</v>
      </c>
      <c r="K344" s="304">
        <f>+K345</f>
        <v>129206</v>
      </c>
      <c r="L344" s="2335">
        <f t="shared" si="206"/>
        <v>99.364771748492672</v>
      </c>
      <c r="M344" s="1185">
        <f t="shared" si="212"/>
        <v>64190</v>
      </c>
      <c r="N344" s="3107"/>
    </row>
    <row r="345" spans="1:14" s="311" customFormat="1" ht="13.5" customHeight="1" x14ac:dyDescent="0.2">
      <c r="A345" s="3104"/>
      <c r="B345" s="2257" t="s">
        <v>13</v>
      </c>
      <c r="C345" s="3039" t="s">
        <v>35</v>
      </c>
      <c r="D345" s="296">
        <f t="shared" si="223"/>
        <v>2442414</v>
      </c>
      <c r="E345" s="1697">
        <f t="shared" si="223"/>
        <v>1644009</v>
      </c>
      <c r="F345" s="1697">
        <f>+F346</f>
        <v>668373</v>
      </c>
      <c r="G345" s="297">
        <f t="shared" si="224"/>
        <v>130032</v>
      </c>
      <c r="H345" s="2438">
        <f t="shared" si="224"/>
        <v>0</v>
      </c>
      <c r="I345" s="296">
        <f>+I346</f>
        <v>2441588</v>
      </c>
      <c r="J345" s="1256">
        <f t="shared" si="219"/>
        <v>99.966180999617592</v>
      </c>
      <c r="K345" s="297">
        <f>+K346</f>
        <v>129206</v>
      </c>
      <c r="L345" s="1742">
        <f t="shared" si="206"/>
        <v>99.364771748492672</v>
      </c>
      <c r="M345" s="1423">
        <f t="shared" si="212"/>
        <v>64190</v>
      </c>
      <c r="N345" s="3107"/>
    </row>
    <row r="346" spans="1:14" s="291" customFormat="1" ht="13.5" customHeight="1" thickBot="1" x14ac:dyDescent="0.25">
      <c r="A346" s="3103"/>
      <c r="B346" s="298" t="s">
        <v>15</v>
      </c>
      <c r="C346" s="3043"/>
      <c r="D346" s="1711">
        <f>+E346+F346+G346+H346</f>
        <v>2442414</v>
      </c>
      <c r="E346" s="2351">
        <v>1644009</v>
      </c>
      <c r="F346" s="2351">
        <v>668373</v>
      </c>
      <c r="G346" s="2351">
        <v>130032</v>
      </c>
      <c r="H346" s="2396">
        <v>0</v>
      </c>
      <c r="I346" s="2353">
        <f>E346+F346+K346</f>
        <v>2441588</v>
      </c>
      <c r="J346" s="2148">
        <f t="shared" si="219"/>
        <v>99.966180999617592</v>
      </c>
      <c r="K346" s="2351">
        <v>129206</v>
      </c>
      <c r="L346" s="2341">
        <f t="shared" si="206"/>
        <v>99.364771748492672</v>
      </c>
      <c r="M346" s="2193">
        <f t="shared" si="212"/>
        <v>64190</v>
      </c>
      <c r="N346" s="3108"/>
    </row>
    <row r="347" spans="1:14" ht="27.75" customHeight="1" x14ac:dyDescent="0.2">
      <c r="A347" s="3118" t="s">
        <v>78</v>
      </c>
      <c r="B347" s="2149" t="s">
        <v>286</v>
      </c>
      <c r="C347" s="2150" t="s">
        <v>193</v>
      </c>
      <c r="D347" s="2432"/>
      <c r="E347" s="2433"/>
      <c r="F347" s="2433"/>
      <c r="G347" s="2433"/>
      <c r="H347" s="2434"/>
      <c r="I347" s="2432"/>
      <c r="J347" s="2433"/>
      <c r="K347" s="2433"/>
      <c r="L347" s="2435"/>
      <c r="M347" s="2434"/>
      <c r="N347" s="3119" t="s">
        <v>38</v>
      </c>
    </row>
    <row r="348" spans="1:14" ht="13.5" customHeight="1" x14ac:dyDescent="0.2">
      <c r="A348" s="3093"/>
      <c r="B348" s="236" t="s">
        <v>3</v>
      </c>
      <c r="C348" s="237"/>
      <c r="D348" s="319">
        <f t="shared" ref="D348:I348" si="225">+D349+D352</f>
        <v>6701938</v>
      </c>
      <c r="E348" s="320">
        <f t="shared" si="225"/>
        <v>6653648</v>
      </c>
      <c r="F348" s="320">
        <f t="shared" si="225"/>
        <v>48290</v>
      </c>
      <c r="G348" s="321">
        <f t="shared" si="225"/>
        <v>0</v>
      </c>
      <c r="H348" s="2449">
        <f t="shared" si="225"/>
        <v>0</v>
      </c>
      <c r="I348" s="319">
        <f t="shared" si="225"/>
        <v>6701938</v>
      </c>
      <c r="J348" s="1181">
        <f t="shared" si="219"/>
        <v>100</v>
      </c>
      <c r="K348" s="321">
        <f>+K349+K352</f>
        <v>0</v>
      </c>
      <c r="L348" s="1075">
        <v>0</v>
      </c>
      <c r="M348" s="2120">
        <f t="shared" si="212"/>
        <v>0</v>
      </c>
      <c r="N348" s="3106"/>
    </row>
    <row r="349" spans="1:14" ht="13.5" customHeight="1" x14ac:dyDescent="0.2">
      <c r="A349" s="3093"/>
      <c r="B349" s="301" t="s">
        <v>18</v>
      </c>
      <c r="C349" s="3039" t="s">
        <v>39</v>
      </c>
      <c r="D349" s="2320">
        <f t="shared" ref="D349:I349" si="226">+D350+D351</f>
        <v>2346763</v>
      </c>
      <c r="E349" s="2321">
        <f t="shared" si="226"/>
        <v>2298473</v>
      </c>
      <c r="F349" s="2321">
        <f t="shared" si="226"/>
        <v>48290</v>
      </c>
      <c r="G349" s="2450">
        <f t="shared" si="226"/>
        <v>0</v>
      </c>
      <c r="H349" s="2029">
        <f t="shared" si="226"/>
        <v>0</v>
      </c>
      <c r="I349" s="2320">
        <f t="shared" si="226"/>
        <v>2346763</v>
      </c>
      <c r="J349" s="2377">
        <f t="shared" si="219"/>
        <v>100</v>
      </c>
      <c r="K349" s="2450">
        <f>+K350+K351</f>
        <v>0</v>
      </c>
      <c r="L349" s="2380">
        <v>0</v>
      </c>
      <c r="M349" s="2325">
        <f t="shared" si="212"/>
        <v>0</v>
      </c>
      <c r="N349" s="3106"/>
    </row>
    <row r="350" spans="1:14" ht="12.75" customHeight="1" x14ac:dyDescent="0.2">
      <c r="A350" s="3093"/>
      <c r="B350" s="279" t="s">
        <v>5</v>
      </c>
      <c r="C350" s="3100"/>
      <c r="D350" s="1701">
        <f>+E350+F350+G350+H350</f>
        <v>1946052</v>
      </c>
      <c r="E350" s="1702">
        <f>108028+1535237+254497</f>
        <v>1897762</v>
      </c>
      <c r="F350" s="292">
        <v>48290</v>
      </c>
      <c r="G350" s="293">
        <v>0</v>
      </c>
      <c r="H350" s="2389">
        <v>0</v>
      </c>
      <c r="I350" s="295">
        <f>E350+F350+K350</f>
        <v>1946052</v>
      </c>
      <c r="J350" s="1291">
        <f t="shared" si="219"/>
        <v>100</v>
      </c>
      <c r="K350" s="293">
        <v>0</v>
      </c>
      <c r="L350" s="1077">
        <v>0</v>
      </c>
      <c r="M350" s="2175">
        <f t="shared" si="212"/>
        <v>0</v>
      </c>
      <c r="N350" s="3106"/>
    </row>
    <row r="351" spans="1:14" ht="13.5" customHeight="1" x14ac:dyDescent="0.2">
      <c r="A351" s="3093"/>
      <c r="B351" s="310" t="s">
        <v>10</v>
      </c>
      <c r="C351" s="3100"/>
      <c r="D351" s="1701">
        <f>+E351+F351+G351</f>
        <v>400711</v>
      </c>
      <c r="E351" s="292">
        <v>400711</v>
      </c>
      <c r="F351" s="293">
        <v>0</v>
      </c>
      <c r="G351" s="293">
        <v>0</v>
      </c>
      <c r="H351" s="2389">
        <v>0</v>
      </c>
      <c r="I351" s="295">
        <f>E351+F351+K351</f>
        <v>400711</v>
      </c>
      <c r="J351" s="2326">
        <f t="shared" si="219"/>
        <v>100</v>
      </c>
      <c r="K351" s="280">
        <v>0</v>
      </c>
      <c r="L351" s="900">
        <v>0</v>
      </c>
      <c r="M351" s="2175">
        <f t="shared" si="212"/>
        <v>0</v>
      </c>
      <c r="N351" s="3106"/>
    </row>
    <row r="352" spans="1:14" ht="13.5" customHeight="1" x14ac:dyDescent="0.2">
      <c r="A352" s="3093"/>
      <c r="B352" s="281" t="s">
        <v>13</v>
      </c>
      <c r="C352" s="3100"/>
      <c r="D352" s="282">
        <f t="shared" ref="D352:I352" si="227">+D353</f>
        <v>4355175</v>
      </c>
      <c r="E352" s="283">
        <f t="shared" si="227"/>
        <v>4355175</v>
      </c>
      <c r="F352" s="284">
        <f t="shared" si="227"/>
        <v>0</v>
      </c>
      <c r="G352" s="284">
        <f t="shared" si="227"/>
        <v>0</v>
      </c>
      <c r="H352" s="285">
        <f t="shared" si="227"/>
        <v>0</v>
      </c>
      <c r="I352" s="282">
        <f t="shared" si="227"/>
        <v>4355175</v>
      </c>
      <c r="J352" s="1231">
        <f t="shared" si="219"/>
        <v>100</v>
      </c>
      <c r="K352" s="284">
        <f>+K353</f>
        <v>0</v>
      </c>
      <c r="L352" s="1078">
        <v>0</v>
      </c>
      <c r="M352" s="1426">
        <f t="shared" si="212"/>
        <v>0</v>
      </c>
      <c r="N352" s="3106"/>
    </row>
    <row r="353" spans="1:14" ht="13.5" customHeight="1" x14ac:dyDescent="0.2">
      <c r="A353" s="3093"/>
      <c r="B353" s="279" t="s">
        <v>15</v>
      </c>
      <c r="C353" s="3100"/>
      <c r="D353" s="1701">
        <f>+E353+F353+G353</f>
        <v>4355175</v>
      </c>
      <c r="E353" s="1702">
        <f>297662+4057513</f>
        <v>4355175</v>
      </c>
      <c r="F353" s="293">
        <v>0</v>
      </c>
      <c r="G353" s="293">
        <v>0</v>
      </c>
      <c r="H353" s="1127">
        <v>0</v>
      </c>
      <c r="I353" s="295">
        <f>E353+F353+K353</f>
        <v>4355175</v>
      </c>
      <c r="J353" s="1291">
        <f t="shared" si="219"/>
        <v>100</v>
      </c>
      <c r="K353" s="280">
        <v>0</v>
      </c>
      <c r="L353" s="1077">
        <v>0</v>
      </c>
      <c r="M353" s="2175">
        <f t="shared" si="212"/>
        <v>0</v>
      </c>
      <c r="N353" s="3106"/>
    </row>
    <row r="354" spans="1:14" ht="12.75" customHeight="1" x14ac:dyDescent="0.2">
      <c r="A354" s="3104"/>
      <c r="B354" s="236" t="s">
        <v>17</v>
      </c>
      <c r="C354" s="237"/>
      <c r="D354" s="302">
        <f t="shared" ref="D354:I354" si="228">+D355+D357</f>
        <v>4755886</v>
      </c>
      <c r="E354" s="304">
        <f t="shared" si="228"/>
        <v>4755886</v>
      </c>
      <c r="F354" s="303">
        <f t="shared" si="228"/>
        <v>0</v>
      </c>
      <c r="G354" s="303">
        <f t="shared" si="228"/>
        <v>0</v>
      </c>
      <c r="H354" s="306">
        <f t="shared" si="228"/>
        <v>0</v>
      </c>
      <c r="I354" s="302">
        <f t="shared" si="228"/>
        <v>4755886</v>
      </c>
      <c r="J354" s="1181">
        <f t="shared" si="219"/>
        <v>100</v>
      </c>
      <c r="K354" s="303">
        <f>+K355+K357</f>
        <v>0</v>
      </c>
      <c r="L354" s="1075">
        <v>0</v>
      </c>
      <c r="M354" s="1185">
        <f t="shared" si="212"/>
        <v>0</v>
      </c>
      <c r="N354" s="3107"/>
    </row>
    <row r="355" spans="1:14" ht="13.5" customHeight="1" x14ac:dyDescent="0.2">
      <c r="A355" s="3104"/>
      <c r="B355" s="301" t="s">
        <v>18</v>
      </c>
      <c r="C355" s="3122" t="s">
        <v>52</v>
      </c>
      <c r="D355" s="282">
        <f t="shared" ref="D355:I355" si="229">+D356</f>
        <v>400711</v>
      </c>
      <c r="E355" s="283">
        <f t="shared" si="229"/>
        <v>400711</v>
      </c>
      <c r="F355" s="284">
        <f t="shared" si="229"/>
        <v>0</v>
      </c>
      <c r="G355" s="284">
        <f t="shared" si="229"/>
        <v>0</v>
      </c>
      <c r="H355" s="285">
        <f t="shared" si="229"/>
        <v>0</v>
      </c>
      <c r="I355" s="282">
        <f t="shared" si="229"/>
        <v>400711</v>
      </c>
      <c r="J355" s="2377">
        <f t="shared" si="219"/>
        <v>100</v>
      </c>
      <c r="K355" s="284">
        <f>+K356</f>
        <v>0</v>
      </c>
      <c r="L355" s="2380">
        <v>0</v>
      </c>
      <c r="M355" s="1426">
        <f t="shared" si="212"/>
        <v>0</v>
      </c>
      <c r="N355" s="3107"/>
    </row>
    <row r="356" spans="1:14" ht="13.5" customHeight="1" x14ac:dyDescent="0.2">
      <c r="A356" s="3104"/>
      <c r="B356" s="310" t="s">
        <v>10</v>
      </c>
      <c r="C356" s="3139"/>
      <c r="D356" s="1701">
        <f>+E356+F356+G356</f>
        <v>400711</v>
      </c>
      <c r="E356" s="2144">
        <v>400711</v>
      </c>
      <c r="F356" s="300">
        <v>0</v>
      </c>
      <c r="G356" s="300">
        <v>0</v>
      </c>
      <c r="H356" s="2359">
        <v>0</v>
      </c>
      <c r="I356" s="295">
        <f>E356+F356+K356</f>
        <v>400711</v>
      </c>
      <c r="J356" s="1291">
        <f t="shared" si="219"/>
        <v>100</v>
      </c>
      <c r="K356" s="300">
        <v>0</v>
      </c>
      <c r="L356" s="1077">
        <v>0</v>
      </c>
      <c r="M356" s="2175">
        <f t="shared" si="212"/>
        <v>0</v>
      </c>
      <c r="N356" s="3107"/>
    </row>
    <row r="357" spans="1:14" ht="12" customHeight="1" x14ac:dyDescent="0.2">
      <c r="A357" s="3104"/>
      <c r="B357" s="281" t="s">
        <v>13</v>
      </c>
      <c r="C357" s="3139"/>
      <c r="D357" s="282">
        <f t="shared" ref="D357:I357" si="230">+D358</f>
        <v>4355175</v>
      </c>
      <c r="E357" s="283">
        <f t="shared" si="230"/>
        <v>4355175</v>
      </c>
      <c r="F357" s="284">
        <f t="shared" si="230"/>
        <v>0</v>
      </c>
      <c r="G357" s="284">
        <f t="shared" si="230"/>
        <v>0</v>
      </c>
      <c r="H357" s="285">
        <f t="shared" si="230"/>
        <v>0</v>
      </c>
      <c r="I357" s="282">
        <f t="shared" si="230"/>
        <v>4355175</v>
      </c>
      <c r="J357" s="1231">
        <f t="shared" si="219"/>
        <v>100</v>
      </c>
      <c r="K357" s="284">
        <f>+K358</f>
        <v>0</v>
      </c>
      <c r="L357" s="1078">
        <v>0</v>
      </c>
      <c r="M357" s="1426">
        <f t="shared" si="212"/>
        <v>0</v>
      </c>
      <c r="N357" s="3107"/>
    </row>
    <row r="358" spans="1:14" ht="13.5" customHeight="1" thickBot="1" x14ac:dyDescent="0.25">
      <c r="A358" s="3103"/>
      <c r="B358" s="287" t="s">
        <v>15</v>
      </c>
      <c r="C358" s="3139"/>
      <c r="D358" s="1711">
        <f>+E358+F358+G358</f>
        <v>4355175</v>
      </c>
      <c r="E358" s="1712">
        <f>3035640+1319535</f>
        <v>4355175</v>
      </c>
      <c r="F358" s="288">
        <v>0</v>
      </c>
      <c r="G358" s="288">
        <v>0</v>
      </c>
      <c r="H358" s="294">
        <v>0</v>
      </c>
      <c r="I358" s="2353">
        <f>E358+F358+K358</f>
        <v>4355175</v>
      </c>
      <c r="J358" s="1291">
        <f t="shared" si="219"/>
        <v>100</v>
      </c>
      <c r="K358" s="288">
        <v>0</v>
      </c>
      <c r="L358" s="1077">
        <v>0</v>
      </c>
      <c r="M358" s="2193">
        <f t="shared" si="212"/>
        <v>0</v>
      </c>
      <c r="N358" s="3108"/>
    </row>
    <row r="359" spans="1:14" ht="39.75" customHeight="1" x14ac:dyDescent="0.2">
      <c r="A359" s="3092" t="s">
        <v>80</v>
      </c>
      <c r="B359" s="2122" t="s">
        <v>82</v>
      </c>
      <c r="C359" s="2123" t="s">
        <v>193</v>
      </c>
      <c r="D359" s="2369"/>
      <c r="E359" s="2370"/>
      <c r="F359" s="2370"/>
      <c r="G359" s="2370"/>
      <c r="H359" s="2371"/>
      <c r="I359" s="2369"/>
      <c r="J359" s="2370"/>
      <c r="K359" s="2370"/>
      <c r="L359" s="2372"/>
      <c r="M359" s="2371"/>
      <c r="N359" s="3121" t="s">
        <v>323</v>
      </c>
    </row>
    <row r="360" spans="1:14" ht="14.25" customHeight="1" x14ac:dyDescent="0.2">
      <c r="A360" s="3093"/>
      <c r="B360" s="236" t="s">
        <v>3</v>
      </c>
      <c r="C360" s="237"/>
      <c r="D360" s="2451">
        <f t="shared" ref="D360:H364" si="231">+D361</f>
        <v>46900000</v>
      </c>
      <c r="E360" s="2039">
        <f t="shared" si="231"/>
        <v>0</v>
      </c>
      <c r="F360" s="2039">
        <f t="shared" si="231"/>
        <v>0</v>
      </c>
      <c r="G360" s="2143">
        <f t="shared" si="231"/>
        <v>26800000</v>
      </c>
      <c r="H360" s="2200">
        <f t="shared" si="231"/>
        <v>20100000</v>
      </c>
      <c r="I360" s="2142">
        <f>+I361+I363</f>
        <v>0</v>
      </c>
      <c r="J360" s="1181">
        <f t="shared" si="219"/>
        <v>0</v>
      </c>
      <c r="K360" s="2143">
        <f>+K361+K363</f>
        <v>0</v>
      </c>
      <c r="L360" s="1740">
        <f t="shared" si="206"/>
        <v>0</v>
      </c>
      <c r="M360" s="2170">
        <f t="shared" si="212"/>
        <v>-13400000</v>
      </c>
      <c r="N360" s="3106"/>
    </row>
    <row r="361" spans="1:14" ht="14.25" customHeight="1" x14ac:dyDescent="0.2">
      <c r="A361" s="3093"/>
      <c r="B361" s="281" t="s">
        <v>13</v>
      </c>
      <c r="C361" s="3100"/>
      <c r="D361" s="282">
        <f t="shared" si="231"/>
        <v>46900000</v>
      </c>
      <c r="E361" s="284">
        <f t="shared" si="231"/>
        <v>0</v>
      </c>
      <c r="F361" s="284">
        <f t="shared" si="231"/>
        <v>0</v>
      </c>
      <c r="G361" s="1706">
        <f t="shared" si="231"/>
        <v>26800000</v>
      </c>
      <c r="H361" s="2201">
        <f t="shared" si="231"/>
        <v>20100000</v>
      </c>
      <c r="I361" s="1734">
        <f>+I362</f>
        <v>0</v>
      </c>
      <c r="J361" s="2377">
        <f t="shared" si="219"/>
        <v>0</v>
      </c>
      <c r="K361" s="1706">
        <f>+K362</f>
        <v>0</v>
      </c>
      <c r="L361" s="2378">
        <f t="shared" si="206"/>
        <v>0</v>
      </c>
      <c r="M361" s="1425">
        <f t="shared" si="212"/>
        <v>-13400000</v>
      </c>
      <c r="N361" s="3106"/>
    </row>
    <row r="362" spans="1:14" ht="14.25" customHeight="1" x14ac:dyDescent="0.2">
      <c r="A362" s="3093"/>
      <c r="B362" s="279" t="s">
        <v>15</v>
      </c>
      <c r="C362" s="3100"/>
      <c r="D362" s="1701">
        <f>+E362+F362+G362+H362</f>
        <v>46900000</v>
      </c>
      <c r="E362" s="280">
        <v>0</v>
      </c>
      <c r="F362" s="293">
        <v>0</v>
      </c>
      <c r="G362" s="292">
        <v>26800000</v>
      </c>
      <c r="H362" s="2399">
        <v>20100000</v>
      </c>
      <c r="I362" s="295">
        <f>E362+F362+K362</f>
        <v>0</v>
      </c>
      <c r="J362" s="1291">
        <f t="shared" si="219"/>
        <v>0</v>
      </c>
      <c r="K362" s="292">
        <v>0</v>
      </c>
      <c r="L362" s="1749">
        <f t="shared" si="206"/>
        <v>0</v>
      </c>
      <c r="M362" s="2175">
        <f t="shared" si="212"/>
        <v>-13400000</v>
      </c>
      <c r="N362" s="3106"/>
    </row>
    <row r="363" spans="1:14" ht="14.25" customHeight="1" x14ac:dyDescent="0.2">
      <c r="A363" s="3104"/>
      <c r="B363" s="236" t="s">
        <v>17</v>
      </c>
      <c r="C363" s="237"/>
      <c r="D363" s="1179">
        <f t="shared" ref="D363:F363" si="232">+D364</f>
        <v>46900000</v>
      </c>
      <c r="E363" s="1075">
        <f t="shared" si="232"/>
        <v>0</v>
      </c>
      <c r="F363" s="1075">
        <f t="shared" si="232"/>
        <v>0</v>
      </c>
      <c r="G363" s="2143">
        <f t="shared" si="231"/>
        <v>26800000</v>
      </c>
      <c r="H363" s="2200">
        <f t="shared" si="231"/>
        <v>20100000</v>
      </c>
      <c r="I363" s="2142">
        <f>+I364+I366</f>
        <v>0</v>
      </c>
      <c r="J363" s="1181">
        <f t="shared" si="219"/>
        <v>0</v>
      </c>
      <c r="K363" s="2143">
        <f>+K364+K366</f>
        <v>0</v>
      </c>
      <c r="L363" s="1740">
        <f t="shared" si="206"/>
        <v>0</v>
      </c>
      <c r="M363" s="2170">
        <f t="shared" si="212"/>
        <v>-13400000</v>
      </c>
      <c r="N363" s="3107"/>
    </row>
    <row r="364" spans="1:14" ht="14.25" customHeight="1" x14ac:dyDescent="0.2">
      <c r="A364" s="3104"/>
      <c r="B364" s="281" t="s">
        <v>13</v>
      </c>
      <c r="C364" s="3125"/>
      <c r="D364" s="282">
        <f t="shared" ref="D364:F364" si="233">+D365</f>
        <v>46900000</v>
      </c>
      <c r="E364" s="284">
        <f t="shared" si="233"/>
        <v>0</v>
      </c>
      <c r="F364" s="284">
        <f t="shared" si="233"/>
        <v>0</v>
      </c>
      <c r="G364" s="1706">
        <f t="shared" si="231"/>
        <v>26800000</v>
      </c>
      <c r="H364" s="2201">
        <f t="shared" si="231"/>
        <v>20100000</v>
      </c>
      <c r="I364" s="1734">
        <f>+I365</f>
        <v>0</v>
      </c>
      <c r="J364" s="2377">
        <f t="shared" si="219"/>
        <v>0</v>
      </c>
      <c r="K364" s="1706">
        <f>+K365</f>
        <v>0</v>
      </c>
      <c r="L364" s="2378">
        <f t="shared" si="206"/>
        <v>0</v>
      </c>
      <c r="M364" s="1425">
        <f t="shared" si="212"/>
        <v>-13400000</v>
      </c>
      <c r="N364" s="3107"/>
    </row>
    <row r="365" spans="1:14" ht="14.25" customHeight="1" thickBot="1" x14ac:dyDescent="0.25">
      <c r="A365" s="3105"/>
      <c r="B365" s="2381" t="s">
        <v>15</v>
      </c>
      <c r="C365" s="3140"/>
      <c r="D365" s="1820">
        <f>+E365+F365+G365+H365</f>
        <v>46900000</v>
      </c>
      <c r="E365" s="1808">
        <v>0</v>
      </c>
      <c r="F365" s="1808">
        <v>0</v>
      </c>
      <c r="G365" s="2417">
        <v>26800000</v>
      </c>
      <c r="H365" s="2452">
        <v>20100000</v>
      </c>
      <c r="I365" s="2382">
        <f>E365+F365+K365</f>
        <v>0</v>
      </c>
      <c r="J365" s="1789">
        <f t="shared" si="219"/>
        <v>0</v>
      </c>
      <c r="K365" s="2417">
        <v>0</v>
      </c>
      <c r="L365" s="2383">
        <f t="shared" si="206"/>
        <v>0</v>
      </c>
      <c r="M365" s="2384">
        <f t="shared" si="212"/>
        <v>-13400000</v>
      </c>
      <c r="N365" s="3124"/>
    </row>
    <row r="366" spans="1:14" ht="13.5" customHeight="1" x14ac:dyDescent="0.2">
      <c r="A366" s="3078" t="s">
        <v>83</v>
      </c>
      <c r="B366" s="323" t="s">
        <v>84</v>
      </c>
      <c r="C366" s="252"/>
      <c r="D366" s="253"/>
      <c r="E366" s="254"/>
      <c r="F366" s="254"/>
      <c r="G366" s="254"/>
      <c r="H366" s="2284"/>
      <c r="I366" s="253"/>
      <c r="J366" s="254"/>
      <c r="K366" s="254"/>
      <c r="L366" s="894"/>
      <c r="M366" s="2284"/>
      <c r="N366" s="3142"/>
    </row>
    <row r="367" spans="1:14" s="132" customFormat="1" ht="15" customHeight="1" x14ac:dyDescent="0.2">
      <c r="A367" s="3141"/>
      <c r="B367" s="1056" t="s">
        <v>3</v>
      </c>
      <c r="C367" s="1057"/>
      <c r="D367" s="1058">
        <f t="shared" ref="D367:I367" si="234">+D368+D370</f>
        <v>17754926.879999999</v>
      </c>
      <c r="E367" s="1059">
        <f t="shared" si="234"/>
        <v>6985875</v>
      </c>
      <c r="F367" s="1059">
        <f t="shared" si="234"/>
        <v>10706506.879999999</v>
      </c>
      <c r="G367" s="1059">
        <f>+G368+G370</f>
        <v>62545</v>
      </c>
      <c r="H367" s="2286">
        <f>+H368+H370</f>
        <v>0</v>
      </c>
      <c r="I367" s="1058">
        <f t="shared" si="234"/>
        <v>17695232.379999999</v>
      </c>
      <c r="J367" s="1062">
        <f t="shared" si="219"/>
        <v>99.663786280825278</v>
      </c>
      <c r="K367" s="1059">
        <f>+K368+K370</f>
        <v>2850.5</v>
      </c>
      <c r="L367" s="1065">
        <f t="shared" si="206"/>
        <v>4.5575185866176353</v>
      </c>
      <c r="M367" s="2286">
        <f t="shared" si="212"/>
        <v>-28422</v>
      </c>
      <c r="N367" s="3143"/>
    </row>
    <row r="368" spans="1:14" s="325" customFormat="1" ht="15" customHeight="1" x14ac:dyDescent="0.2">
      <c r="A368" s="3141"/>
      <c r="B368" s="324" t="s">
        <v>4</v>
      </c>
      <c r="C368" s="3146"/>
      <c r="D368" s="256">
        <f t="shared" ref="D368:K368" si="235">+D369</f>
        <v>2891527.88</v>
      </c>
      <c r="E368" s="255">
        <f t="shared" si="235"/>
        <v>1047882</v>
      </c>
      <c r="F368" s="255">
        <f t="shared" si="235"/>
        <v>1781100.88</v>
      </c>
      <c r="G368" s="255">
        <f t="shared" si="235"/>
        <v>62545</v>
      </c>
      <c r="H368" s="2453">
        <f t="shared" si="235"/>
        <v>0</v>
      </c>
      <c r="I368" s="256">
        <f t="shared" si="235"/>
        <v>2831833.38</v>
      </c>
      <c r="J368" s="2454">
        <f t="shared" si="219"/>
        <v>97.935537802941738</v>
      </c>
      <c r="K368" s="255">
        <f t="shared" si="235"/>
        <v>2850.5</v>
      </c>
      <c r="L368" s="2455">
        <f t="shared" si="206"/>
        <v>4.5575185866176353</v>
      </c>
      <c r="M368" s="2453">
        <f t="shared" si="212"/>
        <v>-28422</v>
      </c>
      <c r="N368" s="3143"/>
    </row>
    <row r="369" spans="1:14" s="132" customFormat="1" ht="15" customHeight="1" x14ac:dyDescent="0.2">
      <c r="A369" s="3141"/>
      <c r="B369" s="271" t="s">
        <v>5</v>
      </c>
      <c r="C369" s="3147"/>
      <c r="D369" s="258">
        <f t="shared" ref="D369:I369" si="236">+D378+D396+D405+D414+D387</f>
        <v>2891527.88</v>
      </c>
      <c r="E369" s="259">
        <f t="shared" si="236"/>
        <v>1047882</v>
      </c>
      <c r="F369" s="259">
        <f t="shared" si="236"/>
        <v>1781100.88</v>
      </c>
      <c r="G369" s="259">
        <f t="shared" si="236"/>
        <v>62545</v>
      </c>
      <c r="H369" s="2293">
        <f t="shared" si="236"/>
        <v>0</v>
      </c>
      <c r="I369" s="258">
        <f t="shared" si="236"/>
        <v>2831833.38</v>
      </c>
      <c r="J369" s="2456">
        <f t="shared" si="219"/>
        <v>97.935537802941738</v>
      </c>
      <c r="K369" s="259">
        <f>+K378+K396+K405+K414+K387</f>
        <v>2850.5</v>
      </c>
      <c r="L369" s="2294">
        <f t="shared" si="206"/>
        <v>4.5575185866176353</v>
      </c>
      <c r="M369" s="2293">
        <f t="shared" si="212"/>
        <v>-28422</v>
      </c>
      <c r="N369" s="3143"/>
    </row>
    <row r="370" spans="1:14" s="325" customFormat="1" ht="15" customHeight="1" x14ac:dyDescent="0.2">
      <c r="A370" s="3141"/>
      <c r="B370" s="262" t="s">
        <v>85</v>
      </c>
      <c r="C370" s="3147"/>
      <c r="D370" s="263">
        <f t="shared" ref="D370:K370" si="237">+D371</f>
        <v>14863399</v>
      </c>
      <c r="E370" s="264">
        <f t="shared" si="237"/>
        <v>5937993</v>
      </c>
      <c r="F370" s="264">
        <f t="shared" si="237"/>
        <v>8925406</v>
      </c>
      <c r="G370" s="264">
        <f t="shared" si="237"/>
        <v>0</v>
      </c>
      <c r="H370" s="2289">
        <f t="shared" si="237"/>
        <v>0</v>
      </c>
      <c r="I370" s="326">
        <f t="shared" si="237"/>
        <v>14863399</v>
      </c>
      <c r="J370" s="2454">
        <f t="shared" si="219"/>
        <v>100</v>
      </c>
      <c r="K370" s="327">
        <f t="shared" si="237"/>
        <v>0</v>
      </c>
      <c r="L370" s="2457">
        <v>0</v>
      </c>
      <c r="M370" s="2458">
        <f t="shared" si="212"/>
        <v>0</v>
      </c>
      <c r="N370" s="3143"/>
    </row>
    <row r="371" spans="1:14" s="132" customFormat="1" ht="15" customHeight="1" x14ac:dyDescent="0.2">
      <c r="A371" s="3141"/>
      <c r="B371" s="271" t="s">
        <v>14</v>
      </c>
      <c r="C371" s="3147"/>
      <c r="D371" s="258">
        <f t="shared" ref="D371:I371" si="238">+D380+D389+D398+D407+D416</f>
        <v>14863399</v>
      </c>
      <c r="E371" s="259">
        <f t="shared" si="238"/>
        <v>5937993</v>
      </c>
      <c r="F371" s="259">
        <f t="shared" si="238"/>
        <v>8925406</v>
      </c>
      <c r="G371" s="259">
        <f t="shared" si="238"/>
        <v>0</v>
      </c>
      <c r="H371" s="2293">
        <f t="shared" si="238"/>
        <v>0</v>
      </c>
      <c r="I371" s="258">
        <f t="shared" si="238"/>
        <v>14863399</v>
      </c>
      <c r="J371" s="2456">
        <f t="shared" si="219"/>
        <v>100</v>
      </c>
      <c r="K371" s="261">
        <f>+K380+K389+K398+K407+K416</f>
        <v>0</v>
      </c>
      <c r="L371" s="2459">
        <v>0</v>
      </c>
      <c r="M371" s="2293">
        <f t="shared" si="212"/>
        <v>0</v>
      </c>
      <c r="N371" s="3143"/>
    </row>
    <row r="372" spans="1:14" s="132" customFormat="1" ht="15" customHeight="1" x14ac:dyDescent="0.2">
      <c r="A372" s="3079"/>
      <c r="B372" s="1056" t="s">
        <v>17</v>
      </c>
      <c r="C372" s="1057"/>
      <c r="D372" s="1058">
        <f t="shared" ref="D372:K373" si="239">+D373</f>
        <v>14863399</v>
      </c>
      <c r="E372" s="1059">
        <f t="shared" si="239"/>
        <v>842747</v>
      </c>
      <c r="F372" s="1059">
        <f t="shared" si="239"/>
        <v>1914754</v>
      </c>
      <c r="G372" s="1059">
        <f t="shared" si="239"/>
        <v>12105898</v>
      </c>
      <c r="H372" s="2286">
        <f t="shared" si="239"/>
        <v>0</v>
      </c>
      <c r="I372" s="1061">
        <f t="shared" si="239"/>
        <v>2757501</v>
      </c>
      <c r="J372" s="1062">
        <f t="shared" si="219"/>
        <v>18.552290764716737</v>
      </c>
      <c r="K372" s="1059">
        <f t="shared" si="239"/>
        <v>0</v>
      </c>
      <c r="L372" s="1065">
        <f t="shared" ref="L372:L435" si="240">K372/G372*100</f>
        <v>0</v>
      </c>
      <c r="M372" s="2460">
        <f t="shared" si="212"/>
        <v>-6052949</v>
      </c>
      <c r="N372" s="3144"/>
    </row>
    <row r="373" spans="1:14" s="132" customFormat="1" ht="15" customHeight="1" x14ac:dyDescent="0.2">
      <c r="A373" s="3079"/>
      <c r="B373" s="328" t="s">
        <v>13</v>
      </c>
      <c r="C373" s="3148"/>
      <c r="D373" s="256">
        <f t="shared" si="239"/>
        <v>14863399</v>
      </c>
      <c r="E373" s="255">
        <f t="shared" si="239"/>
        <v>842747</v>
      </c>
      <c r="F373" s="255">
        <f t="shared" si="239"/>
        <v>1914754</v>
      </c>
      <c r="G373" s="255">
        <f t="shared" si="239"/>
        <v>12105898</v>
      </c>
      <c r="H373" s="2453">
        <f t="shared" si="239"/>
        <v>0</v>
      </c>
      <c r="I373" s="329">
        <f t="shared" si="239"/>
        <v>2757501</v>
      </c>
      <c r="J373" s="2454">
        <f t="shared" si="219"/>
        <v>18.552290764716737</v>
      </c>
      <c r="K373" s="255">
        <f t="shared" si="239"/>
        <v>0</v>
      </c>
      <c r="L373" s="2455">
        <f t="shared" si="240"/>
        <v>0</v>
      </c>
      <c r="M373" s="2461">
        <f t="shared" si="212"/>
        <v>-6052949</v>
      </c>
      <c r="N373" s="3144"/>
    </row>
    <row r="374" spans="1:14" s="132" customFormat="1" ht="15" customHeight="1" thickBot="1" x14ac:dyDescent="0.25">
      <c r="A374" s="3080"/>
      <c r="B374" s="330" t="s">
        <v>14</v>
      </c>
      <c r="C374" s="3149"/>
      <c r="D374" s="331">
        <f t="shared" ref="D374:I374" si="241">+D383+D392+D401+D410+D419</f>
        <v>14863399</v>
      </c>
      <c r="E374" s="332">
        <f t="shared" si="241"/>
        <v>842747</v>
      </c>
      <c r="F374" s="332">
        <f t="shared" si="241"/>
        <v>1914754</v>
      </c>
      <c r="G374" s="332">
        <f t="shared" si="241"/>
        <v>12105898</v>
      </c>
      <c r="H374" s="2462">
        <f t="shared" si="241"/>
        <v>0</v>
      </c>
      <c r="I374" s="331">
        <f t="shared" si="241"/>
        <v>2757501</v>
      </c>
      <c r="J374" s="2463">
        <f t="shared" si="219"/>
        <v>18.552290764716737</v>
      </c>
      <c r="K374" s="332">
        <f>+K383+K392+K401+K410+K419</f>
        <v>0</v>
      </c>
      <c r="L374" s="2464">
        <f t="shared" si="240"/>
        <v>0</v>
      </c>
      <c r="M374" s="2462">
        <f t="shared" si="212"/>
        <v>-6052949</v>
      </c>
      <c r="N374" s="3145"/>
    </row>
    <row r="375" spans="1:14" ht="22.5" hidden="1" customHeight="1" x14ac:dyDescent="0.25">
      <c r="A375" s="3118" t="s">
        <v>80</v>
      </c>
      <c r="B375" s="333" t="s">
        <v>86</v>
      </c>
      <c r="C375" s="334"/>
      <c r="D375" s="2465"/>
      <c r="E375" s="335"/>
      <c r="F375" s="335"/>
      <c r="G375" s="335"/>
      <c r="H375" s="2466"/>
      <c r="I375" s="336"/>
      <c r="J375" s="2467" t="e">
        <f t="shared" si="219"/>
        <v>#DIV/0!</v>
      </c>
      <c r="K375" s="335"/>
      <c r="L375" s="2468" t="e">
        <f t="shared" si="240"/>
        <v>#DIV/0!</v>
      </c>
      <c r="M375" s="2466">
        <f t="shared" si="212"/>
        <v>0</v>
      </c>
      <c r="N375" s="3150" t="s">
        <v>87</v>
      </c>
    </row>
    <row r="376" spans="1:14" ht="13.5" hidden="1" customHeight="1" x14ac:dyDescent="0.25">
      <c r="A376" s="3093"/>
      <c r="B376" s="236" t="s">
        <v>3</v>
      </c>
      <c r="C376" s="237"/>
      <c r="D376" s="337"/>
      <c r="E376" s="338"/>
      <c r="F376" s="338"/>
      <c r="G376" s="338"/>
      <c r="H376" s="2469"/>
      <c r="I376" s="337"/>
      <c r="J376" s="2326" t="e">
        <f t="shared" si="219"/>
        <v>#DIV/0!</v>
      </c>
      <c r="K376" s="338"/>
      <c r="L376" s="2339" t="e">
        <f t="shared" si="240"/>
        <v>#DIV/0!</v>
      </c>
      <c r="M376" s="2469">
        <f t="shared" si="212"/>
        <v>0</v>
      </c>
      <c r="N376" s="3151"/>
    </row>
    <row r="377" spans="1:14" ht="13.5" hidden="1" customHeight="1" x14ac:dyDescent="0.25">
      <c r="A377" s="3093"/>
      <c r="B377" s="301" t="s">
        <v>18</v>
      </c>
      <c r="C377" s="3039" t="s">
        <v>39</v>
      </c>
      <c r="D377" s="339"/>
      <c r="E377" s="340"/>
      <c r="F377" s="340"/>
      <c r="G377" s="340"/>
      <c r="H377" s="2470"/>
      <c r="I377" s="339"/>
      <c r="J377" s="2326" t="e">
        <f t="shared" si="219"/>
        <v>#DIV/0!</v>
      </c>
      <c r="K377" s="340"/>
      <c r="L377" s="2339" t="e">
        <f t="shared" si="240"/>
        <v>#DIV/0!</v>
      </c>
      <c r="M377" s="2470">
        <f t="shared" si="212"/>
        <v>0</v>
      </c>
      <c r="N377" s="3151"/>
    </row>
    <row r="378" spans="1:14" ht="13.5" hidden="1" customHeight="1" x14ac:dyDescent="0.25">
      <c r="A378" s="3093"/>
      <c r="B378" s="310" t="s">
        <v>5</v>
      </c>
      <c r="C378" s="3100"/>
      <c r="D378" s="295"/>
      <c r="E378" s="292"/>
      <c r="F378" s="292"/>
      <c r="G378" s="292"/>
      <c r="H378" s="2175"/>
      <c r="I378" s="295"/>
      <c r="J378" s="2326" t="e">
        <f t="shared" si="219"/>
        <v>#DIV/0!</v>
      </c>
      <c r="K378" s="292"/>
      <c r="L378" s="2339" t="e">
        <f t="shared" si="240"/>
        <v>#DIV/0!</v>
      </c>
      <c r="M378" s="2175">
        <f t="shared" si="212"/>
        <v>0</v>
      </c>
      <c r="N378" s="3151"/>
    </row>
    <row r="379" spans="1:14" ht="12.75" hidden="1" customHeight="1" x14ac:dyDescent="0.25">
      <c r="A379" s="3093"/>
      <c r="B379" s="281" t="s">
        <v>13</v>
      </c>
      <c r="C379" s="3100"/>
      <c r="D379" s="282"/>
      <c r="E379" s="283"/>
      <c r="F379" s="283"/>
      <c r="G379" s="283"/>
      <c r="H379" s="1426"/>
      <c r="I379" s="282"/>
      <c r="J379" s="2326" t="e">
        <f t="shared" si="219"/>
        <v>#DIV/0!</v>
      </c>
      <c r="K379" s="283"/>
      <c r="L379" s="2339" t="e">
        <f t="shared" si="240"/>
        <v>#DIV/0!</v>
      </c>
      <c r="M379" s="1426">
        <f t="shared" si="212"/>
        <v>0</v>
      </c>
      <c r="N379" s="3151"/>
    </row>
    <row r="380" spans="1:14" ht="10.5" hidden="1" customHeight="1" x14ac:dyDescent="0.25">
      <c r="A380" s="3093"/>
      <c r="B380" s="279" t="s">
        <v>14</v>
      </c>
      <c r="C380" s="3100"/>
      <c r="D380" s="295"/>
      <c r="E380" s="292"/>
      <c r="F380" s="292"/>
      <c r="G380" s="292"/>
      <c r="H380" s="2175"/>
      <c r="I380" s="295"/>
      <c r="J380" s="2326" t="e">
        <f t="shared" si="219"/>
        <v>#DIV/0!</v>
      </c>
      <c r="K380" s="292"/>
      <c r="L380" s="2339" t="e">
        <f t="shared" si="240"/>
        <v>#DIV/0!</v>
      </c>
      <c r="M380" s="2175">
        <f t="shared" si="212"/>
        <v>0</v>
      </c>
      <c r="N380" s="3151"/>
    </row>
    <row r="381" spans="1:14" s="291" customFormat="1" ht="12.75" hidden="1" customHeight="1" x14ac:dyDescent="0.25">
      <c r="A381" s="3104"/>
      <c r="B381" s="236" t="s">
        <v>17</v>
      </c>
      <c r="C381" s="237"/>
      <c r="D381" s="302"/>
      <c r="E381" s="304"/>
      <c r="F381" s="304"/>
      <c r="G381" s="304"/>
      <c r="H381" s="1185"/>
      <c r="I381" s="302"/>
      <c r="J381" s="2326" t="e">
        <f t="shared" si="219"/>
        <v>#DIV/0!</v>
      </c>
      <c r="K381" s="304"/>
      <c r="L381" s="2339" t="e">
        <f t="shared" si="240"/>
        <v>#DIV/0!</v>
      </c>
      <c r="M381" s="1185">
        <f t="shared" si="212"/>
        <v>0</v>
      </c>
      <c r="N381" s="3107"/>
    </row>
    <row r="382" spans="1:14" s="311" customFormat="1" ht="11.25" hidden="1" customHeight="1" x14ac:dyDescent="0.25">
      <c r="A382" s="3104"/>
      <c r="B382" s="281" t="s">
        <v>13</v>
      </c>
      <c r="C382" s="3039" t="s">
        <v>39</v>
      </c>
      <c r="D382" s="296"/>
      <c r="E382" s="297"/>
      <c r="F382" s="297"/>
      <c r="G382" s="297"/>
      <c r="H382" s="1423"/>
      <c r="I382" s="296"/>
      <c r="J382" s="2326" t="e">
        <f t="shared" si="219"/>
        <v>#DIV/0!</v>
      </c>
      <c r="K382" s="297"/>
      <c r="L382" s="2339" t="e">
        <f t="shared" si="240"/>
        <v>#DIV/0!</v>
      </c>
      <c r="M382" s="1423">
        <f t="shared" si="212"/>
        <v>0</v>
      </c>
      <c r="N382" s="3107"/>
    </row>
    <row r="383" spans="1:14" s="291" customFormat="1" ht="12" hidden="1" customHeight="1" thickBot="1" x14ac:dyDescent="0.25">
      <c r="A383" s="3105"/>
      <c r="B383" s="341" t="s">
        <v>14</v>
      </c>
      <c r="C383" s="3136"/>
      <c r="D383" s="343"/>
      <c r="E383" s="342"/>
      <c r="F383" s="342"/>
      <c r="G383" s="342"/>
      <c r="H383" s="2471"/>
      <c r="I383" s="343"/>
      <c r="J383" s="2419" t="e">
        <f t="shared" si="219"/>
        <v>#DIV/0!</v>
      </c>
      <c r="K383" s="342"/>
      <c r="L383" s="2472" t="e">
        <f t="shared" si="240"/>
        <v>#DIV/0!</v>
      </c>
      <c r="M383" s="2471">
        <f t="shared" si="212"/>
        <v>0</v>
      </c>
      <c r="N383" s="3124"/>
    </row>
    <row r="384" spans="1:14" ht="39" customHeight="1" x14ac:dyDescent="0.2">
      <c r="A384" s="3092" t="s">
        <v>81</v>
      </c>
      <c r="B384" s="2122" t="s">
        <v>287</v>
      </c>
      <c r="C384" s="2123" t="s">
        <v>193</v>
      </c>
      <c r="D384" s="2369"/>
      <c r="E384" s="2370"/>
      <c r="F384" s="2370"/>
      <c r="G384" s="2370"/>
      <c r="H384" s="2371"/>
      <c r="I384" s="2369"/>
      <c r="J384" s="2370"/>
      <c r="K384" s="2370"/>
      <c r="L384" s="2372"/>
      <c r="M384" s="2371"/>
      <c r="N384" s="3121" t="s">
        <v>87</v>
      </c>
    </row>
    <row r="385" spans="1:14" ht="11.25" customHeight="1" x14ac:dyDescent="0.2">
      <c r="A385" s="3093"/>
      <c r="B385" s="236" t="s">
        <v>3</v>
      </c>
      <c r="C385" s="237"/>
      <c r="D385" s="319">
        <f>+D386+D388</f>
        <v>6202668.8799999999</v>
      </c>
      <c r="E385" s="320">
        <f>+E386+E388</f>
        <v>424264</v>
      </c>
      <c r="F385" s="320">
        <f>+F386+F388</f>
        <v>5778404.8799999999</v>
      </c>
      <c r="G385" s="321">
        <f>+G386+G388</f>
        <v>0</v>
      </c>
      <c r="H385" s="2449">
        <v>0</v>
      </c>
      <c r="I385" s="319">
        <f>+I386+I388</f>
        <v>6202668.8799999999</v>
      </c>
      <c r="J385" s="2334">
        <f t="shared" si="219"/>
        <v>100</v>
      </c>
      <c r="K385" s="321">
        <f>+K386+K388</f>
        <v>0</v>
      </c>
      <c r="L385" s="1080">
        <v>0</v>
      </c>
      <c r="M385" s="2120">
        <f t="shared" si="212"/>
        <v>0</v>
      </c>
      <c r="N385" s="3106"/>
    </row>
    <row r="386" spans="1:14" ht="11.25" customHeight="1" x14ac:dyDescent="0.2">
      <c r="A386" s="3093"/>
      <c r="B386" s="301" t="s">
        <v>18</v>
      </c>
      <c r="C386" s="3039" t="s">
        <v>39</v>
      </c>
      <c r="D386" s="2320">
        <f>+D387</f>
        <v>1102668.8799999999</v>
      </c>
      <c r="E386" s="2321">
        <f>+E387</f>
        <v>63640</v>
      </c>
      <c r="F386" s="2321">
        <f>+F387</f>
        <v>1039028.88</v>
      </c>
      <c r="G386" s="2450">
        <f>+G387</f>
        <v>0</v>
      </c>
      <c r="H386" s="2029">
        <v>0</v>
      </c>
      <c r="I386" s="2320">
        <f>+I387</f>
        <v>1102668.8799999999</v>
      </c>
      <c r="J386" s="1256">
        <f t="shared" si="219"/>
        <v>100</v>
      </c>
      <c r="K386" s="2450">
        <f>+K387</f>
        <v>0</v>
      </c>
      <c r="L386" s="1076">
        <v>0</v>
      </c>
      <c r="M386" s="2325">
        <f t="shared" ref="M386:M449" si="242">+K386-G386*0.5</f>
        <v>0</v>
      </c>
      <c r="N386" s="3106"/>
    </row>
    <row r="387" spans="1:14" ht="11.25" customHeight="1" x14ac:dyDescent="0.2">
      <c r="A387" s="3093"/>
      <c r="B387" s="310" t="s">
        <v>5</v>
      </c>
      <c r="C387" s="3139"/>
      <c r="D387" s="1701">
        <f>+E387+F387+G387+H387</f>
        <v>1102668.8799999999</v>
      </c>
      <c r="E387" s="1702">
        <f>1098+62542</f>
        <v>63640</v>
      </c>
      <c r="F387" s="292">
        <v>1039028.88</v>
      </c>
      <c r="G387" s="293">
        <v>0</v>
      </c>
      <c r="H387" s="2389">
        <v>0</v>
      </c>
      <c r="I387" s="295">
        <f>E387+F387+K387</f>
        <v>1102668.8799999999</v>
      </c>
      <c r="J387" s="2326">
        <f t="shared" si="219"/>
        <v>100</v>
      </c>
      <c r="K387" s="293">
        <v>0</v>
      </c>
      <c r="L387" s="900">
        <v>0</v>
      </c>
      <c r="M387" s="2175">
        <f t="shared" si="242"/>
        <v>0</v>
      </c>
      <c r="N387" s="3106"/>
    </row>
    <row r="388" spans="1:14" ht="11.25" customHeight="1" x14ac:dyDescent="0.2">
      <c r="A388" s="3093"/>
      <c r="B388" s="281" t="s">
        <v>13</v>
      </c>
      <c r="C388" s="3139"/>
      <c r="D388" s="282">
        <f>+D389</f>
        <v>5100000</v>
      </c>
      <c r="E388" s="283">
        <f>+E389</f>
        <v>360624</v>
      </c>
      <c r="F388" s="283">
        <f>+F389</f>
        <v>4739376</v>
      </c>
      <c r="G388" s="284">
        <f>+G389</f>
        <v>0</v>
      </c>
      <c r="H388" s="2436">
        <v>0</v>
      </c>
      <c r="I388" s="282">
        <f>+I389</f>
        <v>5100000</v>
      </c>
      <c r="J388" s="1231">
        <f t="shared" si="219"/>
        <v>100</v>
      </c>
      <c r="K388" s="284">
        <f>+K389</f>
        <v>0</v>
      </c>
      <c r="L388" s="1078">
        <v>0</v>
      </c>
      <c r="M388" s="1426">
        <f t="shared" si="242"/>
        <v>0</v>
      </c>
      <c r="N388" s="3106"/>
    </row>
    <row r="389" spans="1:14" ht="11.25" customHeight="1" x14ac:dyDescent="0.2">
      <c r="A389" s="3093"/>
      <c r="B389" s="279" t="s">
        <v>14</v>
      </c>
      <c r="C389" s="3139"/>
      <c r="D389" s="1701">
        <f>+E389+F389+G389+H389</f>
        <v>5100000</v>
      </c>
      <c r="E389" s="1702">
        <f>6222+354402</f>
        <v>360624</v>
      </c>
      <c r="F389" s="292">
        <v>4739376</v>
      </c>
      <c r="G389" s="293">
        <v>0</v>
      </c>
      <c r="H389" s="2389">
        <v>0</v>
      </c>
      <c r="I389" s="295">
        <f>E389+F389+K389</f>
        <v>5100000</v>
      </c>
      <c r="J389" s="2326">
        <f t="shared" si="219"/>
        <v>100</v>
      </c>
      <c r="K389" s="293">
        <v>0</v>
      </c>
      <c r="L389" s="900">
        <v>0</v>
      </c>
      <c r="M389" s="2175">
        <f t="shared" si="242"/>
        <v>0</v>
      </c>
      <c r="N389" s="3106"/>
    </row>
    <row r="390" spans="1:14" s="291" customFormat="1" ht="11.25" customHeight="1" x14ac:dyDescent="0.2">
      <c r="A390" s="3104"/>
      <c r="B390" s="236" t="s">
        <v>17</v>
      </c>
      <c r="C390" s="237"/>
      <c r="D390" s="319">
        <f>+D391</f>
        <v>5100000</v>
      </c>
      <c r="E390" s="320">
        <f t="shared" ref="E390:F391" si="243">+E391</f>
        <v>0</v>
      </c>
      <c r="F390" s="320">
        <f t="shared" si="243"/>
        <v>536762</v>
      </c>
      <c r="G390" s="320">
        <f>G391</f>
        <v>4563238</v>
      </c>
      <c r="H390" s="2473">
        <f>H391</f>
        <v>0</v>
      </c>
      <c r="I390" s="319">
        <f>+I391</f>
        <v>536762</v>
      </c>
      <c r="J390" s="2334">
        <f t="shared" si="219"/>
        <v>10.524745098039217</v>
      </c>
      <c r="K390" s="320">
        <f>+K391</f>
        <v>0</v>
      </c>
      <c r="L390" s="2335">
        <f t="shared" si="240"/>
        <v>0</v>
      </c>
      <c r="M390" s="2120">
        <f t="shared" si="242"/>
        <v>-2281619</v>
      </c>
      <c r="N390" s="3106"/>
    </row>
    <row r="391" spans="1:14" s="311" customFormat="1" ht="12" customHeight="1" x14ac:dyDescent="0.2">
      <c r="A391" s="3104"/>
      <c r="B391" s="281" t="s">
        <v>13</v>
      </c>
      <c r="C391" s="3100"/>
      <c r="D391" s="2320">
        <f>+D392</f>
        <v>5100000</v>
      </c>
      <c r="E391" s="2321">
        <f t="shared" si="243"/>
        <v>0</v>
      </c>
      <c r="F391" s="2321">
        <f t="shared" si="243"/>
        <v>536762</v>
      </c>
      <c r="G391" s="2321">
        <f>G392</f>
        <v>4563238</v>
      </c>
      <c r="H391" s="2029">
        <f>H392</f>
        <v>0</v>
      </c>
      <c r="I391" s="2320">
        <f>+I392</f>
        <v>536762</v>
      </c>
      <c r="J391" s="1256">
        <f t="shared" si="219"/>
        <v>10.524745098039217</v>
      </c>
      <c r="K391" s="2321">
        <f>+K392</f>
        <v>0</v>
      </c>
      <c r="L391" s="1742">
        <f t="shared" si="240"/>
        <v>0</v>
      </c>
      <c r="M391" s="2325">
        <f t="shared" si="242"/>
        <v>-2281619</v>
      </c>
      <c r="N391" s="3107"/>
    </row>
    <row r="392" spans="1:14" s="291" customFormat="1" ht="13.5" customHeight="1" thickBot="1" x14ac:dyDescent="0.25">
      <c r="A392" s="3103"/>
      <c r="B392" s="298" t="s">
        <v>14</v>
      </c>
      <c r="C392" s="3043"/>
      <c r="D392" s="1711">
        <f>+E392+F392+G392+H392</f>
        <v>5100000</v>
      </c>
      <c r="E392" s="1712">
        <v>0</v>
      </c>
      <c r="F392" s="2167">
        <v>536762</v>
      </c>
      <c r="G392" s="2167">
        <v>4563238</v>
      </c>
      <c r="H392" s="1128">
        <v>0</v>
      </c>
      <c r="I392" s="2353">
        <f>E392+F392+K392</f>
        <v>536762</v>
      </c>
      <c r="J392" s="2148">
        <f t="shared" si="219"/>
        <v>10.524745098039217</v>
      </c>
      <c r="K392" s="2167">
        <v>0</v>
      </c>
      <c r="L392" s="2341">
        <f t="shared" si="240"/>
        <v>0</v>
      </c>
      <c r="M392" s="2193">
        <f t="shared" si="242"/>
        <v>-2281619</v>
      </c>
      <c r="N392" s="3108"/>
    </row>
    <row r="393" spans="1:14" ht="39.75" customHeight="1" x14ac:dyDescent="0.2">
      <c r="A393" s="3118" t="s">
        <v>88</v>
      </c>
      <c r="B393" s="2149" t="s">
        <v>299</v>
      </c>
      <c r="C393" s="2150" t="s">
        <v>193</v>
      </c>
      <c r="D393" s="2432"/>
      <c r="E393" s="2433"/>
      <c r="F393" s="2433"/>
      <c r="G393" s="2433"/>
      <c r="H393" s="2434"/>
      <c r="I393" s="2432"/>
      <c r="J393" s="2433"/>
      <c r="K393" s="2433"/>
      <c r="L393" s="2435"/>
      <c r="M393" s="2434"/>
      <c r="N393" s="3119" t="s">
        <v>87</v>
      </c>
    </row>
    <row r="394" spans="1:14" x14ac:dyDescent="0.2">
      <c r="A394" s="3093"/>
      <c r="B394" s="236" t="s">
        <v>3</v>
      </c>
      <c r="C394" s="237"/>
      <c r="D394" s="319">
        <f>+D395+D397</f>
        <v>5552258</v>
      </c>
      <c r="E394" s="320">
        <f>+E395+E397</f>
        <v>612517</v>
      </c>
      <c r="F394" s="320">
        <f>+F395+F397</f>
        <v>4924741</v>
      </c>
      <c r="G394" s="320">
        <f>+G395+G397</f>
        <v>15000</v>
      </c>
      <c r="H394" s="2449">
        <v>0</v>
      </c>
      <c r="I394" s="319">
        <f>+I395+I397</f>
        <v>5540108.5</v>
      </c>
      <c r="J394" s="2334">
        <f t="shared" si="219"/>
        <v>99.781179116676498</v>
      </c>
      <c r="K394" s="320">
        <f>+K395+K397</f>
        <v>2850.5</v>
      </c>
      <c r="L394" s="2335">
        <f t="shared" si="240"/>
        <v>19.003333333333334</v>
      </c>
      <c r="M394" s="2120">
        <f t="shared" si="242"/>
        <v>-4649.5</v>
      </c>
      <c r="N394" s="3106"/>
    </row>
    <row r="395" spans="1:14" x14ac:dyDescent="0.2">
      <c r="A395" s="3093"/>
      <c r="B395" s="301" t="s">
        <v>18</v>
      </c>
      <c r="C395" s="3039" t="s">
        <v>39</v>
      </c>
      <c r="D395" s="2320">
        <f>+D396</f>
        <v>845589</v>
      </c>
      <c r="E395" s="2321">
        <f>+E396</f>
        <v>91878</v>
      </c>
      <c r="F395" s="2321">
        <f>+F396</f>
        <v>738711</v>
      </c>
      <c r="G395" s="2321">
        <f>+G396</f>
        <v>15000</v>
      </c>
      <c r="H395" s="2029">
        <v>0</v>
      </c>
      <c r="I395" s="2320">
        <f>+I396</f>
        <v>833439.5</v>
      </c>
      <c r="J395" s="1256">
        <f t="shared" si="219"/>
        <v>98.563190864592613</v>
      </c>
      <c r="K395" s="2321">
        <f>+K396</f>
        <v>2850.5</v>
      </c>
      <c r="L395" s="1742">
        <f t="shared" si="240"/>
        <v>19.003333333333334</v>
      </c>
      <c r="M395" s="2325">
        <f t="shared" si="242"/>
        <v>-4649.5</v>
      </c>
      <c r="N395" s="3106"/>
    </row>
    <row r="396" spans="1:14" x14ac:dyDescent="0.2">
      <c r="A396" s="3093"/>
      <c r="B396" s="310" t="s">
        <v>5</v>
      </c>
      <c r="C396" s="3139"/>
      <c r="D396" s="1701">
        <f>+E396+F396+G396+H396</f>
        <v>845589</v>
      </c>
      <c r="E396" s="292">
        <v>91878</v>
      </c>
      <c r="F396" s="292">
        <v>738711</v>
      </c>
      <c r="G396" s="292">
        <v>15000</v>
      </c>
      <c r="H396" s="2389">
        <v>0</v>
      </c>
      <c r="I396" s="295">
        <f>E396+F396+K396</f>
        <v>833439.5</v>
      </c>
      <c r="J396" s="2326">
        <f t="shared" si="219"/>
        <v>98.563190864592613</v>
      </c>
      <c r="K396" s="292">
        <v>2850.5</v>
      </c>
      <c r="L396" s="2339">
        <f t="shared" si="240"/>
        <v>19.003333333333334</v>
      </c>
      <c r="M396" s="2175">
        <f t="shared" si="242"/>
        <v>-4649.5</v>
      </c>
      <c r="N396" s="3106"/>
    </row>
    <row r="397" spans="1:14" ht="12.75" customHeight="1" x14ac:dyDescent="0.2">
      <c r="A397" s="3093"/>
      <c r="B397" s="281" t="s">
        <v>13</v>
      </c>
      <c r="C397" s="3139"/>
      <c r="D397" s="282">
        <f>+D398</f>
        <v>4706669</v>
      </c>
      <c r="E397" s="283">
        <f>+E398</f>
        <v>520639</v>
      </c>
      <c r="F397" s="283">
        <f>+F398</f>
        <v>4186030</v>
      </c>
      <c r="G397" s="284">
        <f>+G398</f>
        <v>0</v>
      </c>
      <c r="H397" s="2436">
        <v>0</v>
      </c>
      <c r="I397" s="282">
        <f>+I398</f>
        <v>4706669</v>
      </c>
      <c r="J397" s="1231">
        <f t="shared" si="219"/>
        <v>100</v>
      </c>
      <c r="K397" s="284">
        <f>+K398</f>
        <v>0</v>
      </c>
      <c r="L397" s="1078">
        <v>0</v>
      </c>
      <c r="M397" s="1426">
        <f t="shared" si="242"/>
        <v>0</v>
      </c>
      <c r="N397" s="3106"/>
    </row>
    <row r="398" spans="1:14" x14ac:dyDescent="0.2">
      <c r="A398" s="3093"/>
      <c r="B398" s="279" t="s">
        <v>14</v>
      </c>
      <c r="C398" s="3139"/>
      <c r="D398" s="1701">
        <f>+E398+F398+G398+H398</f>
        <v>4706669</v>
      </c>
      <c r="E398" s="292">
        <v>520639</v>
      </c>
      <c r="F398" s="292">
        <v>4186030</v>
      </c>
      <c r="G398" s="293">
        <v>0</v>
      </c>
      <c r="H398" s="2389">
        <v>0</v>
      </c>
      <c r="I398" s="295">
        <f>E398+F398+K398</f>
        <v>4706669</v>
      </c>
      <c r="J398" s="2326">
        <f t="shared" si="219"/>
        <v>100</v>
      </c>
      <c r="K398" s="293">
        <v>0</v>
      </c>
      <c r="L398" s="900">
        <v>0</v>
      </c>
      <c r="M398" s="2175">
        <f t="shared" si="242"/>
        <v>0</v>
      </c>
      <c r="N398" s="3106"/>
    </row>
    <row r="399" spans="1:14" s="291" customFormat="1" ht="11.25" customHeight="1" x14ac:dyDescent="0.2">
      <c r="A399" s="3104"/>
      <c r="B399" s="236" t="s">
        <v>17</v>
      </c>
      <c r="C399" s="237"/>
      <c r="D399" s="319">
        <f>+D400+D402</f>
        <v>4706669</v>
      </c>
      <c r="E399" s="321">
        <v>0</v>
      </c>
      <c r="F399" s="320">
        <f>+F400</f>
        <v>1377992</v>
      </c>
      <c r="G399" s="320">
        <f>+G400</f>
        <v>3328677</v>
      </c>
      <c r="H399" s="2473">
        <f>H400</f>
        <v>0</v>
      </c>
      <c r="I399" s="319">
        <f>+I400</f>
        <v>1377992</v>
      </c>
      <c r="J399" s="2334">
        <f t="shared" si="219"/>
        <v>29.277435910619591</v>
      </c>
      <c r="K399" s="320">
        <f>+K400</f>
        <v>0</v>
      </c>
      <c r="L399" s="2335">
        <f t="shared" si="240"/>
        <v>0</v>
      </c>
      <c r="M399" s="2120">
        <f t="shared" si="242"/>
        <v>-1664338.5</v>
      </c>
      <c r="N399" s="3106"/>
    </row>
    <row r="400" spans="1:14" s="311" customFormat="1" ht="12.75" customHeight="1" x14ac:dyDescent="0.2">
      <c r="A400" s="3104"/>
      <c r="B400" s="281" t="s">
        <v>13</v>
      </c>
      <c r="C400" s="3039" t="s">
        <v>39</v>
      </c>
      <c r="D400" s="2320">
        <f>+D401</f>
        <v>4706669</v>
      </c>
      <c r="E400" s="2450">
        <v>0</v>
      </c>
      <c r="F400" s="2321">
        <f>+F401</f>
        <v>1377992</v>
      </c>
      <c r="G400" s="2321">
        <f>+G401</f>
        <v>3328677</v>
      </c>
      <c r="H400" s="2029">
        <f>H401</f>
        <v>0</v>
      </c>
      <c r="I400" s="2320">
        <f>+I401</f>
        <v>1377992</v>
      </c>
      <c r="J400" s="1256">
        <f t="shared" ref="J400:J463" si="244">I400/D400*100</f>
        <v>29.277435910619591</v>
      </c>
      <c r="K400" s="2321">
        <f>+K401</f>
        <v>0</v>
      </c>
      <c r="L400" s="1742">
        <f t="shared" si="240"/>
        <v>0</v>
      </c>
      <c r="M400" s="2325">
        <f t="shared" si="242"/>
        <v>-1664338.5</v>
      </c>
      <c r="N400" s="3107"/>
    </row>
    <row r="401" spans="1:14" s="291" customFormat="1" ht="14.25" customHeight="1" thickBot="1" x14ac:dyDescent="0.25">
      <c r="A401" s="3103"/>
      <c r="B401" s="298" t="s">
        <v>14</v>
      </c>
      <c r="C401" s="3043"/>
      <c r="D401" s="1711">
        <f>+E401+F401+G401+H401</f>
        <v>4706669</v>
      </c>
      <c r="E401" s="288">
        <v>0</v>
      </c>
      <c r="F401" s="2167">
        <v>1377992</v>
      </c>
      <c r="G401" s="2167">
        <v>3328677</v>
      </c>
      <c r="H401" s="2474">
        <v>0</v>
      </c>
      <c r="I401" s="2353">
        <f>E401+F401+K401</f>
        <v>1377992</v>
      </c>
      <c r="J401" s="2148">
        <f t="shared" si="244"/>
        <v>29.277435910619591</v>
      </c>
      <c r="K401" s="2167">
        <v>0</v>
      </c>
      <c r="L401" s="2341">
        <f t="shared" si="240"/>
        <v>0</v>
      </c>
      <c r="M401" s="2193">
        <f t="shared" si="242"/>
        <v>-1664338.5</v>
      </c>
      <c r="N401" s="3108"/>
    </row>
    <row r="402" spans="1:14" ht="38.25" x14ac:dyDescent="0.2">
      <c r="A402" s="3092" t="s">
        <v>90</v>
      </c>
      <c r="B402" s="2122" t="s">
        <v>288</v>
      </c>
      <c r="C402" s="2123" t="s">
        <v>193</v>
      </c>
      <c r="D402" s="2369"/>
      <c r="E402" s="2370"/>
      <c r="F402" s="2370"/>
      <c r="G402" s="2370"/>
      <c r="H402" s="2371"/>
      <c r="I402" s="2369"/>
      <c r="J402" s="2370"/>
      <c r="K402" s="2370"/>
      <c r="L402" s="2372"/>
      <c r="M402" s="2371"/>
      <c r="N402" s="3121" t="s">
        <v>87</v>
      </c>
    </row>
    <row r="403" spans="1:14" x14ac:dyDescent="0.2">
      <c r="A403" s="3093"/>
      <c r="B403" s="236" t="s">
        <v>3</v>
      </c>
      <c r="C403" s="237"/>
      <c r="D403" s="319">
        <f t="shared" ref="D403:I403" si="245">+D404+D406</f>
        <v>6000000</v>
      </c>
      <c r="E403" s="320">
        <f t="shared" si="245"/>
        <v>5949094</v>
      </c>
      <c r="F403" s="320">
        <f t="shared" si="245"/>
        <v>3361</v>
      </c>
      <c r="G403" s="320">
        <f t="shared" si="245"/>
        <v>47545</v>
      </c>
      <c r="H403" s="2473">
        <f>+H404+H406</f>
        <v>0</v>
      </c>
      <c r="I403" s="319">
        <f t="shared" si="245"/>
        <v>5952455</v>
      </c>
      <c r="J403" s="2334">
        <f t="shared" si="244"/>
        <v>99.207583333333332</v>
      </c>
      <c r="K403" s="320">
        <f>+K404+K406</f>
        <v>0</v>
      </c>
      <c r="L403" s="2335">
        <f t="shared" si="240"/>
        <v>0</v>
      </c>
      <c r="M403" s="2120">
        <f t="shared" si="242"/>
        <v>-23772.5</v>
      </c>
      <c r="N403" s="3106"/>
    </row>
    <row r="404" spans="1:14" ht="14.25" customHeight="1" x14ac:dyDescent="0.2">
      <c r="A404" s="3093"/>
      <c r="B404" s="301" t="s">
        <v>18</v>
      </c>
      <c r="C404" s="3039" t="s">
        <v>39</v>
      </c>
      <c r="D404" s="2320">
        <f t="shared" ref="D404:I404" si="246">+D405</f>
        <v>943270</v>
      </c>
      <c r="E404" s="2321">
        <f t="shared" si="246"/>
        <v>892364</v>
      </c>
      <c r="F404" s="2321">
        <f t="shared" si="246"/>
        <v>3361</v>
      </c>
      <c r="G404" s="2321">
        <f t="shared" si="246"/>
        <v>47545</v>
      </c>
      <c r="H404" s="2029">
        <f t="shared" si="246"/>
        <v>0</v>
      </c>
      <c r="I404" s="2320">
        <f t="shared" si="246"/>
        <v>895725</v>
      </c>
      <c r="J404" s="1256">
        <f t="shared" si="244"/>
        <v>94.959555588537754</v>
      </c>
      <c r="K404" s="2321">
        <f>+K405</f>
        <v>0</v>
      </c>
      <c r="L404" s="1742">
        <f t="shared" si="240"/>
        <v>0</v>
      </c>
      <c r="M404" s="2325">
        <f t="shared" si="242"/>
        <v>-23772.5</v>
      </c>
      <c r="N404" s="3106"/>
    </row>
    <row r="405" spans="1:14" ht="14.25" customHeight="1" x14ac:dyDescent="0.2">
      <c r="A405" s="3093"/>
      <c r="B405" s="310" t="s">
        <v>5</v>
      </c>
      <c r="C405" s="3139"/>
      <c r="D405" s="1701">
        <f>+E405+F405+G405+H405</f>
        <v>943270</v>
      </c>
      <c r="E405" s="292">
        <f>146389+745975</f>
        <v>892364</v>
      </c>
      <c r="F405" s="292">
        <v>3361</v>
      </c>
      <c r="G405" s="292">
        <v>47545</v>
      </c>
      <c r="H405" s="1127">
        <v>0</v>
      </c>
      <c r="I405" s="295">
        <f>E405+F405+K405</f>
        <v>895725</v>
      </c>
      <c r="J405" s="2326">
        <f t="shared" si="244"/>
        <v>94.959555588537754</v>
      </c>
      <c r="K405" s="292">
        <v>0</v>
      </c>
      <c r="L405" s="2339">
        <f t="shared" si="240"/>
        <v>0</v>
      </c>
      <c r="M405" s="2175">
        <f t="shared" si="242"/>
        <v>-23772.5</v>
      </c>
      <c r="N405" s="3106"/>
    </row>
    <row r="406" spans="1:14" ht="14.25" customHeight="1" x14ac:dyDescent="0.2">
      <c r="A406" s="3093"/>
      <c r="B406" s="281" t="s">
        <v>13</v>
      </c>
      <c r="C406" s="3139"/>
      <c r="D406" s="282">
        <f>+D407</f>
        <v>5056730</v>
      </c>
      <c r="E406" s="283">
        <f>+E407</f>
        <v>5056730</v>
      </c>
      <c r="F406" s="284">
        <f>+F407</f>
        <v>0</v>
      </c>
      <c r="G406" s="284">
        <f>+G407</f>
        <v>0</v>
      </c>
      <c r="H406" s="2436">
        <v>0</v>
      </c>
      <c r="I406" s="282">
        <f>+I407</f>
        <v>5056730</v>
      </c>
      <c r="J406" s="1231">
        <f t="shared" si="244"/>
        <v>100</v>
      </c>
      <c r="K406" s="284">
        <f>+K407</f>
        <v>0</v>
      </c>
      <c r="L406" s="1078">
        <v>0</v>
      </c>
      <c r="M406" s="1426">
        <f t="shared" si="242"/>
        <v>0</v>
      </c>
      <c r="N406" s="3106"/>
    </row>
    <row r="407" spans="1:14" ht="14.25" customHeight="1" x14ac:dyDescent="0.2">
      <c r="A407" s="3093"/>
      <c r="B407" s="310" t="s">
        <v>91</v>
      </c>
      <c r="C407" s="3139"/>
      <c r="D407" s="1701">
        <f>+E407+F407+G407+H407</f>
        <v>5056730</v>
      </c>
      <c r="E407" s="292">
        <f>829536+4227194</f>
        <v>5056730</v>
      </c>
      <c r="F407" s="293">
        <v>0</v>
      </c>
      <c r="G407" s="293">
        <v>0</v>
      </c>
      <c r="H407" s="2389">
        <v>0</v>
      </c>
      <c r="I407" s="295">
        <f>E407+F407+K407</f>
        <v>5056730</v>
      </c>
      <c r="J407" s="2326">
        <f t="shared" si="244"/>
        <v>100</v>
      </c>
      <c r="K407" s="293">
        <v>0</v>
      </c>
      <c r="L407" s="900">
        <v>0</v>
      </c>
      <c r="M407" s="2175">
        <f t="shared" si="242"/>
        <v>0</v>
      </c>
      <c r="N407" s="3106"/>
    </row>
    <row r="408" spans="1:14" s="291" customFormat="1" ht="14.25" customHeight="1" x14ac:dyDescent="0.2">
      <c r="A408" s="3104"/>
      <c r="B408" s="236" t="s">
        <v>17</v>
      </c>
      <c r="C408" s="237"/>
      <c r="D408" s="302">
        <f>+D409</f>
        <v>5056730</v>
      </c>
      <c r="E408" s="304">
        <f t="shared" ref="E408:F409" si="247">+E409</f>
        <v>842747</v>
      </c>
      <c r="F408" s="303">
        <f t="shared" si="247"/>
        <v>0</v>
      </c>
      <c r="G408" s="304">
        <f>G409</f>
        <v>4213983</v>
      </c>
      <c r="H408" s="306">
        <f>H409</f>
        <v>0</v>
      </c>
      <c r="I408" s="302">
        <f>+I409</f>
        <v>842747</v>
      </c>
      <c r="J408" s="2334">
        <f t="shared" si="244"/>
        <v>16.66584927413566</v>
      </c>
      <c r="K408" s="303">
        <f>+K409</f>
        <v>0</v>
      </c>
      <c r="L408" s="2335">
        <f t="shared" si="240"/>
        <v>0</v>
      </c>
      <c r="M408" s="1185">
        <f t="shared" si="242"/>
        <v>-2106991.5</v>
      </c>
      <c r="N408" s="3106"/>
    </row>
    <row r="409" spans="1:14" s="311" customFormat="1" ht="14.25" customHeight="1" x14ac:dyDescent="0.2">
      <c r="A409" s="3104"/>
      <c r="B409" s="281" t="s">
        <v>13</v>
      </c>
      <c r="C409" s="3039" t="s">
        <v>39</v>
      </c>
      <c r="D409" s="296">
        <f>+D410</f>
        <v>5056730</v>
      </c>
      <c r="E409" s="297">
        <f t="shared" si="247"/>
        <v>842747</v>
      </c>
      <c r="F409" s="299">
        <f t="shared" si="247"/>
        <v>0</v>
      </c>
      <c r="G409" s="297">
        <f>G410</f>
        <v>4213983</v>
      </c>
      <c r="H409" s="1723">
        <f>H410</f>
        <v>0</v>
      </c>
      <c r="I409" s="296">
        <f>+I410</f>
        <v>842747</v>
      </c>
      <c r="J409" s="1256">
        <f t="shared" si="244"/>
        <v>16.66584927413566</v>
      </c>
      <c r="K409" s="299">
        <f>+K410</f>
        <v>0</v>
      </c>
      <c r="L409" s="1742">
        <f t="shared" si="240"/>
        <v>0</v>
      </c>
      <c r="M409" s="1423">
        <f t="shared" si="242"/>
        <v>-2106991.5</v>
      </c>
      <c r="N409" s="3107"/>
    </row>
    <row r="410" spans="1:14" s="291" customFormat="1" ht="14.25" customHeight="1" thickBot="1" x14ac:dyDescent="0.25">
      <c r="A410" s="3103"/>
      <c r="B410" s="298" t="s">
        <v>14</v>
      </c>
      <c r="C410" s="3043"/>
      <c r="D410" s="1711">
        <f>+E410+F410+G410+H410</f>
        <v>5056730</v>
      </c>
      <c r="E410" s="2351">
        <v>842747</v>
      </c>
      <c r="F410" s="2395">
        <v>0</v>
      </c>
      <c r="G410" s="2351">
        <v>4213983</v>
      </c>
      <c r="H410" s="2352">
        <v>0</v>
      </c>
      <c r="I410" s="2353">
        <f>E410+F410+K410</f>
        <v>842747</v>
      </c>
      <c r="J410" s="2148">
        <f t="shared" si="244"/>
        <v>16.66584927413566</v>
      </c>
      <c r="K410" s="2395">
        <v>0</v>
      </c>
      <c r="L410" s="2341">
        <f t="shared" si="240"/>
        <v>0</v>
      </c>
      <c r="M410" s="2193">
        <f t="shared" si="242"/>
        <v>-2106991.5</v>
      </c>
      <c r="N410" s="3107"/>
    </row>
    <row r="411" spans="1:14" ht="39" hidden="1" customHeight="1" thickBot="1" x14ac:dyDescent="0.25">
      <c r="A411" s="3152"/>
      <c r="B411" s="344" t="s">
        <v>92</v>
      </c>
      <c r="C411" s="345"/>
      <c r="D411" s="3154" t="s">
        <v>93</v>
      </c>
      <c r="E411" s="3155"/>
      <c r="F411" s="3155"/>
      <c r="G411" s="3155"/>
      <c r="H411" s="3156"/>
      <c r="I411" s="347"/>
      <c r="J411" s="2326" t="e">
        <f t="shared" si="244"/>
        <v>#VALUE!</v>
      </c>
      <c r="K411" s="346"/>
      <c r="L411" s="2339" t="e">
        <f t="shared" si="240"/>
        <v>#DIV/0!</v>
      </c>
      <c r="M411" s="2475">
        <f t="shared" si="242"/>
        <v>0</v>
      </c>
      <c r="N411" s="3157" t="s">
        <v>87</v>
      </c>
    </row>
    <row r="412" spans="1:14" ht="13.5" hidden="1" customHeight="1" thickBot="1" x14ac:dyDescent="0.25">
      <c r="A412" s="3153"/>
      <c r="B412" s="236" t="s">
        <v>3</v>
      </c>
      <c r="C412" s="237"/>
      <c r="D412" s="348">
        <f>+D413</f>
        <v>0</v>
      </c>
      <c r="E412" s="349">
        <f>+E413</f>
        <v>0</v>
      </c>
      <c r="F412" s="349">
        <v>0</v>
      </c>
      <c r="G412" s="349">
        <v>0</v>
      </c>
      <c r="H412" s="2476">
        <v>0</v>
      </c>
      <c r="I412" s="348">
        <f>+I413+I415</f>
        <v>0</v>
      </c>
      <c r="J412" s="2326" t="e">
        <f t="shared" si="244"/>
        <v>#DIV/0!</v>
      </c>
      <c r="K412" s="349">
        <v>0</v>
      </c>
      <c r="L412" s="2339" t="e">
        <f t="shared" si="240"/>
        <v>#DIV/0!</v>
      </c>
      <c r="M412" s="2476">
        <f t="shared" si="242"/>
        <v>0</v>
      </c>
      <c r="N412" s="3151"/>
    </row>
    <row r="413" spans="1:14" ht="11.25" hidden="1" customHeight="1" x14ac:dyDescent="0.25">
      <c r="A413" s="3153"/>
      <c r="B413" s="301" t="s">
        <v>18</v>
      </c>
      <c r="C413" s="3039" t="s">
        <v>39</v>
      </c>
      <c r="D413" s="350">
        <f>+D414</f>
        <v>0</v>
      </c>
      <c r="E413" s="351">
        <f>+E414</f>
        <v>0</v>
      </c>
      <c r="F413" s="351">
        <v>0</v>
      </c>
      <c r="G413" s="351">
        <v>0</v>
      </c>
      <c r="H413" s="2477">
        <v>0</v>
      </c>
      <c r="I413" s="350">
        <f>+I414</f>
        <v>0</v>
      </c>
      <c r="J413" s="2326" t="e">
        <f t="shared" si="244"/>
        <v>#DIV/0!</v>
      </c>
      <c r="K413" s="351">
        <v>0</v>
      </c>
      <c r="L413" s="2339" t="e">
        <f t="shared" si="240"/>
        <v>#DIV/0!</v>
      </c>
      <c r="M413" s="2477">
        <f t="shared" si="242"/>
        <v>0</v>
      </c>
      <c r="N413" s="3151"/>
    </row>
    <row r="414" spans="1:14" ht="13.5" hidden="1" customHeight="1" thickBot="1" x14ac:dyDescent="0.25">
      <c r="A414" s="3153"/>
      <c r="B414" s="310" t="s">
        <v>5</v>
      </c>
      <c r="C414" s="3158"/>
      <c r="D414" s="2478">
        <v>0</v>
      </c>
      <c r="E414" s="293">
        <v>0</v>
      </c>
      <c r="F414" s="293">
        <v>0</v>
      </c>
      <c r="G414" s="293">
        <v>0</v>
      </c>
      <c r="H414" s="1127">
        <v>0</v>
      </c>
      <c r="I414" s="314">
        <v>0</v>
      </c>
      <c r="J414" s="2326" t="e">
        <f t="shared" si="244"/>
        <v>#DIV/0!</v>
      </c>
      <c r="K414" s="293">
        <v>0</v>
      </c>
      <c r="L414" s="2339" t="e">
        <f t="shared" si="240"/>
        <v>#DIV/0!</v>
      </c>
      <c r="M414" s="1127">
        <f t="shared" si="242"/>
        <v>0</v>
      </c>
      <c r="N414" s="3151"/>
    </row>
    <row r="415" spans="1:14" ht="12.75" hidden="1" customHeight="1" x14ac:dyDescent="0.25">
      <c r="A415" s="3153"/>
      <c r="B415" s="322" t="s">
        <v>13</v>
      </c>
      <c r="C415" s="3158"/>
      <c r="D415" s="313">
        <f>+D416</f>
        <v>0</v>
      </c>
      <c r="E415" s="284">
        <f>+E416</f>
        <v>0</v>
      </c>
      <c r="F415" s="284">
        <v>0</v>
      </c>
      <c r="G415" s="284">
        <v>0</v>
      </c>
      <c r="H415" s="285">
        <v>0</v>
      </c>
      <c r="I415" s="313">
        <f>+I416</f>
        <v>0</v>
      </c>
      <c r="J415" s="2326" t="e">
        <f t="shared" si="244"/>
        <v>#DIV/0!</v>
      </c>
      <c r="K415" s="284">
        <v>0</v>
      </c>
      <c r="L415" s="2339" t="e">
        <f t="shared" si="240"/>
        <v>#DIV/0!</v>
      </c>
      <c r="M415" s="285">
        <f t="shared" si="242"/>
        <v>0</v>
      </c>
      <c r="N415" s="3151"/>
    </row>
    <row r="416" spans="1:14" ht="13.5" hidden="1" customHeight="1" thickBot="1" x14ac:dyDescent="0.25">
      <c r="A416" s="3153"/>
      <c r="B416" s="279" t="s">
        <v>14</v>
      </c>
      <c r="C416" s="3158"/>
      <c r="D416" s="2478">
        <v>0</v>
      </c>
      <c r="E416" s="293">
        <v>0</v>
      </c>
      <c r="F416" s="293">
        <v>0</v>
      </c>
      <c r="G416" s="293">
        <v>0</v>
      </c>
      <c r="H416" s="1127">
        <v>0</v>
      </c>
      <c r="I416" s="314">
        <v>0</v>
      </c>
      <c r="J416" s="2326" t="e">
        <f t="shared" si="244"/>
        <v>#DIV/0!</v>
      </c>
      <c r="K416" s="293">
        <v>0</v>
      </c>
      <c r="L416" s="2339" t="e">
        <f t="shared" si="240"/>
        <v>#DIV/0!</v>
      </c>
      <c r="M416" s="1127">
        <f t="shared" si="242"/>
        <v>0</v>
      </c>
      <c r="N416" s="3151"/>
    </row>
    <row r="417" spans="1:14" s="291" customFormat="1" ht="12.75" hidden="1" customHeight="1" x14ac:dyDescent="0.25">
      <c r="A417" s="3104"/>
      <c r="B417" s="236" t="s">
        <v>17</v>
      </c>
      <c r="C417" s="237"/>
      <c r="D417" s="315">
        <f>+D418</f>
        <v>0</v>
      </c>
      <c r="E417" s="303">
        <f>+E418</f>
        <v>0</v>
      </c>
      <c r="F417" s="303">
        <v>0</v>
      </c>
      <c r="G417" s="303">
        <v>0</v>
      </c>
      <c r="H417" s="306">
        <v>0</v>
      </c>
      <c r="I417" s="315">
        <f>+I418</f>
        <v>0</v>
      </c>
      <c r="J417" s="2326" t="e">
        <f t="shared" si="244"/>
        <v>#DIV/0!</v>
      </c>
      <c r="K417" s="303">
        <v>0</v>
      </c>
      <c r="L417" s="2339" t="e">
        <f t="shared" si="240"/>
        <v>#DIV/0!</v>
      </c>
      <c r="M417" s="306">
        <f t="shared" si="242"/>
        <v>0</v>
      </c>
      <c r="N417" s="3107"/>
    </row>
    <row r="418" spans="1:14" s="311" customFormat="1" ht="12.75" hidden="1" customHeight="1" x14ac:dyDescent="0.25">
      <c r="A418" s="3104"/>
      <c r="B418" s="322" t="s">
        <v>13</v>
      </c>
      <c r="C418" s="3039" t="s">
        <v>39</v>
      </c>
      <c r="D418" s="316">
        <f>+D419</f>
        <v>0</v>
      </c>
      <c r="E418" s="299">
        <f>+E419</f>
        <v>0</v>
      </c>
      <c r="F418" s="299">
        <v>0</v>
      </c>
      <c r="G418" s="299">
        <v>0</v>
      </c>
      <c r="H418" s="1723">
        <v>0</v>
      </c>
      <c r="I418" s="316">
        <f>+I419</f>
        <v>0</v>
      </c>
      <c r="J418" s="2326" t="e">
        <f t="shared" si="244"/>
        <v>#DIV/0!</v>
      </c>
      <c r="K418" s="299">
        <v>0</v>
      </c>
      <c r="L418" s="2339" t="e">
        <f t="shared" si="240"/>
        <v>#DIV/0!</v>
      </c>
      <c r="M418" s="1723">
        <f t="shared" si="242"/>
        <v>0</v>
      </c>
      <c r="N418" s="3107"/>
    </row>
    <row r="419" spans="1:14" s="291" customFormat="1" ht="12.75" hidden="1" customHeight="1" thickBot="1" x14ac:dyDescent="0.25">
      <c r="A419" s="3105"/>
      <c r="B419" s="341" t="s">
        <v>14</v>
      </c>
      <c r="C419" s="3136"/>
      <c r="D419" s="1025">
        <v>0</v>
      </c>
      <c r="E419" s="1026">
        <v>0</v>
      </c>
      <c r="F419" s="1026">
        <v>0</v>
      </c>
      <c r="G419" s="1026">
        <v>0</v>
      </c>
      <c r="H419" s="2413">
        <v>0</v>
      </c>
      <c r="I419" s="1025">
        <v>0</v>
      </c>
      <c r="J419" s="2419" t="e">
        <f t="shared" si="244"/>
        <v>#DIV/0!</v>
      </c>
      <c r="K419" s="1026">
        <v>0</v>
      </c>
      <c r="L419" s="2472" t="e">
        <f t="shared" si="240"/>
        <v>#DIV/0!</v>
      </c>
      <c r="M419" s="2413">
        <f t="shared" si="242"/>
        <v>0</v>
      </c>
      <c r="N419" s="3124"/>
    </row>
    <row r="420" spans="1:14" ht="30" customHeight="1" x14ac:dyDescent="0.2">
      <c r="A420" s="1454" t="s">
        <v>94</v>
      </c>
      <c r="B420" s="1440" t="s">
        <v>95</v>
      </c>
      <c r="C420" s="252"/>
      <c r="D420" s="253"/>
      <c r="E420" s="254"/>
      <c r="F420" s="254"/>
      <c r="G420" s="254"/>
      <c r="H420" s="2284"/>
      <c r="I420" s="253"/>
      <c r="J420" s="254"/>
      <c r="K420" s="254"/>
      <c r="L420" s="894"/>
      <c r="M420" s="2284"/>
      <c r="N420" s="3168" t="s">
        <v>96</v>
      </c>
    </row>
    <row r="421" spans="1:14" ht="13.5" customHeight="1" x14ac:dyDescent="0.2">
      <c r="A421" s="1455"/>
      <c r="B421" s="1441" t="s">
        <v>3</v>
      </c>
      <c r="C421" s="1057"/>
      <c r="D421" s="1058">
        <f>+D422+D426</f>
        <v>140000000</v>
      </c>
      <c r="E421" s="1059">
        <f>+E422+E426</f>
        <v>0</v>
      </c>
      <c r="F421" s="1059">
        <f>+F422+F426</f>
        <v>0</v>
      </c>
      <c r="G421" s="1059">
        <f>+G422+G426</f>
        <v>40000000</v>
      </c>
      <c r="H421" s="2286">
        <f>+H422+H426</f>
        <v>100000000</v>
      </c>
      <c r="I421" s="1058">
        <f t="shared" ref="I421" si="248">+I422+I426</f>
        <v>0</v>
      </c>
      <c r="J421" s="1062">
        <f t="shared" si="244"/>
        <v>0</v>
      </c>
      <c r="K421" s="1059">
        <f>+K422+K426</f>
        <v>0</v>
      </c>
      <c r="L421" s="1065">
        <f t="shared" si="240"/>
        <v>0</v>
      </c>
      <c r="M421" s="2286">
        <f t="shared" si="242"/>
        <v>-20000000</v>
      </c>
      <c r="N421" s="3169"/>
    </row>
    <row r="422" spans="1:14" s="225" customFormat="1" ht="13.5" customHeight="1" x14ac:dyDescent="0.2">
      <c r="A422" s="1455"/>
      <c r="B422" s="1442" t="s">
        <v>4</v>
      </c>
      <c r="C422" s="3171"/>
      <c r="D422" s="256">
        <f>+D423+D424+D425</f>
        <v>70000000</v>
      </c>
      <c r="E422" s="255">
        <f>+E423+E424+E425</f>
        <v>0</v>
      </c>
      <c r="F422" s="255">
        <f>+F423+F424+F425</f>
        <v>0</v>
      </c>
      <c r="G422" s="255">
        <f>+G423+G424+G425</f>
        <v>20000000</v>
      </c>
      <c r="H422" s="2453">
        <f>+H423+H424+H425</f>
        <v>50000000</v>
      </c>
      <c r="I422" s="256">
        <f t="shared" ref="I422:K422" si="249">+I423+I424+I425</f>
        <v>0</v>
      </c>
      <c r="J422" s="2479">
        <f t="shared" si="244"/>
        <v>0</v>
      </c>
      <c r="K422" s="255">
        <f t="shared" si="249"/>
        <v>0</v>
      </c>
      <c r="L422" s="2480">
        <f t="shared" si="240"/>
        <v>0</v>
      </c>
      <c r="M422" s="2453">
        <f t="shared" si="242"/>
        <v>-10000000</v>
      </c>
      <c r="N422" s="3169"/>
    </row>
    <row r="423" spans="1:14" ht="12.75" customHeight="1" x14ac:dyDescent="0.2">
      <c r="A423" s="1455"/>
      <c r="B423" s="1443" t="s">
        <v>5</v>
      </c>
      <c r="C423" s="3171"/>
      <c r="D423" s="258">
        <f t="shared" ref="D423:K425" si="250">+D437</f>
        <v>15923964</v>
      </c>
      <c r="E423" s="259">
        <f t="shared" si="250"/>
        <v>0</v>
      </c>
      <c r="F423" s="259">
        <f t="shared" si="250"/>
        <v>0</v>
      </c>
      <c r="G423" s="259">
        <f t="shared" si="250"/>
        <v>0</v>
      </c>
      <c r="H423" s="2293">
        <f t="shared" si="250"/>
        <v>15923964</v>
      </c>
      <c r="I423" s="258">
        <f t="shared" si="250"/>
        <v>0</v>
      </c>
      <c r="J423" s="261">
        <f t="shared" si="244"/>
        <v>0</v>
      </c>
      <c r="K423" s="261">
        <f t="shared" si="250"/>
        <v>0</v>
      </c>
      <c r="L423" s="2459">
        <v>0</v>
      </c>
      <c r="M423" s="2293">
        <f t="shared" si="242"/>
        <v>0</v>
      </c>
      <c r="N423" s="3169"/>
    </row>
    <row r="424" spans="1:14" ht="12.75" customHeight="1" x14ac:dyDescent="0.2">
      <c r="A424" s="1455"/>
      <c r="B424" s="1444" t="s">
        <v>29</v>
      </c>
      <c r="C424" s="3171"/>
      <c r="D424" s="258">
        <f t="shared" si="250"/>
        <v>14587500</v>
      </c>
      <c r="E424" s="259">
        <f t="shared" si="250"/>
        <v>0</v>
      </c>
      <c r="F424" s="259">
        <f t="shared" si="250"/>
        <v>0</v>
      </c>
      <c r="G424" s="259">
        <f t="shared" si="250"/>
        <v>0</v>
      </c>
      <c r="H424" s="2293">
        <f t="shared" si="250"/>
        <v>14587500</v>
      </c>
      <c r="I424" s="258">
        <f t="shared" si="250"/>
        <v>0</v>
      </c>
      <c r="J424" s="261">
        <f t="shared" si="244"/>
        <v>0</v>
      </c>
      <c r="K424" s="261">
        <f t="shared" si="250"/>
        <v>0</v>
      </c>
      <c r="L424" s="2459">
        <v>0</v>
      </c>
      <c r="M424" s="2293">
        <f t="shared" si="242"/>
        <v>0</v>
      </c>
      <c r="N424" s="3169"/>
    </row>
    <row r="425" spans="1:14" ht="12.75" customHeight="1" x14ac:dyDescent="0.2">
      <c r="A425" s="1455"/>
      <c r="B425" s="1444" t="s">
        <v>97</v>
      </c>
      <c r="C425" s="3171"/>
      <c r="D425" s="258">
        <f t="shared" si="250"/>
        <v>39488536</v>
      </c>
      <c r="E425" s="259">
        <f t="shared" si="250"/>
        <v>0</v>
      </c>
      <c r="F425" s="259">
        <f t="shared" si="250"/>
        <v>0</v>
      </c>
      <c r="G425" s="259">
        <f t="shared" si="250"/>
        <v>20000000</v>
      </c>
      <c r="H425" s="2293">
        <f t="shared" si="250"/>
        <v>19488536</v>
      </c>
      <c r="I425" s="258">
        <f t="shared" si="250"/>
        <v>0</v>
      </c>
      <c r="J425" s="2456">
        <f t="shared" si="244"/>
        <v>0</v>
      </c>
      <c r="K425" s="259">
        <f t="shared" si="250"/>
        <v>0</v>
      </c>
      <c r="L425" s="2294">
        <f t="shared" si="240"/>
        <v>0</v>
      </c>
      <c r="M425" s="2293">
        <f t="shared" si="242"/>
        <v>-10000000</v>
      </c>
      <c r="N425" s="3169"/>
    </row>
    <row r="426" spans="1:14" s="225" customFormat="1" ht="12.75" customHeight="1" x14ac:dyDescent="0.2">
      <c r="A426" s="1455"/>
      <c r="B426" s="1445" t="s">
        <v>13</v>
      </c>
      <c r="C426" s="3171"/>
      <c r="D426" s="263">
        <f>+D427</f>
        <v>70000000</v>
      </c>
      <c r="E426" s="264">
        <f t="shared" ref="E426:K426" si="251">+E427</f>
        <v>0</v>
      </c>
      <c r="F426" s="264">
        <f t="shared" si="251"/>
        <v>0</v>
      </c>
      <c r="G426" s="264">
        <f t="shared" si="251"/>
        <v>20000000</v>
      </c>
      <c r="H426" s="2289">
        <f t="shared" si="251"/>
        <v>50000000</v>
      </c>
      <c r="I426" s="263">
        <f t="shared" si="251"/>
        <v>0</v>
      </c>
      <c r="J426" s="259">
        <f t="shared" si="244"/>
        <v>0</v>
      </c>
      <c r="K426" s="264">
        <f t="shared" si="251"/>
        <v>0</v>
      </c>
      <c r="L426" s="2481">
        <f t="shared" si="240"/>
        <v>0</v>
      </c>
      <c r="M426" s="2289">
        <f t="shared" si="242"/>
        <v>-10000000</v>
      </c>
      <c r="N426" s="3169"/>
    </row>
    <row r="427" spans="1:14" s="225" customFormat="1" ht="12.75" customHeight="1" x14ac:dyDescent="0.2">
      <c r="A427" s="1455"/>
      <c r="B427" s="1444" t="s">
        <v>15</v>
      </c>
      <c r="C427" s="3172"/>
      <c r="D427" s="267">
        <f>+D441</f>
        <v>70000000</v>
      </c>
      <c r="E427" s="268">
        <f>+E441</f>
        <v>0</v>
      </c>
      <c r="F427" s="268">
        <f>+F441</f>
        <v>0</v>
      </c>
      <c r="G427" s="268">
        <f>+G441</f>
        <v>20000000</v>
      </c>
      <c r="H427" s="2301">
        <f>+H441</f>
        <v>50000000</v>
      </c>
      <c r="I427" s="267">
        <f t="shared" ref="I427:K427" si="252">+I441</f>
        <v>0</v>
      </c>
      <c r="J427" s="259">
        <f t="shared" si="244"/>
        <v>0</v>
      </c>
      <c r="K427" s="268">
        <f t="shared" si="252"/>
        <v>0</v>
      </c>
      <c r="L427" s="2481">
        <f t="shared" si="240"/>
        <v>0</v>
      </c>
      <c r="M427" s="2301">
        <f t="shared" si="242"/>
        <v>-10000000</v>
      </c>
      <c r="N427" s="3169"/>
    </row>
    <row r="428" spans="1:14" ht="12.75" customHeight="1" x14ac:dyDescent="0.2">
      <c r="A428" s="1455"/>
      <c r="B428" s="1441" t="s">
        <v>17</v>
      </c>
      <c r="C428" s="1057"/>
      <c r="D428" s="1058">
        <f>+D429+D432</f>
        <v>124076036</v>
      </c>
      <c r="E428" s="1059">
        <f>+E429+E432</f>
        <v>14488536</v>
      </c>
      <c r="F428" s="1059">
        <f>+F429+F432</f>
        <v>6250000</v>
      </c>
      <c r="G428" s="1059">
        <f>+G429+G432</f>
        <v>26250000</v>
      </c>
      <c r="H428" s="2286">
        <f>+H429+H432</f>
        <v>77087500</v>
      </c>
      <c r="I428" s="1058">
        <f t="shared" ref="I428" si="253">+I429+I432</f>
        <v>20738536</v>
      </c>
      <c r="J428" s="1062">
        <f t="shared" si="244"/>
        <v>16.714376658519299</v>
      </c>
      <c r="K428" s="1059">
        <f>+K429+K432</f>
        <v>0</v>
      </c>
      <c r="L428" s="1065">
        <f t="shared" si="240"/>
        <v>0</v>
      </c>
      <c r="M428" s="2286">
        <f t="shared" si="242"/>
        <v>-13125000</v>
      </c>
      <c r="N428" s="3169"/>
    </row>
    <row r="429" spans="1:14" ht="12.75" customHeight="1" x14ac:dyDescent="0.2">
      <c r="A429" s="1455"/>
      <c r="B429" s="1446" t="s">
        <v>18</v>
      </c>
      <c r="C429" s="3173"/>
      <c r="D429" s="269">
        <f>+D430+D431</f>
        <v>54076036</v>
      </c>
      <c r="E429" s="270">
        <f>+E430+E431</f>
        <v>14488536</v>
      </c>
      <c r="F429" s="270">
        <f>+F430+F431</f>
        <v>6250000</v>
      </c>
      <c r="G429" s="270">
        <f>+G430+G431</f>
        <v>6250000</v>
      </c>
      <c r="H429" s="2482">
        <f>+H430+H431</f>
        <v>27087500</v>
      </c>
      <c r="I429" s="269">
        <f t="shared" ref="I429" si="254">+I430+I431</f>
        <v>20738536</v>
      </c>
      <c r="J429" s="2483">
        <f t="shared" si="244"/>
        <v>38.350695675992228</v>
      </c>
      <c r="K429" s="270">
        <f>+K430+K431</f>
        <v>0</v>
      </c>
      <c r="L429" s="2484">
        <f t="shared" si="240"/>
        <v>0</v>
      </c>
      <c r="M429" s="2482">
        <f t="shared" si="242"/>
        <v>-3125000</v>
      </c>
      <c r="N429" s="3169"/>
    </row>
    <row r="430" spans="1:14" ht="12.75" customHeight="1" x14ac:dyDescent="0.2">
      <c r="A430" s="1456"/>
      <c r="B430" s="1447" t="s">
        <v>98</v>
      </c>
      <c r="C430" s="3173"/>
      <c r="D430" s="267">
        <f t="shared" ref="D430:K431" si="255">+D444</f>
        <v>14587500</v>
      </c>
      <c r="E430" s="268">
        <f t="shared" si="255"/>
        <v>0</v>
      </c>
      <c r="F430" s="268">
        <f t="shared" si="255"/>
        <v>0</v>
      </c>
      <c r="G430" s="268">
        <f t="shared" si="255"/>
        <v>0</v>
      </c>
      <c r="H430" s="2301">
        <f t="shared" si="255"/>
        <v>14587500</v>
      </c>
      <c r="I430" s="267">
        <f t="shared" si="255"/>
        <v>0</v>
      </c>
      <c r="J430" s="2456">
        <f t="shared" si="244"/>
        <v>0</v>
      </c>
      <c r="K430" s="268">
        <f t="shared" si="255"/>
        <v>0</v>
      </c>
      <c r="L430" s="2459">
        <v>0</v>
      </c>
      <c r="M430" s="2301">
        <f t="shared" si="242"/>
        <v>0</v>
      </c>
      <c r="N430" s="3169"/>
    </row>
    <row r="431" spans="1:14" ht="12.75" customHeight="1" x14ac:dyDescent="0.2">
      <c r="A431" s="1455"/>
      <c r="B431" s="1447" t="s">
        <v>97</v>
      </c>
      <c r="C431" s="3173"/>
      <c r="D431" s="267">
        <f t="shared" si="255"/>
        <v>39488536</v>
      </c>
      <c r="E431" s="268">
        <f t="shared" si="255"/>
        <v>14488536</v>
      </c>
      <c r="F431" s="268">
        <f t="shared" si="255"/>
        <v>6250000</v>
      </c>
      <c r="G431" s="268">
        <f t="shared" si="255"/>
        <v>6250000</v>
      </c>
      <c r="H431" s="2301">
        <f t="shared" si="255"/>
        <v>12500000</v>
      </c>
      <c r="I431" s="267">
        <f t="shared" si="255"/>
        <v>20738536</v>
      </c>
      <c r="J431" s="2456">
        <f t="shared" si="244"/>
        <v>52.517864931736135</v>
      </c>
      <c r="K431" s="268">
        <f t="shared" si="255"/>
        <v>0</v>
      </c>
      <c r="L431" s="2294">
        <f t="shared" si="240"/>
        <v>0</v>
      </c>
      <c r="M431" s="2301">
        <f t="shared" si="242"/>
        <v>-3125000</v>
      </c>
      <c r="N431" s="3169"/>
    </row>
    <row r="432" spans="1:14" s="354" customFormat="1" ht="12.75" customHeight="1" x14ac:dyDescent="0.2">
      <c r="A432" s="1455"/>
      <c r="B432" s="1448" t="s">
        <v>13</v>
      </c>
      <c r="C432" s="3173"/>
      <c r="D432" s="352">
        <f>+D433</f>
        <v>70000000</v>
      </c>
      <c r="E432" s="353">
        <f t="shared" ref="E432:K432" si="256">+E433</f>
        <v>0</v>
      </c>
      <c r="F432" s="353">
        <f t="shared" si="256"/>
        <v>0</v>
      </c>
      <c r="G432" s="353">
        <f t="shared" si="256"/>
        <v>20000000</v>
      </c>
      <c r="H432" s="2485">
        <f t="shared" si="256"/>
        <v>50000000</v>
      </c>
      <c r="I432" s="352">
        <f t="shared" si="256"/>
        <v>0</v>
      </c>
      <c r="J432" s="2456">
        <f t="shared" si="244"/>
        <v>0</v>
      </c>
      <c r="K432" s="353">
        <f t="shared" si="256"/>
        <v>0</v>
      </c>
      <c r="L432" s="2294">
        <f t="shared" si="240"/>
        <v>0</v>
      </c>
      <c r="M432" s="2485">
        <f t="shared" si="242"/>
        <v>-10000000</v>
      </c>
      <c r="N432" s="3169"/>
    </row>
    <row r="433" spans="1:14" ht="12.75" customHeight="1" thickBot="1" x14ac:dyDescent="0.25">
      <c r="A433" s="1457"/>
      <c r="B433" s="1449" t="s">
        <v>15</v>
      </c>
      <c r="C433" s="3174"/>
      <c r="D433" s="355">
        <f>+D447</f>
        <v>70000000</v>
      </c>
      <c r="E433" s="356">
        <f>+E447</f>
        <v>0</v>
      </c>
      <c r="F433" s="356">
        <f>+F447</f>
        <v>0</v>
      </c>
      <c r="G433" s="356">
        <f>+G447</f>
        <v>20000000</v>
      </c>
      <c r="H433" s="2486">
        <f>+H447</f>
        <v>50000000</v>
      </c>
      <c r="I433" s="355">
        <f t="shared" ref="I433:K433" si="257">+I447</f>
        <v>0</v>
      </c>
      <c r="J433" s="2463">
        <f t="shared" si="244"/>
        <v>0</v>
      </c>
      <c r="K433" s="356">
        <f t="shared" si="257"/>
        <v>0</v>
      </c>
      <c r="L433" s="2464">
        <f t="shared" si="240"/>
        <v>0</v>
      </c>
      <c r="M433" s="2486">
        <f t="shared" si="242"/>
        <v>-10000000</v>
      </c>
      <c r="N433" s="3170"/>
    </row>
    <row r="434" spans="1:14" s="291" customFormat="1" ht="26.25" customHeight="1" x14ac:dyDescent="0.2">
      <c r="A434" s="3175" t="s">
        <v>99</v>
      </c>
      <c r="B434" s="2487" t="s">
        <v>100</v>
      </c>
      <c r="C434" s="2123" t="s">
        <v>193</v>
      </c>
      <c r="D434" s="2488"/>
      <c r="E434" s="2489"/>
      <c r="F434" s="2489"/>
      <c r="G434" s="2490"/>
      <c r="H434" s="2491"/>
      <c r="I434" s="2492"/>
      <c r="J434" s="2489"/>
      <c r="K434" s="2489"/>
      <c r="L434" s="2493"/>
      <c r="M434" s="2494"/>
      <c r="N434" s="3130" t="s">
        <v>101</v>
      </c>
    </row>
    <row r="435" spans="1:14" s="2505" customFormat="1" ht="12.75" customHeight="1" x14ac:dyDescent="0.2">
      <c r="A435" s="3095"/>
      <c r="B435" s="2495" t="s">
        <v>3</v>
      </c>
      <c r="C435" s="2496"/>
      <c r="D435" s="2497">
        <f t="shared" ref="D435:H435" si="258">+D436+D440</f>
        <v>140000000</v>
      </c>
      <c r="E435" s="2498">
        <f t="shared" si="258"/>
        <v>0</v>
      </c>
      <c r="F435" s="2498">
        <f t="shared" si="258"/>
        <v>0</v>
      </c>
      <c r="G435" s="2498">
        <f t="shared" si="258"/>
        <v>40000000</v>
      </c>
      <c r="H435" s="2499">
        <f t="shared" si="258"/>
        <v>100000000</v>
      </c>
      <c r="I435" s="2500">
        <f>+I436+I439</f>
        <v>0</v>
      </c>
      <c r="J435" s="2501">
        <f t="shared" si="244"/>
        <v>0</v>
      </c>
      <c r="K435" s="2502">
        <f>+K436+K440</f>
        <v>0</v>
      </c>
      <c r="L435" s="2503">
        <f t="shared" si="240"/>
        <v>0</v>
      </c>
      <c r="M435" s="2504">
        <f t="shared" si="242"/>
        <v>-20000000</v>
      </c>
      <c r="N435" s="3098"/>
    </row>
    <row r="436" spans="1:14" s="2505" customFormat="1" ht="12.75" customHeight="1" x14ac:dyDescent="0.2">
      <c r="A436" s="3095"/>
      <c r="B436" s="1696" t="s">
        <v>18</v>
      </c>
      <c r="C436" s="3047" t="s">
        <v>102</v>
      </c>
      <c r="D436" s="2506">
        <f t="shared" ref="D436:K436" si="259">SUM(D437:D439)</f>
        <v>70000000</v>
      </c>
      <c r="E436" s="2507">
        <f t="shared" si="259"/>
        <v>0</v>
      </c>
      <c r="F436" s="2507">
        <f t="shared" si="259"/>
        <v>0</v>
      </c>
      <c r="G436" s="2508">
        <f t="shared" si="259"/>
        <v>20000000</v>
      </c>
      <c r="H436" s="2509">
        <f t="shared" si="259"/>
        <v>50000000</v>
      </c>
      <c r="I436" s="2508">
        <f>SUM(I437:I439)</f>
        <v>0</v>
      </c>
      <c r="J436" s="2510">
        <f t="shared" si="244"/>
        <v>0</v>
      </c>
      <c r="K436" s="2508">
        <f t="shared" si="259"/>
        <v>0</v>
      </c>
      <c r="L436" s="2511">
        <f t="shared" ref="L436:L489" si="260">K436/G436*100</f>
        <v>0</v>
      </c>
      <c r="M436" s="2512">
        <f t="shared" si="242"/>
        <v>-10000000</v>
      </c>
      <c r="N436" s="3098"/>
    </row>
    <row r="437" spans="1:14" s="291" customFormat="1" ht="12.75" customHeight="1" x14ac:dyDescent="0.2">
      <c r="A437" s="3095"/>
      <c r="B437" s="1700" t="s">
        <v>5</v>
      </c>
      <c r="C437" s="3048"/>
      <c r="D437" s="1701">
        <f>+E437+F437+G437+H437</f>
        <v>15923964</v>
      </c>
      <c r="E437" s="1702"/>
      <c r="F437" s="2513">
        <v>0</v>
      </c>
      <c r="G437" s="2514">
        <v>0</v>
      </c>
      <c r="H437" s="2515">
        <v>15923964</v>
      </c>
      <c r="I437" s="1081">
        <f t="shared" ref="I437:I438" si="261">+K437+F437+E437</f>
        <v>0</v>
      </c>
      <c r="J437" s="2516">
        <f t="shared" si="244"/>
        <v>0</v>
      </c>
      <c r="K437" s="280">
        <v>0</v>
      </c>
      <c r="L437" s="2517">
        <v>0</v>
      </c>
      <c r="M437" s="1732">
        <f t="shared" si="242"/>
        <v>0</v>
      </c>
      <c r="N437" s="3098"/>
    </row>
    <row r="438" spans="1:14" s="291" customFormat="1" ht="12.75" customHeight="1" x14ac:dyDescent="0.2">
      <c r="A438" s="3095"/>
      <c r="B438" s="2518" t="s">
        <v>29</v>
      </c>
      <c r="C438" s="3048"/>
      <c r="D438" s="1701">
        <f>+E438+F438+G438+H438</f>
        <v>14587500</v>
      </c>
      <c r="E438" s="1702"/>
      <c r="F438" s="2513">
        <v>0</v>
      </c>
      <c r="G438" s="2514">
        <v>0</v>
      </c>
      <c r="H438" s="2515">
        <v>14587500</v>
      </c>
      <c r="I438" s="1081">
        <f t="shared" si="261"/>
        <v>0</v>
      </c>
      <c r="J438" s="2516">
        <f t="shared" si="244"/>
        <v>0</v>
      </c>
      <c r="K438" s="280">
        <v>0</v>
      </c>
      <c r="L438" s="2517">
        <v>0</v>
      </c>
      <c r="M438" s="1732">
        <f t="shared" si="242"/>
        <v>0</v>
      </c>
      <c r="N438" s="3098"/>
    </row>
    <row r="439" spans="1:14" s="291" customFormat="1" ht="12.75" customHeight="1" x14ac:dyDescent="0.2">
      <c r="A439" s="3095"/>
      <c r="B439" s="2519" t="s">
        <v>103</v>
      </c>
      <c r="C439" s="3048"/>
      <c r="D439" s="1701">
        <f>+E439+F439+G439+H439</f>
        <v>39488536</v>
      </c>
      <c r="E439" s="2520"/>
      <c r="F439" s="2520">
        <v>0</v>
      </c>
      <c r="G439" s="2521">
        <v>20000000</v>
      </c>
      <c r="H439" s="2522">
        <f>39488536-20000000</f>
        <v>19488536</v>
      </c>
      <c r="I439" s="2523">
        <f>+K439+F439+E439</f>
        <v>0</v>
      </c>
      <c r="J439" s="2524">
        <f t="shared" si="244"/>
        <v>0</v>
      </c>
      <c r="K439" s="2525">
        <v>0</v>
      </c>
      <c r="L439" s="2526">
        <f t="shared" si="260"/>
        <v>0</v>
      </c>
      <c r="M439" s="2527">
        <f t="shared" si="242"/>
        <v>-10000000</v>
      </c>
      <c r="N439" s="3098"/>
    </row>
    <row r="440" spans="1:14" s="2505" customFormat="1" ht="12.75" customHeight="1" x14ac:dyDescent="0.2">
      <c r="A440" s="3095"/>
      <c r="B440" s="1705" t="s">
        <v>13</v>
      </c>
      <c r="C440" s="3048"/>
      <c r="D440" s="2506">
        <f t="shared" ref="D440:I440" si="262">+D441</f>
        <v>70000000</v>
      </c>
      <c r="E440" s="2507">
        <f t="shared" si="262"/>
        <v>0</v>
      </c>
      <c r="F440" s="2507">
        <f t="shared" si="262"/>
        <v>0</v>
      </c>
      <c r="G440" s="2507">
        <f t="shared" si="262"/>
        <v>20000000</v>
      </c>
      <c r="H440" s="2528">
        <f t="shared" si="262"/>
        <v>50000000</v>
      </c>
      <c r="I440" s="2507">
        <f t="shared" si="262"/>
        <v>0</v>
      </c>
      <c r="J440" s="2524">
        <f t="shared" si="244"/>
        <v>0</v>
      </c>
      <c r="K440" s="2529">
        <f>+K441</f>
        <v>0</v>
      </c>
      <c r="L440" s="2526">
        <f t="shared" si="260"/>
        <v>0</v>
      </c>
      <c r="M440" s="2530">
        <f t="shared" si="242"/>
        <v>-10000000</v>
      </c>
      <c r="N440" s="3098"/>
    </row>
    <row r="441" spans="1:14" s="291" customFormat="1" ht="12.75" customHeight="1" x14ac:dyDescent="0.2">
      <c r="A441" s="3095"/>
      <c r="B441" s="1700" t="s">
        <v>15</v>
      </c>
      <c r="C441" s="3049"/>
      <c r="D441" s="1701">
        <f>+E441+F441+G441+H441</f>
        <v>70000000</v>
      </c>
      <c r="E441" s="2531"/>
      <c r="F441" s="922">
        <v>0</v>
      </c>
      <c r="G441" s="922">
        <v>20000000</v>
      </c>
      <c r="H441" s="2532">
        <v>50000000</v>
      </c>
      <c r="I441" s="2523">
        <f>+K441+F441+E441</f>
        <v>0</v>
      </c>
      <c r="J441" s="2524">
        <f t="shared" si="244"/>
        <v>0</v>
      </c>
      <c r="K441" s="2533">
        <v>0</v>
      </c>
      <c r="L441" s="2526">
        <f t="shared" si="260"/>
        <v>0</v>
      </c>
      <c r="M441" s="2527">
        <f t="shared" si="242"/>
        <v>-10000000</v>
      </c>
      <c r="N441" s="3098"/>
    </row>
    <row r="442" spans="1:14" s="291" customFormat="1" ht="12.75" customHeight="1" x14ac:dyDescent="0.2">
      <c r="A442" s="3095"/>
      <c r="B442" s="2495" t="s">
        <v>17</v>
      </c>
      <c r="C442" s="237"/>
      <c r="D442" s="2497">
        <f>+D443+D446</f>
        <v>124076036</v>
      </c>
      <c r="E442" s="2498">
        <f>+E443</f>
        <v>14488536</v>
      </c>
      <c r="F442" s="2498">
        <f>+F443</f>
        <v>6250000</v>
      </c>
      <c r="G442" s="2498">
        <f>+G443</f>
        <v>6250000</v>
      </c>
      <c r="H442" s="2534">
        <f>+H443+H446</f>
        <v>77087500</v>
      </c>
      <c r="I442" s="2500">
        <f>+I443+I446</f>
        <v>20738536</v>
      </c>
      <c r="J442" s="2501">
        <f t="shared" si="244"/>
        <v>16.714376658519299</v>
      </c>
      <c r="K442" s="2502">
        <f>+K443+K446</f>
        <v>0</v>
      </c>
      <c r="L442" s="2503">
        <f t="shared" si="260"/>
        <v>0</v>
      </c>
      <c r="M442" s="2504">
        <f t="shared" si="242"/>
        <v>-3125000</v>
      </c>
      <c r="N442" s="3098"/>
    </row>
    <row r="443" spans="1:14" s="2505" customFormat="1" ht="12.75" customHeight="1" x14ac:dyDescent="0.2">
      <c r="A443" s="3095"/>
      <c r="B443" s="1696" t="s">
        <v>18</v>
      </c>
      <c r="C443" s="3176" t="s">
        <v>104</v>
      </c>
      <c r="D443" s="2506">
        <f t="shared" ref="D443:I443" si="263">+D444+D445</f>
        <v>54076036</v>
      </c>
      <c r="E443" s="2507">
        <f t="shared" si="263"/>
        <v>14488536</v>
      </c>
      <c r="F443" s="2507">
        <f t="shared" si="263"/>
        <v>6250000</v>
      </c>
      <c r="G443" s="2507">
        <f>+G444+G445</f>
        <v>6250000</v>
      </c>
      <c r="H443" s="2530">
        <f t="shared" si="263"/>
        <v>27087500</v>
      </c>
      <c r="I443" s="2535">
        <f t="shared" si="263"/>
        <v>20738536</v>
      </c>
      <c r="J443" s="2510">
        <f t="shared" si="244"/>
        <v>38.350695675992228</v>
      </c>
      <c r="K443" s="2529">
        <f>+K444+K445</f>
        <v>0</v>
      </c>
      <c r="L443" s="2511">
        <f t="shared" si="260"/>
        <v>0</v>
      </c>
      <c r="M443" s="2536">
        <f t="shared" si="242"/>
        <v>-3125000</v>
      </c>
      <c r="N443" s="3098"/>
    </row>
    <row r="444" spans="1:14" s="291" customFormat="1" ht="12.75" customHeight="1" x14ac:dyDescent="0.2">
      <c r="A444" s="3095"/>
      <c r="B444" s="2518" t="s">
        <v>98</v>
      </c>
      <c r="C444" s="3177"/>
      <c r="D444" s="1701">
        <f>+E444+F444+G444+H444</f>
        <v>14587500</v>
      </c>
      <c r="E444" s="2531"/>
      <c r="F444" s="922">
        <v>0</v>
      </c>
      <c r="G444" s="280">
        <v>0</v>
      </c>
      <c r="H444" s="2527">
        <v>14587500</v>
      </c>
      <c r="I444" s="2523">
        <f>+K444+F444+E444</f>
        <v>0</v>
      </c>
      <c r="J444" s="2524">
        <f t="shared" si="244"/>
        <v>0</v>
      </c>
      <c r="K444" s="2533">
        <v>0</v>
      </c>
      <c r="L444" s="2517">
        <v>0</v>
      </c>
      <c r="M444" s="2527">
        <f t="shared" si="242"/>
        <v>0</v>
      </c>
      <c r="N444" s="3098"/>
    </row>
    <row r="445" spans="1:14" s="291" customFormat="1" ht="12.75" customHeight="1" x14ac:dyDescent="0.2">
      <c r="A445" s="3095"/>
      <c r="B445" s="2519" t="s">
        <v>103</v>
      </c>
      <c r="C445" s="3177"/>
      <c r="D445" s="1701">
        <f>+E445+F445+G445+H445</f>
        <v>39488536</v>
      </c>
      <c r="E445" s="922">
        <f>8238536+6250000</f>
        <v>14488536</v>
      </c>
      <c r="F445" s="922">
        <v>6250000</v>
      </c>
      <c r="G445" s="922">
        <v>6250000</v>
      </c>
      <c r="H445" s="2527">
        <f>6250000+6250000</f>
        <v>12500000</v>
      </c>
      <c r="I445" s="2523">
        <f>+K445+F445+E445</f>
        <v>20738536</v>
      </c>
      <c r="J445" s="2510">
        <f t="shared" si="244"/>
        <v>52.517864931736135</v>
      </c>
      <c r="K445" s="2533">
        <v>0</v>
      </c>
      <c r="L445" s="2511">
        <f t="shared" si="260"/>
        <v>0</v>
      </c>
      <c r="M445" s="2527">
        <f t="shared" si="242"/>
        <v>-3125000</v>
      </c>
      <c r="N445" s="3098"/>
    </row>
    <row r="446" spans="1:14" s="2505" customFormat="1" ht="12.75" customHeight="1" x14ac:dyDescent="0.2">
      <c r="A446" s="3095"/>
      <c r="B446" s="1705" t="s">
        <v>13</v>
      </c>
      <c r="C446" s="3177"/>
      <c r="D446" s="2506">
        <f>+D447</f>
        <v>70000000</v>
      </c>
      <c r="E446" s="2537"/>
      <c r="F446" s="2538">
        <v>0</v>
      </c>
      <c r="G446" s="2507">
        <f t="shared" ref="G446:H446" si="264">+G447</f>
        <v>20000000</v>
      </c>
      <c r="H446" s="2528">
        <f t="shared" si="264"/>
        <v>50000000</v>
      </c>
      <c r="I446" s="2535">
        <f>+I447</f>
        <v>0</v>
      </c>
      <c r="J446" s="2510">
        <f t="shared" si="244"/>
        <v>0</v>
      </c>
      <c r="K446" s="2529">
        <v>0</v>
      </c>
      <c r="L446" s="2511">
        <f t="shared" si="260"/>
        <v>0</v>
      </c>
      <c r="M446" s="2536">
        <f t="shared" si="242"/>
        <v>-10000000</v>
      </c>
      <c r="N446" s="3098"/>
    </row>
    <row r="447" spans="1:14" s="291" customFormat="1" ht="12.75" customHeight="1" thickBot="1" x14ac:dyDescent="0.25">
      <c r="A447" s="3115"/>
      <c r="B447" s="2539" t="s">
        <v>15</v>
      </c>
      <c r="C447" s="3178"/>
      <c r="D447" s="1711">
        <f>+E447+F447+G447+H447</f>
        <v>70000000</v>
      </c>
      <c r="E447" s="2395"/>
      <c r="F447" s="2540">
        <v>0</v>
      </c>
      <c r="G447" s="2540">
        <v>20000000</v>
      </c>
      <c r="H447" s="2541">
        <v>50000000</v>
      </c>
      <c r="I447" s="2542">
        <f>+K447+F447+E447</f>
        <v>0</v>
      </c>
      <c r="J447" s="2543">
        <f t="shared" si="244"/>
        <v>0</v>
      </c>
      <c r="K447" s="2544">
        <v>0</v>
      </c>
      <c r="L447" s="2545">
        <f t="shared" si="260"/>
        <v>0</v>
      </c>
      <c r="M447" s="2546">
        <f t="shared" si="242"/>
        <v>-10000000</v>
      </c>
      <c r="N447" s="3131"/>
    </row>
    <row r="448" spans="1:14" s="291" customFormat="1" ht="25.5" customHeight="1" x14ac:dyDescent="0.2">
      <c r="A448" s="3180" t="s">
        <v>105</v>
      </c>
      <c r="B448" s="1450" t="s">
        <v>257</v>
      </c>
      <c r="C448" s="1021"/>
      <c r="D448" s="1022"/>
      <c r="E448" s="1023"/>
      <c r="F448" s="1023"/>
      <c r="G448" s="1023"/>
      <c r="H448" s="2547"/>
      <c r="I448" s="1022"/>
      <c r="J448" s="1023"/>
      <c r="K448" s="1023"/>
      <c r="L448" s="1024"/>
      <c r="M448" s="2547"/>
      <c r="N448" s="3182"/>
    </row>
    <row r="449" spans="1:14" s="291" customFormat="1" ht="12.75" customHeight="1" x14ac:dyDescent="0.2">
      <c r="A449" s="3180"/>
      <c r="B449" s="1441" t="s">
        <v>3</v>
      </c>
      <c r="C449" s="1057"/>
      <c r="D449" s="1058">
        <f t="shared" ref="D449:H449" si="265">+D450+D452</f>
        <v>1260729</v>
      </c>
      <c r="E449" s="1059">
        <f t="shared" si="265"/>
        <v>1193650</v>
      </c>
      <c r="F449" s="1059">
        <f t="shared" si="265"/>
        <v>67079</v>
      </c>
      <c r="G449" s="1059">
        <f t="shared" si="265"/>
        <v>0</v>
      </c>
      <c r="H449" s="2286">
        <f t="shared" si="265"/>
        <v>0</v>
      </c>
      <c r="I449" s="1058">
        <f>+I450+I452</f>
        <v>1260729</v>
      </c>
      <c r="J449" s="1062">
        <f t="shared" si="244"/>
        <v>100</v>
      </c>
      <c r="K449" s="1063">
        <f>+K450+K452</f>
        <v>0</v>
      </c>
      <c r="L449" s="1064">
        <v>0</v>
      </c>
      <c r="M449" s="2286">
        <f t="shared" si="242"/>
        <v>0</v>
      </c>
      <c r="N449" s="3182"/>
    </row>
    <row r="450" spans="1:14" s="291" customFormat="1" ht="12.75" customHeight="1" x14ac:dyDescent="0.2">
      <c r="A450" s="3141"/>
      <c r="B450" s="1442" t="s">
        <v>18</v>
      </c>
      <c r="C450" s="3184"/>
      <c r="D450" s="256">
        <f t="shared" ref="D450:I450" si="266">+D451</f>
        <v>189110</v>
      </c>
      <c r="E450" s="255">
        <f t="shared" si="266"/>
        <v>179048</v>
      </c>
      <c r="F450" s="255">
        <f t="shared" si="266"/>
        <v>10062</v>
      </c>
      <c r="G450" s="255">
        <f t="shared" si="266"/>
        <v>0</v>
      </c>
      <c r="H450" s="2453">
        <f t="shared" si="266"/>
        <v>0</v>
      </c>
      <c r="I450" s="256">
        <f t="shared" si="266"/>
        <v>189110</v>
      </c>
      <c r="J450" s="358">
        <f t="shared" si="244"/>
        <v>100</v>
      </c>
      <c r="K450" s="357">
        <f>+K451</f>
        <v>0</v>
      </c>
      <c r="L450" s="895">
        <v>0</v>
      </c>
      <c r="M450" s="2453">
        <f t="shared" ref="M450:M513" si="267">+K450-G450*0.5</f>
        <v>0</v>
      </c>
      <c r="N450" s="3082"/>
    </row>
    <row r="451" spans="1:14" s="291" customFormat="1" ht="12.75" customHeight="1" x14ac:dyDescent="0.2">
      <c r="A451" s="3141"/>
      <c r="B451" s="1443" t="s">
        <v>5</v>
      </c>
      <c r="C451" s="3185"/>
      <c r="D451" s="258">
        <f t="shared" ref="D451:H451" si="268">+D460</f>
        <v>189110</v>
      </c>
      <c r="E451" s="259">
        <f t="shared" si="268"/>
        <v>179048</v>
      </c>
      <c r="F451" s="259">
        <f t="shared" si="268"/>
        <v>10062</v>
      </c>
      <c r="G451" s="259">
        <f t="shared" si="268"/>
        <v>0</v>
      </c>
      <c r="H451" s="2293">
        <f t="shared" si="268"/>
        <v>0</v>
      </c>
      <c r="I451" s="258">
        <f>+I460</f>
        <v>189110</v>
      </c>
      <c r="J451" s="869">
        <f t="shared" si="244"/>
        <v>100</v>
      </c>
      <c r="K451" s="261">
        <f>+K460</f>
        <v>0</v>
      </c>
      <c r="L451" s="266">
        <v>0</v>
      </c>
      <c r="M451" s="2293">
        <f t="shared" si="267"/>
        <v>0</v>
      </c>
      <c r="N451" s="3082"/>
    </row>
    <row r="452" spans="1:14" s="291" customFormat="1" ht="12.75" customHeight="1" x14ac:dyDescent="0.2">
      <c r="A452" s="3141"/>
      <c r="B452" s="1445" t="s">
        <v>13</v>
      </c>
      <c r="C452" s="3185"/>
      <c r="D452" s="263">
        <f t="shared" ref="D452:I452" si="269">+D453</f>
        <v>1071619</v>
      </c>
      <c r="E452" s="264">
        <f t="shared" si="269"/>
        <v>1014602</v>
      </c>
      <c r="F452" s="264">
        <f t="shared" si="269"/>
        <v>57017</v>
      </c>
      <c r="G452" s="264">
        <f t="shared" si="269"/>
        <v>0</v>
      </c>
      <c r="H452" s="2289">
        <f t="shared" si="269"/>
        <v>0</v>
      </c>
      <c r="I452" s="263">
        <f t="shared" si="269"/>
        <v>1071619</v>
      </c>
      <c r="J452" s="870">
        <f t="shared" si="244"/>
        <v>100</v>
      </c>
      <c r="K452" s="327">
        <f>+K453</f>
        <v>0</v>
      </c>
      <c r="L452" s="896">
        <v>0</v>
      </c>
      <c r="M452" s="2289">
        <f t="shared" si="267"/>
        <v>0</v>
      </c>
      <c r="N452" s="3082"/>
    </row>
    <row r="453" spans="1:14" s="291" customFormat="1" ht="12.75" customHeight="1" x14ac:dyDescent="0.2">
      <c r="A453" s="3141"/>
      <c r="B453" s="1451" t="s">
        <v>14</v>
      </c>
      <c r="C453" s="3185"/>
      <c r="D453" s="258">
        <f t="shared" ref="D453:H453" si="270">+D462</f>
        <v>1071619</v>
      </c>
      <c r="E453" s="259">
        <f t="shared" si="270"/>
        <v>1014602</v>
      </c>
      <c r="F453" s="259">
        <f t="shared" si="270"/>
        <v>57017</v>
      </c>
      <c r="G453" s="259">
        <f t="shared" si="270"/>
        <v>0</v>
      </c>
      <c r="H453" s="2293">
        <f t="shared" si="270"/>
        <v>0</v>
      </c>
      <c r="I453" s="258">
        <f>+I462</f>
        <v>1071619</v>
      </c>
      <c r="J453" s="869">
        <f t="shared" si="244"/>
        <v>100</v>
      </c>
      <c r="K453" s="261">
        <f>+K462</f>
        <v>0</v>
      </c>
      <c r="L453" s="266">
        <v>0</v>
      </c>
      <c r="M453" s="2293">
        <f t="shared" si="267"/>
        <v>0</v>
      </c>
      <c r="N453" s="3082"/>
    </row>
    <row r="454" spans="1:14" s="291" customFormat="1" ht="12.75" customHeight="1" x14ac:dyDescent="0.2">
      <c r="A454" s="3141"/>
      <c r="B454" s="1441" t="s">
        <v>17</v>
      </c>
      <c r="C454" s="1057"/>
      <c r="D454" s="1058">
        <f t="shared" ref="D454:I455" si="271">+D455</f>
        <v>1071619</v>
      </c>
      <c r="E454" s="1059">
        <f t="shared" si="271"/>
        <v>261518</v>
      </c>
      <c r="F454" s="1059">
        <f t="shared" si="271"/>
        <v>539643</v>
      </c>
      <c r="G454" s="1059">
        <f t="shared" si="271"/>
        <v>270458</v>
      </c>
      <c r="H454" s="2286">
        <f t="shared" si="271"/>
        <v>0</v>
      </c>
      <c r="I454" s="1058">
        <f t="shared" si="271"/>
        <v>876437</v>
      </c>
      <c r="J454" s="1062">
        <f t="shared" si="244"/>
        <v>81.78625052374025</v>
      </c>
      <c r="K454" s="1059">
        <f>+K455</f>
        <v>75276</v>
      </c>
      <c r="L454" s="1065">
        <f t="shared" si="260"/>
        <v>27.832787345909534</v>
      </c>
      <c r="M454" s="2286">
        <f t="shared" si="267"/>
        <v>-59953</v>
      </c>
      <c r="N454" s="3082"/>
    </row>
    <row r="455" spans="1:14" s="291" customFormat="1" ht="12.75" customHeight="1" x14ac:dyDescent="0.2">
      <c r="A455" s="3141"/>
      <c r="B455" s="1452" t="s">
        <v>13</v>
      </c>
      <c r="C455" s="3148"/>
      <c r="D455" s="269">
        <f t="shared" si="271"/>
        <v>1071619</v>
      </c>
      <c r="E455" s="270">
        <f t="shared" si="271"/>
        <v>261518</v>
      </c>
      <c r="F455" s="270">
        <f t="shared" si="271"/>
        <v>539643</v>
      </c>
      <c r="G455" s="270">
        <f t="shared" si="271"/>
        <v>270458</v>
      </c>
      <c r="H455" s="2482">
        <f t="shared" si="271"/>
        <v>0</v>
      </c>
      <c r="I455" s="269">
        <f t="shared" si="271"/>
        <v>876437</v>
      </c>
      <c r="J455" s="358">
        <f t="shared" si="244"/>
        <v>81.78625052374025</v>
      </c>
      <c r="K455" s="270">
        <f>+K456</f>
        <v>75276</v>
      </c>
      <c r="L455" s="897">
        <f t="shared" si="260"/>
        <v>27.832787345909534</v>
      </c>
      <c r="M455" s="2482">
        <f t="shared" si="267"/>
        <v>-59953</v>
      </c>
      <c r="N455" s="3082"/>
    </row>
    <row r="456" spans="1:14" s="291" customFormat="1" ht="12.75" customHeight="1" thickBot="1" x14ac:dyDescent="0.25">
      <c r="A456" s="3181"/>
      <c r="B456" s="1453" t="s">
        <v>14</v>
      </c>
      <c r="C456" s="3186"/>
      <c r="D456" s="943">
        <f t="shared" ref="D456:I456" si="272">+D465+D591+D605+D633+D647+D661+D689+D703+D717+D619+D675</f>
        <v>1071619</v>
      </c>
      <c r="E456" s="944">
        <f t="shared" si="272"/>
        <v>261518</v>
      </c>
      <c r="F456" s="944">
        <f t="shared" si="272"/>
        <v>539643</v>
      </c>
      <c r="G456" s="944">
        <f t="shared" si="272"/>
        <v>270458</v>
      </c>
      <c r="H456" s="2548">
        <f t="shared" si="272"/>
        <v>0</v>
      </c>
      <c r="I456" s="943">
        <f t="shared" si="272"/>
        <v>876437</v>
      </c>
      <c r="J456" s="1027">
        <f t="shared" si="244"/>
        <v>81.78625052374025</v>
      </c>
      <c r="K456" s="944">
        <f>+K465+K591+K605+K633+K647+K661+K689+K703+K717+K619+K675</f>
        <v>75276</v>
      </c>
      <c r="L456" s="1028">
        <f t="shared" si="260"/>
        <v>27.832787345909534</v>
      </c>
      <c r="M456" s="2548">
        <f t="shared" si="267"/>
        <v>-59953</v>
      </c>
      <c r="N456" s="3183"/>
    </row>
    <row r="457" spans="1:14" s="291" customFormat="1" ht="42.75" customHeight="1" x14ac:dyDescent="0.2">
      <c r="A457" s="3179" t="s">
        <v>106</v>
      </c>
      <c r="B457" s="2549" t="s">
        <v>115</v>
      </c>
      <c r="C457" s="2123" t="s">
        <v>198</v>
      </c>
      <c r="D457" s="278"/>
      <c r="E457" s="276"/>
      <c r="F457" s="276"/>
      <c r="G457" s="276"/>
      <c r="H457" s="277"/>
      <c r="I457" s="278"/>
      <c r="J457" s="276"/>
      <c r="K457" s="276"/>
      <c r="L457" s="305"/>
      <c r="M457" s="277"/>
      <c r="N457" s="3121" t="s">
        <v>329</v>
      </c>
    </row>
    <row r="458" spans="1:14" s="291" customFormat="1" ht="12.75" customHeight="1" x14ac:dyDescent="0.2">
      <c r="A458" s="3093"/>
      <c r="B458" s="1685" t="s">
        <v>3</v>
      </c>
      <c r="C458" s="237"/>
      <c r="D458" s="302">
        <f t="shared" ref="D458:I458" si="273">D459+D461</f>
        <v>1260729</v>
      </c>
      <c r="E458" s="304">
        <f t="shared" si="273"/>
        <v>1193650</v>
      </c>
      <c r="F458" s="304">
        <f t="shared" si="273"/>
        <v>67079</v>
      </c>
      <c r="G458" s="303">
        <f t="shared" si="273"/>
        <v>0</v>
      </c>
      <c r="H458" s="306">
        <f t="shared" si="273"/>
        <v>0</v>
      </c>
      <c r="I458" s="302">
        <f t="shared" si="273"/>
        <v>1260729</v>
      </c>
      <c r="J458" s="2334">
        <f t="shared" si="244"/>
        <v>100</v>
      </c>
      <c r="K458" s="303">
        <f>+K459+K461</f>
        <v>0</v>
      </c>
      <c r="L458" s="1080">
        <v>0</v>
      </c>
      <c r="M458" s="1185">
        <f t="shared" si="267"/>
        <v>0</v>
      </c>
      <c r="N458" s="3106"/>
    </row>
    <row r="459" spans="1:14" s="291" customFormat="1" ht="12.75" customHeight="1" x14ac:dyDescent="0.2">
      <c r="A459" s="3093"/>
      <c r="B459" s="1696" t="s">
        <v>18</v>
      </c>
      <c r="C459" s="3039" t="s">
        <v>111</v>
      </c>
      <c r="D459" s="296">
        <f>E459+F459+G459+H459</f>
        <v>189110</v>
      </c>
      <c r="E459" s="1697">
        <f t="shared" ref="E459:F461" si="274">E460</f>
        <v>179048</v>
      </c>
      <c r="F459" s="1697">
        <f t="shared" si="274"/>
        <v>10062</v>
      </c>
      <c r="G459" s="1752">
        <f>G460</f>
        <v>0</v>
      </c>
      <c r="H459" s="1768">
        <f>H460</f>
        <v>0</v>
      </c>
      <c r="I459" s="1750">
        <f>I460</f>
        <v>189110</v>
      </c>
      <c r="J459" s="1256">
        <f t="shared" si="244"/>
        <v>100</v>
      </c>
      <c r="K459" s="359">
        <f>+K460</f>
        <v>0</v>
      </c>
      <c r="L459" s="1076">
        <v>0</v>
      </c>
      <c r="M459" s="1762">
        <f t="shared" si="267"/>
        <v>0</v>
      </c>
      <c r="N459" s="3106"/>
    </row>
    <row r="460" spans="1:14" s="291" customFormat="1" ht="12.75" customHeight="1" x14ac:dyDescent="0.2">
      <c r="A460" s="3093"/>
      <c r="B460" s="1700" t="s">
        <v>5</v>
      </c>
      <c r="C460" s="3100"/>
      <c r="D460" s="1701">
        <f>E460+F460+G460+H460</f>
        <v>189110</v>
      </c>
      <c r="E460" s="1702">
        <f>13768+120069+45211</f>
        <v>179048</v>
      </c>
      <c r="F460" s="1702">
        <v>10062</v>
      </c>
      <c r="G460" s="280">
        <v>0</v>
      </c>
      <c r="H460" s="1732">
        <v>0</v>
      </c>
      <c r="I460" s="1730">
        <f>E460+F460+K460</f>
        <v>189110</v>
      </c>
      <c r="J460" s="2326">
        <f t="shared" si="244"/>
        <v>100</v>
      </c>
      <c r="K460" s="280">
        <v>0</v>
      </c>
      <c r="L460" s="900">
        <v>0</v>
      </c>
      <c r="M460" s="1424">
        <f t="shared" si="267"/>
        <v>0</v>
      </c>
      <c r="N460" s="3106"/>
    </row>
    <row r="461" spans="1:14" s="291" customFormat="1" ht="12.75" customHeight="1" x14ac:dyDescent="0.2">
      <c r="A461" s="3093"/>
      <c r="B461" s="1705" t="s">
        <v>13</v>
      </c>
      <c r="C461" s="3100"/>
      <c r="D461" s="282">
        <f>E461+F461+G461+H461</f>
        <v>1071619</v>
      </c>
      <c r="E461" s="1697">
        <f t="shared" si="274"/>
        <v>1014602</v>
      </c>
      <c r="F461" s="1707">
        <f>F462</f>
        <v>57017</v>
      </c>
      <c r="G461" s="360">
        <f>G462</f>
        <v>0</v>
      </c>
      <c r="H461" s="2346">
        <f>H462</f>
        <v>0</v>
      </c>
      <c r="I461" s="2127">
        <f>I462</f>
        <v>1071619</v>
      </c>
      <c r="J461" s="1231">
        <f t="shared" si="244"/>
        <v>100</v>
      </c>
      <c r="K461" s="360">
        <f>+K462</f>
        <v>0</v>
      </c>
      <c r="L461" s="1078">
        <v>0</v>
      </c>
      <c r="M461" s="2129">
        <f t="shared" si="267"/>
        <v>0</v>
      </c>
      <c r="N461" s="3106"/>
    </row>
    <row r="462" spans="1:14" s="291" customFormat="1" ht="12.75" customHeight="1" x14ac:dyDescent="0.2">
      <c r="A462" s="3093"/>
      <c r="B462" s="2550" t="s">
        <v>14</v>
      </c>
      <c r="C462" s="3100"/>
      <c r="D462" s="1701">
        <f>E462+F462+G462+H462</f>
        <v>1071619</v>
      </c>
      <c r="E462" s="1702">
        <f>78018+680390+256194</f>
        <v>1014602</v>
      </c>
      <c r="F462" s="1702">
        <v>57017</v>
      </c>
      <c r="G462" s="280">
        <v>0</v>
      </c>
      <c r="H462" s="1732">
        <v>0</v>
      </c>
      <c r="I462" s="1730">
        <f>E462+F462+K462</f>
        <v>1071619</v>
      </c>
      <c r="J462" s="2326">
        <f t="shared" si="244"/>
        <v>100</v>
      </c>
      <c r="K462" s="280">
        <v>0</v>
      </c>
      <c r="L462" s="900">
        <v>0</v>
      </c>
      <c r="M462" s="1424">
        <f t="shared" si="267"/>
        <v>0</v>
      </c>
      <c r="N462" s="3106"/>
    </row>
    <row r="463" spans="1:14" s="291" customFormat="1" ht="12.75" customHeight="1" x14ac:dyDescent="0.2">
      <c r="A463" s="3104"/>
      <c r="B463" s="1685" t="s">
        <v>17</v>
      </c>
      <c r="C463" s="237"/>
      <c r="D463" s="302">
        <f t="shared" ref="D463:I464" si="275">D464</f>
        <v>1071619</v>
      </c>
      <c r="E463" s="304">
        <f t="shared" si="275"/>
        <v>261518</v>
      </c>
      <c r="F463" s="304">
        <f t="shared" si="275"/>
        <v>539643</v>
      </c>
      <c r="G463" s="304">
        <f t="shared" si="275"/>
        <v>270458</v>
      </c>
      <c r="H463" s="306">
        <f t="shared" si="275"/>
        <v>0</v>
      </c>
      <c r="I463" s="302">
        <f t="shared" si="275"/>
        <v>876437</v>
      </c>
      <c r="J463" s="2334">
        <f t="shared" si="244"/>
        <v>81.78625052374025</v>
      </c>
      <c r="K463" s="304">
        <f>+K464</f>
        <v>75276</v>
      </c>
      <c r="L463" s="2335">
        <f t="shared" si="260"/>
        <v>27.832787345909534</v>
      </c>
      <c r="M463" s="1185">
        <f t="shared" si="267"/>
        <v>-59953</v>
      </c>
      <c r="N463" s="3107"/>
    </row>
    <row r="464" spans="1:14" s="291" customFormat="1" ht="12.75" customHeight="1" x14ac:dyDescent="0.2">
      <c r="A464" s="3104"/>
      <c r="B464" s="1705" t="s">
        <v>13</v>
      </c>
      <c r="C464" s="3122" t="s">
        <v>116</v>
      </c>
      <c r="D464" s="282">
        <f t="shared" si="275"/>
        <v>1071619</v>
      </c>
      <c r="E464" s="283">
        <f t="shared" si="275"/>
        <v>261518</v>
      </c>
      <c r="F464" s="283">
        <f t="shared" si="275"/>
        <v>539643</v>
      </c>
      <c r="G464" s="283">
        <f t="shared" si="275"/>
        <v>270458</v>
      </c>
      <c r="H464" s="285">
        <f t="shared" si="275"/>
        <v>0</v>
      </c>
      <c r="I464" s="282">
        <f t="shared" si="275"/>
        <v>876437</v>
      </c>
      <c r="J464" s="1256">
        <f t="shared" ref="J464:J526" si="276">I464/D464*100</f>
        <v>81.78625052374025</v>
      </c>
      <c r="K464" s="283">
        <f>+K465</f>
        <v>75276</v>
      </c>
      <c r="L464" s="1742">
        <f t="shared" si="260"/>
        <v>27.832787345909534</v>
      </c>
      <c r="M464" s="1426">
        <f t="shared" si="267"/>
        <v>-59953</v>
      </c>
      <c r="N464" s="3107"/>
    </row>
    <row r="465" spans="1:14" s="291" customFormat="1" ht="12.75" customHeight="1" thickBot="1" x14ac:dyDescent="0.25">
      <c r="A465" s="3103"/>
      <c r="B465" s="2551" t="s">
        <v>14</v>
      </c>
      <c r="C465" s="3043"/>
      <c r="D465" s="1711">
        <f>E465+F465+G465+H465</f>
        <v>1071619</v>
      </c>
      <c r="E465" s="1712">
        <v>261518</v>
      </c>
      <c r="F465" s="1712">
        <f>555923-16280</f>
        <v>539643</v>
      </c>
      <c r="G465" s="1712">
        <v>270458</v>
      </c>
      <c r="H465" s="294">
        <v>0</v>
      </c>
      <c r="I465" s="289">
        <f>E465+F465+K465</f>
        <v>876437</v>
      </c>
      <c r="J465" s="2148">
        <f t="shared" si="276"/>
        <v>81.78625052374025</v>
      </c>
      <c r="K465" s="1816">
        <v>75276</v>
      </c>
      <c r="L465" s="2341">
        <f t="shared" si="260"/>
        <v>27.832787345909534</v>
      </c>
      <c r="M465" s="1428">
        <f t="shared" si="267"/>
        <v>-59953</v>
      </c>
      <c r="N465" s="3108"/>
    </row>
    <row r="466" spans="1:14" s="291" customFormat="1" ht="27" customHeight="1" thickBot="1" x14ac:dyDescent="0.25">
      <c r="A466" s="1029"/>
      <c r="B466" s="1030" t="s">
        <v>258</v>
      </c>
      <c r="C466" s="1031"/>
      <c r="D466" s="1032"/>
      <c r="E466" s="1033"/>
      <c r="F466" s="1034"/>
      <c r="G466" s="1034"/>
      <c r="H466" s="1035"/>
      <c r="I466" s="1036"/>
      <c r="J466" s="1037"/>
      <c r="K466" s="1037"/>
      <c r="L466" s="1038"/>
      <c r="M466" s="2552"/>
      <c r="N466" s="2258"/>
    </row>
    <row r="467" spans="1:14" ht="18" customHeight="1" thickBot="1" x14ac:dyDescent="0.25">
      <c r="A467" s="361"/>
      <c r="B467" s="139" t="s">
        <v>189</v>
      </c>
      <c r="C467" s="204"/>
      <c r="D467" s="20">
        <f>D468+D469</f>
        <v>551584470</v>
      </c>
      <c r="E467" s="19">
        <f t="shared" ref="E467:I467" si="277">E468+E469</f>
        <v>51744504</v>
      </c>
      <c r="F467" s="19">
        <f>F468+F469</f>
        <v>59883304</v>
      </c>
      <c r="G467" s="19">
        <f t="shared" si="277"/>
        <v>117535720</v>
      </c>
      <c r="H467" s="22">
        <f t="shared" si="277"/>
        <v>322420942</v>
      </c>
      <c r="I467" s="20">
        <f t="shared" si="277"/>
        <v>172043498.43000001</v>
      </c>
      <c r="J467" s="24">
        <f t="shared" si="276"/>
        <v>31.190779977906196</v>
      </c>
      <c r="K467" s="21">
        <f>K468+K469</f>
        <v>60415690.43</v>
      </c>
      <c r="L467" s="24">
        <f t="shared" si="260"/>
        <v>51.401982673862889</v>
      </c>
      <c r="M467" s="22">
        <f t="shared" si="267"/>
        <v>1647830.4299999997</v>
      </c>
      <c r="N467" s="3159"/>
    </row>
    <row r="468" spans="1:14" ht="15" customHeight="1" thickTop="1" x14ac:dyDescent="0.2">
      <c r="A468" s="362"/>
      <c r="B468" s="207" t="s">
        <v>190</v>
      </c>
      <c r="C468" s="208"/>
      <c r="D468" s="28">
        <f>D536+D540+D548+D552+D556</f>
        <v>415689926</v>
      </c>
      <c r="E468" s="27">
        <f t="shared" ref="E468:K468" si="278">E536+E540+E548+E552+E556</f>
        <v>15514140</v>
      </c>
      <c r="F468" s="27">
        <f t="shared" si="278"/>
        <v>12290445</v>
      </c>
      <c r="G468" s="27">
        <f t="shared" si="278"/>
        <v>100363066</v>
      </c>
      <c r="H468" s="30">
        <f t="shared" si="278"/>
        <v>287522275</v>
      </c>
      <c r="I468" s="31">
        <f t="shared" si="278"/>
        <v>83958005.430000007</v>
      </c>
      <c r="J468" s="95">
        <f t="shared" si="276"/>
        <v>20.197267284750126</v>
      </c>
      <c r="K468" s="29">
        <f t="shared" si="278"/>
        <v>56153420.43</v>
      </c>
      <c r="L468" s="32">
        <f t="shared" si="260"/>
        <v>55.950283971994239</v>
      </c>
      <c r="M468" s="30">
        <f t="shared" si="267"/>
        <v>5971887.4299999997</v>
      </c>
      <c r="N468" s="3160"/>
    </row>
    <row r="469" spans="1:14" ht="16.5" customHeight="1" thickBot="1" x14ac:dyDescent="0.25">
      <c r="A469" s="363"/>
      <c r="B469" s="153" t="s">
        <v>191</v>
      </c>
      <c r="C469" s="364"/>
      <c r="D469" s="156">
        <f>D482+D492+D496+D504+D508+D512+D516+D524+D528+D560</f>
        <v>135894544</v>
      </c>
      <c r="E469" s="97">
        <f t="shared" ref="E469:K469" si="279">E482+E492+E496+E504+E508+E512+E516+E524+E528+E560</f>
        <v>36230364</v>
      </c>
      <c r="F469" s="97">
        <f t="shared" si="279"/>
        <v>47592859</v>
      </c>
      <c r="G469" s="97">
        <f t="shared" si="279"/>
        <v>17172654</v>
      </c>
      <c r="H469" s="880">
        <f t="shared" si="279"/>
        <v>34898667</v>
      </c>
      <c r="I469" s="431">
        <f t="shared" si="279"/>
        <v>88085493</v>
      </c>
      <c r="J469" s="99">
        <f t="shared" si="276"/>
        <v>64.819006272981795</v>
      </c>
      <c r="K469" s="154">
        <f t="shared" si="279"/>
        <v>4262270</v>
      </c>
      <c r="L469" s="37">
        <f t="shared" si="260"/>
        <v>24.820100608793492</v>
      </c>
      <c r="M469" s="215">
        <f t="shared" si="267"/>
        <v>-4324057</v>
      </c>
      <c r="N469" s="3160"/>
    </row>
    <row r="470" spans="1:14" ht="15.75" customHeight="1" x14ac:dyDescent="0.2">
      <c r="A470" s="365"/>
      <c r="B470" s="1068" t="s">
        <v>3</v>
      </c>
      <c r="C470" s="1069"/>
      <c r="D470" s="2553">
        <f t="shared" ref="D470:K470" si="280">+D471</f>
        <v>551584470</v>
      </c>
      <c r="E470" s="2554">
        <f t="shared" si="280"/>
        <v>51744504</v>
      </c>
      <c r="F470" s="2554">
        <f t="shared" si="280"/>
        <v>59468142</v>
      </c>
      <c r="G470" s="2554">
        <f t="shared" si="280"/>
        <v>117535720</v>
      </c>
      <c r="H470" s="2555">
        <f t="shared" si="280"/>
        <v>322420942</v>
      </c>
      <c r="I470" s="1070">
        <f t="shared" si="280"/>
        <v>172043498.43000001</v>
      </c>
      <c r="J470" s="2556">
        <f t="shared" si="276"/>
        <v>31.190779977906196</v>
      </c>
      <c r="K470" s="1071">
        <f t="shared" si="280"/>
        <v>60415690.43</v>
      </c>
      <c r="L470" s="2556">
        <f t="shared" si="260"/>
        <v>51.401982673862889</v>
      </c>
      <c r="M470" s="2555">
        <f t="shared" si="267"/>
        <v>1647830.4299999997</v>
      </c>
      <c r="N470" s="3161"/>
    </row>
    <row r="471" spans="1:14" s="225" customFormat="1" x14ac:dyDescent="0.2">
      <c r="A471" s="365"/>
      <c r="B471" s="366" t="s">
        <v>297</v>
      </c>
      <c r="C471" s="3163"/>
      <c r="D471" s="2557">
        <f t="shared" ref="D471:H471" si="281">+D472+D473+D474+D475</f>
        <v>551584470</v>
      </c>
      <c r="E471" s="2558">
        <f>+E472+E473+E474+E475</f>
        <v>51744504</v>
      </c>
      <c r="F471" s="2558">
        <f t="shared" si="281"/>
        <v>59468142</v>
      </c>
      <c r="G471" s="2558">
        <f t="shared" si="281"/>
        <v>117535720</v>
      </c>
      <c r="H471" s="2559">
        <f t="shared" si="281"/>
        <v>322420942</v>
      </c>
      <c r="I471" s="367">
        <f>+I472+I473+I474+I475</f>
        <v>172043498.43000001</v>
      </c>
      <c r="J471" s="2560">
        <f t="shared" si="276"/>
        <v>31.190779977906196</v>
      </c>
      <c r="K471" s="368">
        <f>+K472+K473+K474+K475</f>
        <v>60415690.43</v>
      </c>
      <c r="L471" s="2560">
        <f t="shared" si="260"/>
        <v>51.401982673862889</v>
      </c>
      <c r="M471" s="2561">
        <f t="shared" si="267"/>
        <v>1647830.4299999997</v>
      </c>
      <c r="N471" s="3161"/>
    </row>
    <row r="472" spans="1:14" ht="14.25" customHeight="1" x14ac:dyDescent="0.2">
      <c r="A472" s="365"/>
      <c r="B472" s="369" t="s">
        <v>5</v>
      </c>
      <c r="C472" s="3164"/>
      <c r="D472" s="371">
        <f>D484+D494+D498+D510+D514+D518+D526+D530+D538+D542+D550+D554+D558+D506+D562</f>
        <v>532627365</v>
      </c>
      <c r="E472" s="2562">
        <f t="shared" ref="E472:I472" si="282">E484+E494+E498+E510+E514+E518+E526+E530+E538+E542+E550+E554+E558+E506+E562</f>
        <v>48970224</v>
      </c>
      <c r="F472" s="2562">
        <f>F484+F494+F498+F510+F514+F518+F526+F530+F538+F542+F550+F554+F558+F503+F562</f>
        <v>51511567</v>
      </c>
      <c r="G472" s="2562">
        <f t="shared" si="282"/>
        <v>109309470</v>
      </c>
      <c r="H472" s="2563">
        <f t="shared" si="282"/>
        <v>322420942</v>
      </c>
      <c r="I472" s="371">
        <f t="shared" si="282"/>
        <v>161312643.43000001</v>
      </c>
      <c r="J472" s="2564">
        <f t="shared" si="276"/>
        <v>30.28621021565424</v>
      </c>
      <c r="K472" s="373">
        <f>K484+K494+K498+K510+K514+K518+K526+K530+K538+K542+K550+K554+K558+K506+K562</f>
        <v>60415690.43</v>
      </c>
      <c r="L472" s="2564">
        <f t="shared" si="260"/>
        <v>55.270316862756715</v>
      </c>
      <c r="M472" s="2563">
        <f t="shared" si="267"/>
        <v>5760955.4299999997</v>
      </c>
      <c r="N472" s="3161"/>
    </row>
    <row r="473" spans="1:14" ht="14.25" customHeight="1" x14ac:dyDescent="0.2">
      <c r="A473" s="365"/>
      <c r="B473" s="374" t="s">
        <v>29</v>
      </c>
      <c r="C473" s="3164"/>
      <c r="D473" s="371">
        <f t="shared" ref="D473:K473" si="283">+D485</f>
        <v>14587500</v>
      </c>
      <c r="E473" s="2562">
        <f t="shared" si="283"/>
        <v>0</v>
      </c>
      <c r="F473" s="2562">
        <f t="shared" si="283"/>
        <v>7293750</v>
      </c>
      <c r="G473" s="2562">
        <f t="shared" si="283"/>
        <v>7293750</v>
      </c>
      <c r="H473" s="2563">
        <f t="shared" si="283"/>
        <v>0</v>
      </c>
      <c r="I473" s="370">
        <f t="shared" si="283"/>
        <v>7293750</v>
      </c>
      <c r="J473" s="2564">
        <f t="shared" si="276"/>
        <v>50</v>
      </c>
      <c r="K473" s="375">
        <f t="shared" si="283"/>
        <v>0</v>
      </c>
      <c r="L473" s="2564">
        <f t="shared" si="260"/>
        <v>0</v>
      </c>
      <c r="M473" s="2563">
        <f t="shared" si="267"/>
        <v>-3646875</v>
      </c>
      <c r="N473" s="3161"/>
    </row>
    <row r="474" spans="1:14" ht="14.25" customHeight="1" x14ac:dyDescent="0.2">
      <c r="A474" s="365"/>
      <c r="B474" s="374" t="s">
        <v>59</v>
      </c>
      <c r="C474" s="3164"/>
      <c r="D474" s="371">
        <f>+D499+D519+D531+D543</f>
        <v>3657105</v>
      </c>
      <c r="E474" s="2562">
        <f t="shared" ref="E474:K474" si="284">+E499+E519+E531+E543</f>
        <v>2774280</v>
      </c>
      <c r="F474" s="2562">
        <f t="shared" si="284"/>
        <v>662825</v>
      </c>
      <c r="G474" s="2562">
        <f t="shared" si="284"/>
        <v>220000</v>
      </c>
      <c r="H474" s="2563">
        <f t="shared" si="284"/>
        <v>0</v>
      </c>
      <c r="I474" s="371">
        <f t="shared" si="284"/>
        <v>3437105</v>
      </c>
      <c r="J474" s="2564">
        <f t="shared" si="276"/>
        <v>93.984312728237228</v>
      </c>
      <c r="K474" s="371">
        <f t="shared" si="284"/>
        <v>0</v>
      </c>
      <c r="L474" s="2565">
        <v>0</v>
      </c>
      <c r="M474" s="2563">
        <f t="shared" si="267"/>
        <v>-110000</v>
      </c>
      <c r="N474" s="3161"/>
    </row>
    <row r="475" spans="1:14" ht="13.5" customHeight="1" x14ac:dyDescent="0.2">
      <c r="A475" s="365"/>
      <c r="B475" s="377" t="s">
        <v>103</v>
      </c>
      <c r="C475" s="3164"/>
      <c r="D475" s="371">
        <f t="shared" ref="D475:K475" si="285">+D486</f>
        <v>712500</v>
      </c>
      <c r="E475" s="2562">
        <f t="shared" si="285"/>
        <v>0</v>
      </c>
      <c r="F475" s="2562">
        <f t="shared" si="285"/>
        <v>0</v>
      </c>
      <c r="G475" s="2562">
        <f t="shared" si="285"/>
        <v>712500</v>
      </c>
      <c r="H475" s="2563">
        <f t="shared" si="285"/>
        <v>0</v>
      </c>
      <c r="I475" s="370">
        <f t="shared" si="285"/>
        <v>0</v>
      </c>
      <c r="J475" s="2564">
        <f t="shared" si="276"/>
        <v>0</v>
      </c>
      <c r="K475" s="373">
        <f t="shared" si="285"/>
        <v>0</v>
      </c>
      <c r="L475" s="2564">
        <f t="shared" si="260"/>
        <v>0</v>
      </c>
      <c r="M475" s="2563">
        <f t="shared" si="267"/>
        <v>-356250</v>
      </c>
      <c r="N475" s="3161"/>
    </row>
    <row r="476" spans="1:14" ht="14.25" customHeight="1" x14ac:dyDescent="0.2">
      <c r="A476" s="365"/>
      <c r="B476" s="1056" t="s">
        <v>17</v>
      </c>
      <c r="C476" s="1057"/>
      <c r="D476" s="2566">
        <f t="shared" ref="D476:K476" si="286">+D477</f>
        <v>18957105</v>
      </c>
      <c r="E476" s="2567">
        <f t="shared" si="286"/>
        <v>3486780</v>
      </c>
      <c r="F476" s="1067">
        <f t="shared" si="286"/>
        <v>7956575</v>
      </c>
      <c r="G476" s="2568">
        <f t="shared" si="286"/>
        <v>7513750</v>
      </c>
      <c r="H476" s="2569">
        <f t="shared" si="286"/>
        <v>0</v>
      </c>
      <c r="I476" s="1066">
        <f t="shared" si="286"/>
        <v>11443355</v>
      </c>
      <c r="J476" s="2570">
        <f t="shared" si="276"/>
        <v>60.364464932804871</v>
      </c>
      <c r="K476" s="1067">
        <f t="shared" si="286"/>
        <v>0</v>
      </c>
      <c r="L476" s="2570">
        <f t="shared" si="260"/>
        <v>0</v>
      </c>
      <c r="M476" s="2569">
        <f t="shared" si="267"/>
        <v>-3756875</v>
      </c>
      <c r="N476" s="3161"/>
    </row>
    <row r="477" spans="1:14" ht="13.5" customHeight="1" x14ac:dyDescent="0.2">
      <c r="A477" s="365"/>
      <c r="B477" s="378" t="s">
        <v>298</v>
      </c>
      <c r="C477" s="3165"/>
      <c r="D477" s="2557">
        <f t="shared" ref="D477:K477" si="287">+D478+D479+D480</f>
        <v>18957105</v>
      </c>
      <c r="E477" s="2558">
        <f t="shared" si="287"/>
        <v>3486780</v>
      </c>
      <c r="F477" s="2571">
        <f t="shared" si="287"/>
        <v>7956575</v>
      </c>
      <c r="G477" s="2572">
        <f t="shared" si="287"/>
        <v>7513750</v>
      </c>
      <c r="H477" s="2559">
        <f t="shared" si="287"/>
        <v>0</v>
      </c>
      <c r="I477" s="367">
        <f t="shared" si="287"/>
        <v>11443355</v>
      </c>
      <c r="J477" s="2560">
        <f t="shared" si="276"/>
        <v>60.364464932804871</v>
      </c>
      <c r="K477" s="368">
        <f t="shared" si="287"/>
        <v>0</v>
      </c>
      <c r="L477" s="2560">
        <f t="shared" si="260"/>
        <v>0</v>
      </c>
      <c r="M477" s="2561">
        <f t="shared" si="267"/>
        <v>-3756875</v>
      </c>
      <c r="N477" s="3161"/>
    </row>
    <row r="478" spans="1:14" ht="13.5" customHeight="1" x14ac:dyDescent="0.2">
      <c r="A478" s="365"/>
      <c r="B478" s="377" t="s">
        <v>29</v>
      </c>
      <c r="C478" s="3166"/>
      <c r="D478" s="371">
        <f t="shared" ref="D478:H478" si="288">+D489</f>
        <v>14587500</v>
      </c>
      <c r="E478" s="2562">
        <f t="shared" si="288"/>
        <v>0</v>
      </c>
      <c r="F478" s="373">
        <f t="shared" si="288"/>
        <v>7293750</v>
      </c>
      <c r="G478" s="2573">
        <f t="shared" si="288"/>
        <v>7293750</v>
      </c>
      <c r="H478" s="2563">
        <f t="shared" si="288"/>
        <v>0</v>
      </c>
      <c r="I478" s="370">
        <f t="shared" ref="I478" si="289">+I489</f>
        <v>7293750</v>
      </c>
      <c r="J478" s="2564">
        <f t="shared" si="276"/>
        <v>50</v>
      </c>
      <c r="K478" s="373">
        <f t="shared" ref="K478" si="290">+K489</f>
        <v>0</v>
      </c>
      <c r="L478" s="2564">
        <f t="shared" si="260"/>
        <v>0</v>
      </c>
      <c r="M478" s="2563">
        <f t="shared" si="267"/>
        <v>-3646875</v>
      </c>
      <c r="N478" s="3161"/>
    </row>
    <row r="479" spans="1:14" ht="13.5" customHeight="1" x14ac:dyDescent="0.2">
      <c r="A479" s="365"/>
      <c r="B479" s="377" t="s">
        <v>59</v>
      </c>
      <c r="C479" s="3166"/>
      <c r="D479" s="371">
        <f>+D502+D522+D534+D546</f>
        <v>3657105</v>
      </c>
      <c r="E479" s="2562">
        <f t="shared" ref="E479:K479" si="291">+E502+E522+E534+E546</f>
        <v>2774280</v>
      </c>
      <c r="F479" s="373">
        <f t="shared" si="291"/>
        <v>662825</v>
      </c>
      <c r="G479" s="2573">
        <f t="shared" si="291"/>
        <v>220000</v>
      </c>
      <c r="H479" s="2563">
        <f t="shared" si="291"/>
        <v>0</v>
      </c>
      <c r="I479" s="371">
        <f t="shared" si="291"/>
        <v>3437105</v>
      </c>
      <c r="J479" s="2564">
        <f t="shared" si="276"/>
        <v>93.984312728237228</v>
      </c>
      <c r="K479" s="371">
        <f t="shared" si="291"/>
        <v>0</v>
      </c>
      <c r="L479" s="2565">
        <v>0</v>
      </c>
      <c r="M479" s="2563">
        <f t="shared" si="267"/>
        <v>-110000</v>
      </c>
      <c r="N479" s="3161"/>
    </row>
    <row r="480" spans="1:14" ht="13.5" customHeight="1" thickBot="1" x14ac:dyDescent="0.25">
      <c r="A480" s="379"/>
      <c r="B480" s="380" t="s">
        <v>103</v>
      </c>
      <c r="C480" s="3167"/>
      <c r="D480" s="2574">
        <f t="shared" ref="D480:H480" si="292">+D490</f>
        <v>712500</v>
      </c>
      <c r="E480" s="2575">
        <f t="shared" si="292"/>
        <v>712500</v>
      </c>
      <c r="F480" s="2576">
        <f t="shared" si="292"/>
        <v>0</v>
      </c>
      <c r="G480" s="2577">
        <f t="shared" si="292"/>
        <v>0</v>
      </c>
      <c r="H480" s="2578">
        <f t="shared" si="292"/>
        <v>0</v>
      </c>
      <c r="I480" s="381">
        <f t="shared" ref="I480" si="293">+I490</f>
        <v>712500</v>
      </c>
      <c r="J480" s="372">
        <f t="shared" si="276"/>
        <v>100</v>
      </c>
      <c r="K480" s="382">
        <f t="shared" ref="K480" si="294">+K490</f>
        <v>0</v>
      </c>
      <c r="L480" s="376">
        <v>0</v>
      </c>
      <c r="M480" s="2578">
        <f t="shared" si="267"/>
        <v>0</v>
      </c>
      <c r="N480" s="3162"/>
    </row>
    <row r="481" spans="1:14" ht="27.75" customHeight="1" x14ac:dyDescent="0.2">
      <c r="A481" s="3092" t="s">
        <v>33</v>
      </c>
      <c r="B481" s="2579" t="s">
        <v>108</v>
      </c>
      <c r="C481" s="2580" t="s">
        <v>193</v>
      </c>
      <c r="D481" s="2581"/>
      <c r="E481" s="2582"/>
      <c r="F481" s="2582"/>
      <c r="G481" s="2583"/>
      <c r="H481" s="2584"/>
      <c r="I481" s="2581"/>
      <c r="J481" s="2582"/>
      <c r="K481" s="2582"/>
      <c r="L481" s="2585"/>
      <c r="M481" s="2584"/>
      <c r="N481" s="3157" t="s">
        <v>107</v>
      </c>
    </row>
    <row r="482" spans="1:14" ht="13.5" customHeight="1" x14ac:dyDescent="0.2">
      <c r="A482" s="3093"/>
      <c r="B482" s="236" t="s">
        <v>3</v>
      </c>
      <c r="C482" s="237"/>
      <c r="D482" s="2497">
        <f>SUM(E482:H482)</f>
        <v>20000000</v>
      </c>
      <c r="E482" s="2155">
        <f t="shared" ref="E482:F482" si="295">+E483</f>
        <v>0</v>
      </c>
      <c r="F482" s="2498">
        <f t="shared" si="295"/>
        <v>10000000</v>
      </c>
      <c r="G482" s="2586">
        <f>+G483</f>
        <v>10000000</v>
      </c>
      <c r="H482" s="2473">
        <f>+H483</f>
        <v>0</v>
      </c>
      <c r="I482" s="2587">
        <f>+I483</f>
        <v>10000000</v>
      </c>
      <c r="J482" s="2588">
        <f t="shared" si="276"/>
        <v>50</v>
      </c>
      <c r="K482" s="2498">
        <f>+K483</f>
        <v>0</v>
      </c>
      <c r="L482" s="838">
        <f t="shared" si="260"/>
        <v>0</v>
      </c>
      <c r="M482" s="2534">
        <f t="shared" si="267"/>
        <v>-5000000</v>
      </c>
      <c r="N482" s="3151"/>
    </row>
    <row r="483" spans="1:14" ht="13.5" customHeight="1" x14ac:dyDescent="0.2">
      <c r="A483" s="3093"/>
      <c r="B483" s="301" t="s">
        <v>18</v>
      </c>
      <c r="C483" s="3039" t="s">
        <v>34</v>
      </c>
      <c r="D483" s="2589">
        <f>SUM(D484:D486)</f>
        <v>20000000</v>
      </c>
      <c r="E483" s="308">
        <v>0</v>
      </c>
      <c r="F483" s="2590">
        <f>SUM(F484:F486)</f>
        <v>10000000</v>
      </c>
      <c r="G483" s="2591">
        <f>SUM(G484:G486)</f>
        <v>10000000</v>
      </c>
      <c r="H483" s="309">
        <f>SUM(H484:H486)</f>
        <v>0</v>
      </c>
      <c r="I483" s="2592">
        <f>+K483+F483+E483</f>
        <v>10000000</v>
      </c>
      <c r="J483" s="1751">
        <f t="shared" si="276"/>
        <v>50</v>
      </c>
      <c r="K483" s="2590">
        <f>+K484+K485+K486</f>
        <v>0</v>
      </c>
      <c r="L483" s="1766">
        <f t="shared" si="260"/>
        <v>0</v>
      </c>
      <c r="M483" s="2593">
        <f t="shared" si="267"/>
        <v>-5000000</v>
      </c>
      <c r="N483" s="3151"/>
    </row>
    <row r="484" spans="1:14" ht="13.5" customHeight="1" x14ac:dyDescent="0.2">
      <c r="A484" s="3093"/>
      <c r="B484" s="2594" t="s">
        <v>5</v>
      </c>
      <c r="C484" s="3039"/>
      <c r="D484" s="2595">
        <f t="shared" ref="D484:D490" si="296">SUM(E484:H484)</f>
        <v>4700000</v>
      </c>
      <c r="E484" s="293">
        <v>0</v>
      </c>
      <c r="F484" s="2514">
        <v>2706250</v>
      </c>
      <c r="G484" s="2596">
        <v>1993750</v>
      </c>
      <c r="H484" s="2389">
        <v>0</v>
      </c>
      <c r="I484" s="2597">
        <f>+K484+F484+E484</f>
        <v>2706250</v>
      </c>
      <c r="J484" s="1291">
        <f t="shared" si="276"/>
        <v>57.579787234042556</v>
      </c>
      <c r="K484" s="2514">
        <v>0</v>
      </c>
      <c r="L484" s="1749">
        <f t="shared" si="260"/>
        <v>0</v>
      </c>
      <c r="M484" s="2598">
        <f t="shared" si="267"/>
        <v>-996875</v>
      </c>
      <c r="N484" s="3151"/>
    </row>
    <row r="485" spans="1:14" ht="13.5" customHeight="1" x14ac:dyDescent="0.2">
      <c r="A485" s="3093"/>
      <c r="B485" s="2594" t="s">
        <v>98</v>
      </c>
      <c r="C485" s="3039"/>
      <c r="D485" s="2595">
        <f t="shared" si="296"/>
        <v>14587500</v>
      </c>
      <c r="E485" s="293">
        <v>0</v>
      </c>
      <c r="F485" s="2514">
        <v>7293750</v>
      </c>
      <c r="G485" s="2596">
        <v>7293750</v>
      </c>
      <c r="H485" s="2389">
        <v>0</v>
      </c>
      <c r="I485" s="2597">
        <f>+K485+F485+E485</f>
        <v>7293750</v>
      </c>
      <c r="J485" s="1291">
        <f t="shared" si="276"/>
        <v>50</v>
      </c>
      <c r="K485" s="2514">
        <v>0</v>
      </c>
      <c r="L485" s="1749">
        <f t="shared" si="260"/>
        <v>0</v>
      </c>
      <c r="M485" s="2598">
        <f t="shared" si="267"/>
        <v>-3646875</v>
      </c>
      <c r="N485" s="3151"/>
    </row>
    <row r="486" spans="1:14" ht="12" customHeight="1" x14ac:dyDescent="0.2">
      <c r="A486" s="3093"/>
      <c r="B486" s="2599" t="s">
        <v>103</v>
      </c>
      <c r="C486" s="3158"/>
      <c r="D486" s="2595">
        <f t="shared" si="296"/>
        <v>712500</v>
      </c>
      <c r="E486" s="293">
        <v>0</v>
      </c>
      <c r="F486" s="2514">
        <v>0</v>
      </c>
      <c r="G486" s="2600">
        <v>712500</v>
      </c>
      <c r="H486" s="1127">
        <v>0</v>
      </c>
      <c r="I486" s="2597">
        <f>+K486+F486+E486</f>
        <v>0</v>
      </c>
      <c r="J486" s="1291">
        <f t="shared" si="276"/>
        <v>0</v>
      </c>
      <c r="K486" s="2514">
        <v>0</v>
      </c>
      <c r="L486" s="1749">
        <f t="shared" si="260"/>
        <v>0</v>
      </c>
      <c r="M486" s="2598">
        <f t="shared" si="267"/>
        <v>-356250</v>
      </c>
      <c r="N486" s="3151"/>
    </row>
    <row r="487" spans="1:14" s="291" customFormat="1" ht="11.25" customHeight="1" x14ac:dyDescent="0.2">
      <c r="A487" s="3093"/>
      <c r="B487" s="236" t="s">
        <v>17</v>
      </c>
      <c r="C487" s="237"/>
      <c r="D487" s="302">
        <f t="shared" si="296"/>
        <v>15300000</v>
      </c>
      <c r="E487" s="304">
        <f>+E488</f>
        <v>712500</v>
      </c>
      <c r="F487" s="304">
        <f>+F488</f>
        <v>7293750</v>
      </c>
      <c r="G487" s="2125">
        <f>+G488</f>
        <v>7293750</v>
      </c>
      <c r="H487" s="306">
        <f>+H488</f>
        <v>0</v>
      </c>
      <c r="I487" s="1180">
        <f>+I488</f>
        <v>8006250</v>
      </c>
      <c r="J487" s="2334">
        <f t="shared" si="276"/>
        <v>52.328431372549019</v>
      </c>
      <c r="K487" s="304">
        <f>+K488</f>
        <v>0</v>
      </c>
      <c r="L487" s="2335">
        <f t="shared" si="260"/>
        <v>0</v>
      </c>
      <c r="M487" s="1185">
        <f t="shared" si="267"/>
        <v>-3646875</v>
      </c>
      <c r="N487" s="3151"/>
    </row>
    <row r="488" spans="1:14" s="311" customFormat="1" ht="12.75" customHeight="1" x14ac:dyDescent="0.2">
      <c r="A488" s="3104"/>
      <c r="B488" s="301" t="s">
        <v>18</v>
      </c>
      <c r="C488" s="3039" t="s">
        <v>34</v>
      </c>
      <c r="D488" s="296">
        <f t="shared" si="296"/>
        <v>15300000</v>
      </c>
      <c r="E488" s="297">
        <f>E489+E490</f>
        <v>712500</v>
      </c>
      <c r="F488" s="1697">
        <f>F489+F490</f>
        <v>7293750</v>
      </c>
      <c r="G488" s="2601">
        <f>G489+G490</f>
        <v>7293750</v>
      </c>
      <c r="H488" s="1723">
        <f>H489+H490</f>
        <v>0</v>
      </c>
      <c r="I488" s="297">
        <f>I489+I490</f>
        <v>8006250</v>
      </c>
      <c r="J488" s="1256">
        <f t="shared" si="276"/>
        <v>52.328431372549019</v>
      </c>
      <c r="K488" s="297">
        <f>+K489+K490</f>
        <v>0</v>
      </c>
      <c r="L488" s="1742">
        <f t="shared" si="260"/>
        <v>0</v>
      </c>
      <c r="M488" s="1423">
        <f t="shared" si="267"/>
        <v>-3646875</v>
      </c>
      <c r="N488" s="3151"/>
    </row>
    <row r="489" spans="1:14" s="311" customFormat="1" ht="12.75" customHeight="1" x14ac:dyDescent="0.2">
      <c r="A489" s="3104"/>
      <c r="B489" s="2594" t="s">
        <v>98</v>
      </c>
      <c r="C489" s="3039"/>
      <c r="D489" s="2595">
        <f t="shared" si="296"/>
        <v>14587500</v>
      </c>
      <c r="E489" s="2602">
        <v>0</v>
      </c>
      <c r="F489" s="2514">
        <v>7293750</v>
      </c>
      <c r="G489" s="2600">
        <v>7293750</v>
      </c>
      <c r="H489" s="1127">
        <v>0</v>
      </c>
      <c r="I489" s="2596">
        <f>+K489+F489+E489</f>
        <v>7293750</v>
      </c>
      <c r="J489" s="2326">
        <f t="shared" si="276"/>
        <v>50</v>
      </c>
      <c r="K489" s="2602">
        <v>0</v>
      </c>
      <c r="L489" s="2339">
        <f t="shared" si="260"/>
        <v>0</v>
      </c>
      <c r="M489" s="2603">
        <f t="shared" si="267"/>
        <v>-3646875</v>
      </c>
      <c r="N489" s="3151"/>
    </row>
    <row r="490" spans="1:14" s="311" customFormat="1" ht="13.5" customHeight="1" thickBot="1" x14ac:dyDescent="0.25">
      <c r="A490" s="3103"/>
      <c r="B490" s="2604" t="s">
        <v>103</v>
      </c>
      <c r="C490" s="3187"/>
      <c r="D490" s="2595">
        <f t="shared" si="296"/>
        <v>712500</v>
      </c>
      <c r="E490" s="2596">
        <v>712500</v>
      </c>
      <c r="F490" s="288">
        <v>0</v>
      </c>
      <c r="G490" s="2605">
        <v>0</v>
      </c>
      <c r="H490" s="2356">
        <v>0</v>
      </c>
      <c r="I490" s="2596">
        <f>+K490+F490+E490</f>
        <v>712500</v>
      </c>
      <c r="J490" s="2326">
        <f t="shared" si="276"/>
        <v>100</v>
      </c>
      <c r="K490" s="2606">
        <v>0</v>
      </c>
      <c r="L490" s="900">
        <v>0</v>
      </c>
      <c r="M490" s="2603">
        <f t="shared" si="267"/>
        <v>0</v>
      </c>
      <c r="N490" s="3192"/>
    </row>
    <row r="491" spans="1:14" ht="29.25" customHeight="1" x14ac:dyDescent="0.2">
      <c r="A491" s="3092" t="s">
        <v>36</v>
      </c>
      <c r="B491" s="2316" t="s">
        <v>109</v>
      </c>
      <c r="C491" s="2123" t="s">
        <v>193</v>
      </c>
      <c r="D491" s="278"/>
      <c r="E491" s="276"/>
      <c r="F491" s="276"/>
      <c r="G491" s="276"/>
      <c r="H491" s="277"/>
      <c r="I491" s="278"/>
      <c r="J491" s="276"/>
      <c r="K491" s="276"/>
      <c r="L491" s="305"/>
      <c r="M491" s="277"/>
      <c r="N491" s="3121" t="s">
        <v>110</v>
      </c>
    </row>
    <row r="492" spans="1:14" ht="13.5" customHeight="1" x14ac:dyDescent="0.2">
      <c r="A492" s="3093"/>
      <c r="B492" s="236" t="s">
        <v>3</v>
      </c>
      <c r="C492" s="237"/>
      <c r="D492" s="2142">
        <f>SUM(D494:D494)</f>
        <v>10262346</v>
      </c>
      <c r="E492" s="2143">
        <f>SUM(E494:E494)</f>
        <v>422730</v>
      </c>
      <c r="F492" s="2143">
        <f>SUM(F494:F494)</f>
        <v>9839616</v>
      </c>
      <c r="G492" s="307">
        <f t="shared" ref="G492:I493" si="297">+G493</f>
        <v>0</v>
      </c>
      <c r="H492" s="2156">
        <f t="shared" si="297"/>
        <v>0</v>
      </c>
      <c r="I492" s="2142">
        <f t="shared" si="297"/>
        <v>10262346</v>
      </c>
      <c r="J492" s="2334">
        <f t="shared" si="276"/>
        <v>100</v>
      </c>
      <c r="K492" s="307">
        <f>SUM(K494:K494)</f>
        <v>0</v>
      </c>
      <c r="L492" s="1080">
        <v>0</v>
      </c>
      <c r="M492" s="2170">
        <f t="shared" si="267"/>
        <v>0</v>
      </c>
      <c r="N492" s="3106"/>
    </row>
    <row r="493" spans="1:14" ht="13.5" customHeight="1" x14ac:dyDescent="0.2">
      <c r="A493" s="3093"/>
      <c r="B493" s="301" t="s">
        <v>18</v>
      </c>
      <c r="C493" s="3039" t="s">
        <v>39</v>
      </c>
      <c r="D493" s="1734">
        <f>+D494</f>
        <v>10262346</v>
      </c>
      <c r="E493" s="1706">
        <f>+E494</f>
        <v>422730</v>
      </c>
      <c r="F493" s="1706">
        <f>+F494</f>
        <v>9839616</v>
      </c>
      <c r="G493" s="308">
        <f t="shared" si="297"/>
        <v>0</v>
      </c>
      <c r="H493" s="309">
        <f t="shared" si="297"/>
        <v>0</v>
      </c>
      <c r="I493" s="1734">
        <f t="shared" si="297"/>
        <v>10262346</v>
      </c>
      <c r="J493" s="1256">
        <f t="shared" si="276"/>
        <v>100</v>
      </c>
      <c r="K493" s="308">
        <f>+K494</f>
        <v>0</v>
      </c>
      <c r="L493" s="1076">
        <v>0</v>
      </c>
      <c r="M493" s="1425">
        <f t="shared" si="267"/>
        <v>0</v>
      </c>
      <c r="N493" s="3106"/>
    </row>
    <row r="494" spans="1:14" ht="13.5" customHeight="1" thickBot="1" x14ac:dyDescent="0.25">
      <c r="A494" s="3114"/>
      <c r="B494" s="298" t="s">
        <v>5</v>
      </c>
      <c r="C494" s="3043"/>
      <c r="D494" s="1711">
        <f>+E494+F494+G494+H494</f>
        <v>10262346</v>
      </c>
      <c r="E494" s="1712">
        <f>259006+163724</f>
        <v>422730</v>
      </c>
      <c r="F494" s="2167">
        <v>9839616</v>
      </c>
      <c r="G494" s="318">
        <v>0</v>
      </c>
      <c r="H494" s="2474">
        <v>0</v>
      </c>
      <c r="I494" s="2353">
        <f>E494+F494+K494</f>
        <v>10262346</v>
      </c>
      <c r="J494" s="2326">
        <f t="shared" si="276"/>
        <v>100</v>
      </c>
      <c r="K494" s="318">
        <v>0</v>
      </c>
      <c r="L494" s="900">
        <v>0</v>
      </c>
      <c r="M494" s="2193">
        <f t="shared" si="267"/>
        <v>0</v>
      </c>
      <c r="N494" s="3120"/>
    </row>
    <row r="495" spans="1:14" ht="41.25" customHeight="1" x14ac:dyDescent="0.2">
      <c r="A495" s="3129" t="s">
        <v>41</v>
      </c>
      <c r="B495" s="2316" t="s">
        <v>289</v>
      </c>
      <c r="C495" s="2607" t="s">
        <v>193</v>
      </c>
      <c r="D495" s="2369"/>
      <c r="E495" s="2370"/>
      <c r="F495" s="2370"/>
      <c r="G495" s="2370"/>
      <c r="H495" s="2608"/>
      <c r="I495" s="278"/>
      <c r="J495" s="276"/>
      <c r="K495" s="276"/>
      <c r="L495" s="305"/>
      <c r="M495" s="277"/>
      <c r="N495" s="3121" t="s">
        <v>101</v>
      </c>
    </row>
    <row r="496" spans="1:14" ht="13.5" customHeight="1" x14ac:dyDescent="0.2">
      <c r="A496" s="3127"/>
      <c r="B496" s="236" t="s">
        <v>3</v>
      </c>
      <c r="C496" s="237"/>
      <c r="D496" s="2609">
        <f t="shared" ref="D496:I496" si="298">+D497</f>
        <v>4267201</v>
      </c>
      <c r="E496" s="2168">
        <f t="shared" si="298"/>
        <v>4161421</v>
      </c>
      <c r="F496" s="2168">
        <f t="shared" si="298"/>
        <v>105780</v>
      </c>
      <c r="G496" s="307">
        <f t="shared" si="298"/>
        <v>0</v>
      </c>
      <c r="H496" s="2446">
        <f t="shared" si="298"/>
        <v>0</v>
      </c>
      <c r="I496" s="2142">
        <f t="shared" si="298"/>
        <v>4267201</v>
      </c>
      <c r="J496" s="2334">
        <f t="shared" si="276"/>
        <v>100</v>
      </c>
      <c r="K496" s="307">
        <f>+K497</f>
        <v>0</v>
      </c>
      <c r="L496" s="1080">
        <v>0</v>
      </c>
      <c r="M496" s="2170">
        <f t="shared" si="267"/>
        <v>0</v>
      </c>
      <c r="N496" s="3190"/>
    </row>
    <row r="497" spans="1:124" ht="13.5" customHeight="1" x14ac:dyDescent="0.2">
      <c r="A497" s="3127"/>
      <c r="B497" s="301" t="s">
        <v>18</v>
      </c>
      <c r="C497" s="3039" t="s">
        <v>111</v>
      </c>
      <c r="D497" s="2342">
        <f>+D498+D499</f>
        <v>4267201</v>
      </c>
      <c r="E497" s="1818">
        <f>+E498+E499</f>
        <v>4161421</v>
      </c>
      <c r="F497" s="1818">
        <f>++F498+F499</f>
        <v>105780</v>
      </c>
      <c r="G497" s="308">
        <f>++G498+G499</f>
        <v>0</v>
      </c>
      <c r="H497" s="2447">
        <f>++H498+H499</f>
        <v>0</v>
      </c>
      <c r="I497" s="1734">
        <f>+I498+I499</f>
        <v>4267201</v>
      </c>
      <c r="J497" s="1256">
        <f t="shared" si="276"/>
        <v>100</v>
      </c>
      <c r="K497" s="308">
        <f>+K498+K499</f>
        <v>0</v>
      </c>
      <c r="L497" s="1076">
        <v>0</v>
      </c>
      <c r="M497" s="1425">
        <f t="shared" si="267"/>
        <v>0</v>
      </c>
      <c r="N497" s="3190"/>
    </row>
    <row r="498" spans="1:124" ht="13.5" customHeight="1" x14ac:dyDescent="0.2">
      <c r="A498" s="3127"/>
      <c r="B498" s="279" t="s">
        <v>5</v>
      </c>
      <c r="C498" s="3100"/>
      <c r="D498" s="2245">
        <f>+E498+F498+G498+H498</f>
        <v>1422974</v>
      </c>
      <c r="E498" s="2204">
        <f>139894+1247247</f>
        <v>1387141</v>
      </c>
      <c r="F498" s="2204">
        <v>35833</v>
      </c>
      <c r="G498" s="300">
        <v>0</v>
      </c>
      <c r="H498" s="2359">
        <v>0</v>
      </c>
      <c r="I498" s="1701">
        <f>+K498+F498+E498</f>
        <v>1422974</v>
      </c>
      <c r="J498" s="2326">
        <f t="shared" si="276"/>
        <v>100</v>
      </c>
      <c r="K498" s="300">
        <v>0</v>
      </c>
      <c r="L498" s="900">
        <v>0</v>
      </c>
      <c r="M498" s="2145">
        <f t="shared" si="267"/>
        <v>0</v>
      </c>
      <c r="N498" s="3190"/>
    </row>
    <row r="499" spans="1:124" ht="13.5" customHeight="1" x14ac:dyDescent="0.2">
      <c r="A499" s="3127"/>
      <c r="B499" s="279" t="s">
        <v>59</v>
      </c>
      <c r="C499" s="3100"/>
      <c r="D499" s="2245">
        <f>+E499+F499+G499+H499</f>
        <v>2844227</v>
      </c>
      <c r="E499" s="2204">
        <f>279786+2494494</f>
        <v>2774280</v>
      </c>
      <c r="F499" s="2204">
        <v>69947</v>
      </c>
      <c r="G499" s="300">
        <v>0</v>
      </c>
      <c r="H499" s="2610">
        <v>0</v>
      </c>
      <c r="I499" s="1701">
        <f>+K499+F499+E499</f>
        <v>2844227</v>
      </c>
      <c r="J499" s="2326">
        <f t="shared" si="276"/>
        <v>100</v>
      </c>
      <c r="K499" s="300">
        <v>0</v>
      </c>
      <c r="L499" s="900">
        <v>0</v>
      </c>
      <c r="M499" s="2145">
        <f t="shared" si="267"/>
        <v>0</v>
      </c>
      <c r="N499" s="3190"/>
    </row>
    <row r="500" spans="1:124" s="291" customFormat="1" ht="12.75" customHeight="1" x14ac:dyDescent="0.2">
      <c r="A500" s="3188"/>
      <c r="B500" s="236" t="s">
        <v>17</v>
      </c>
      <c r="C500" s="237"/>
      <c r="D500" s="2609">
        <f>+D501</f>
        <v>2844227</v>
      </c>
      <c r="E500" s="2168">
        <f>+E501</f>
        <v>2774280</v>
      </c>
      <c r="F500" s="2168">
        <f t="shared" ref="F500:H501" si="299">+F501</f>
        <v>69947</v>
      </c>
      <c r="G500" s="307">
        <f t="shared" si="299"/>
        <v>0</v>
      </c>
      <c r="H500" s="2446">
        <f t="shared" si="299"/>
        <v>0</v>
      </c>
      <c r="I500" s="2142">
        <f>+I501</f>
        <v>2844227</v>
      </c>
      <c r="J500" s="2334">
        <f t="shared" si="276"/>
        <v>100</v>
      </c>
      <c r="K500" s="307">
        <f>+K501</f>
        <v>0</v>
      </c>
      <c r="L500" s="1080">
        <v>0</v>
      </c>
      <c r="M500" s="2170">
        <f t="shared" si="267"/>
        <v>0</v>
      </c>
      <c r="N500" s="3190"/>
    </row>
    <row r="501" spans="1:124" ht="13.5" customHeight="1" x14ac:dyDescent="0.2">
      <c r="A501" s="3188"/>
      <c r="B501" s="322" t="s">
        <v>18</v>
      </c>
      <c r="C501" s="3039" t="s">
        <v>111</v>
      </c>
      <c r="D501" s="2342">
        <f>+D502</f>
        <v>2844227</v>
      </c>
      <c r="E501" s="1818">
        <f>+E502</f>
        <v>2774280</v>
      </c>
      <c r="F501" s="1818">
        <f t="shared" si="299"/>
        <v>69947</v>
      </c>
      <c r="G501" s="308">
        <f t="shared" si="299"/>
        <v>0</v>
      </c>
      <c r="H501" s="2447">
        <f t="shared" si="299"/>
        <v>0</v>
      </c>
      <c r="I501" s="1734">
        <f>+K501+F501+E501</f>
        <v>2844227</v>
      </c>
      <c r="J501" s="1256">
        <f t="shared" si="276"/>
        <v>100</v>
      </c>
      <c r="K501" s="308">
        <f>+K502</f>
        <v>0</v>
      </c>
      <c r="L501" s="1076">
        <v>0</v>
      </c>
      <c r="M501" s="1425">
        <f t="shared" si="267"/>
        <v>0</v>
      </c>
      <c r="N501" s="3190"/>
    </row>
    <row r="502" spans="1:124" ht="13.5" customHeight="1" thickBot="1" x14ac:dyDescent="0.25">
      <c r="A502" s="3189"/>
      <c r="B502" s="298" t="s">
        <v>59</v>
      </c>
      <c r="C502" s="3043"/>
      <c r="D502" s="2611">
        <f>+E502+F502+G502+H502</f>
        <v>2844227</v>
      </c>
      <c r="E502" s="2612">
        <f>279786+2494494</f>
        <v>2774280</v>
      </c>
      <c r="F502" s="2612">
        <v>69947</v>
      </c>
      <c r="G502" s="2360">
        <v>0</v>
      </c>
      <c r="H502" s="2613">
        <v>0</v>
      </c>
      <c r="I502" s="2353">
        <f>+K502+F502+E502</f>
        <v>2844227</v>
      </c>
      <c r="J502" s="2148">
        <f t="shared" si="276"/>
        <v>100</v>
      </c>
      <c r="K502" s="2360">
        <v>0</v>
      </c>
      <c r="L502" s="901">
        <v>0</v>
      </c>
      <c r="M502" s="2193">
        <f t="shared" si="267"/>
        <v>0</v>
      </c>
      <c r="N502" s="3191"/>
    </row>
    <row r="503" spans="1:124" s="2615" customFormat="1" ht="25.5" customHeight="1" x14ac:dyDescent="0.2">
      <c r="A503" s="3044" t="s">
        <v>42</v>
      </c>
      <c r="B503" s="2404" t="s">
        <v>112</v>
      </c>
      <c r="C503" s="2607" t="s">
        <v>193</v>
      </c>
      <c r="D503" s="2369"/>
      <c r="E503" s="2370"/>
      <c r="F503" s="2370"/>
      <c r="G503" s="2370"/>
      <c r="H503" s="2608"/>
      <c r="I503" s="278"/>
      <c r="J503" s="276"/>
      <c r="K503" s="276"/>
      <c r="L503" s="305"/>
      <c r="M503" s="277"/>
      <c r="N503" s="3042" t="s">
        <v>110</v>
      </c>
      <c r="O503" s="2614"/>
      <c r="P503" s="2614"/>
      <c r="Q503" s="2614"/>
      <c r="R503" s="2614"/>
      <c r="S503" s="2614"/>
      <c r="T503" s="2614"/>
      <c r="U503" s="2614"/>
      <c r="V503" s="2614"/>
      <c r="W503" s="2614"/>
      <c r="X503" s="2614"/>
      <c r="Y503" s="2614"/>
      <c r="Z503" s="2614"/>
      <c r="AA503" s="2614"/>
      <c r="AB503" s="2614"/>
      <c r="AC503" s="2614"/>
      <c r="AD503" s="2614"/>
      <c r="AE503" s="2614"/>
      <c r="AF503" s="2614"/>
      <c r="AG503" s="2614"/>
      <c r="AH503" s="2614"/>
      <c r="AI503" s="2614"/>
      <c r="AJ503" s="2614"/>
      <c r="AK503" s="2614"/>
      <c r="AL503" s="2614"/>
      <c r="AM503" s="2614"/>
      <c r="AN503" s="2614"/>
      <c r="AO503" s="2614"/>
      <c r="AP503" s="2614"/>
      <c r="AQ503" s="2614"/>
      <c r="AR503" s="2614"/>
      <c r="AS503" s="2614"/>
      <c r="AT503" s="2614"/>
      <c r="AU503" s="2614"/>
      <c r="AV503" s="2614"/>
      <c r="AW503" s="2614"/>
      <c r="AX503" s="2614"/>
      <c r="AY503" s="2614"/>
      <c r="AZ503" s="2614"/>
      <c r="BA503" s="2614"/>
      <c r="BB503" s="2614"/>
      <c r="BC503" s="2614"/>
      <c r="BD503" s="2614"/>
      <c r="BE503" s="2614"/>
      <c r="BF503" s="2614"/>
      <c r="BG503" s="2614"/>
      <c r="BH503" s="2614"/>
      <c r="BI503" s="2614"/>
      <c r="BJ503" s="2614"/>
      <c r="BK503" s="2614"/>
      <c r="BL503" s="2614"/>
      <c r="BM503" s="2614"/>
      <c r="BN503" s="2614"/>
      <c r="BO503" s="2614"/>
      <c r="BP503" s="2614"/>
      <c r="BQ503" s="2614"/>
      <c r="BR503" s="2614"/>
      <c r="BS503" s="2614"/>
      <c r="BT503" s="2614"/>
      <c r="BU503" s="2614"/>
      <c r="BV503" s="2614"/>
      <c r="BW503" s="2614"/>
      <c r="BX503" s="2614"/>
      <c r="BY503" s="2614"/>
      <c r="BZ503" s="2614"/>
      <c r="CA503" s="2614"/>
      <c r="CB503" s="2614"/>
      <c r="CC503" s="2614"/>
      <c r="CD503" s="2614"/>
      <c r="CE503" s="2614"/>
      <c r="CF503" s="2614"/>
      <c r="CG503" s="2614"/>
      <c r="CH503" s="2614"/>
      <c r="CI503" s="2614"/>
      <c r="CJ503" s="2614"/>
      <c r="CK503" s="2614"/>
      <c r="CL503" s="2614"/>
      <c r="CM503" s="2614"/>
      <c r="CN503" s="2614"/>
      <c r="CO503" s="2614"/>
      <c r="CP503" s="2614"/>
      <c r="CQ503" s="2614"/>
      <c r="CR503" s="2614"/>
      <c r="CS503" s="2614"/>
      <c r="CT503" s="2614"/>
      <c r="CU503" s="2614"/>
      <c r="CV503" s="2614"/>
      <c r="CW503" s="2614"/>
      <c r="CX503" s="2614"/>
      <c r="CY503" s="2614"/>
      <c r="CZ503" s="2614"/>
      <c r="DA503" s="2614"/>
      <c r="DB503" s="2614"/>
      <c r="DC503" s="2614"/>
      <c r="DD503" s="2614"/>
      <c r="DE503" s="2614"/>
      <c r="DF503" s="2614"/>
      <c r="DG503" s="2614"/>
      <c r="DH503" s="2614"/>
      <c r="DI503" s="2614"/>
      <c r="DJ503" s="2614"/>
      <c r="DK503" s="2614"/>
      <c r="DL503" s="2614"/>
      <c r="DM503" s="2614"/>
      <c r="DN503" s="2614"/>
      <c r="DO503" s="2614"/>
      <c r="DP503" s="2614"/>
      <c r="DQ503" s="2614"/>
      <c r="DR503" s="2614"/>
      <c r="DS503" s="2614"/>
      <c r="DT503" s="2614"/>
    </row>
    <row r="504" spans="1:124" s="2614" customFormat="1" ht="12.75" customHeight="1" x14ac:dyDescent="0.2">
      <c r="A504" s="3045"/>
      <c r="B504" s="236" t="s">
        <v>3</v>
      </c>
      <c r="C504" s="237"/>
      <c r="D504" s="2616">
        <f>SUM(D506:D506)</f>
        <v>7526030</v>
      </c>
      <c r="E504" s="2617">
        <f>SUM(E506:E506)</f>
        <v>901733</v>
      </c>
      <c r="F504" s="2617">
        <f>SUM(F506:F506)</f>
        <v>415162</v>
      </c>
      <c r="G504" s="2617">
        <f>SUM(G506:G506)</f>
        <v>966468</v>
      </c>
      <c r="H504" s="2534">
        <f>+H505</f>
        <v>5242667</v>
      </c>
      <c r="I504" s="2497">
        <f>+I505</f>
        <v>1370955</v>
      </c>
      <c r="J504" s="2334">
        <f t="shared" si="276"/>
        <v>18.216177719195912</v>
      </c>
      <c r="K504" s="2498">
        <f>SUM(K506:K506)</f>
        <v>54060</v>
      </c>
      <c r="L504" s="2335">
        <f t="shared" ref="L504:L558" si="300">K504/G504*100</f>
        <v>5.5935633668160767</v>
      </c>
      <c r="M504" s="2534">
        <f t="shared" si="267"/>
        <v>-429174</v>
      </c>
      <c r="N504" s="3037"/>
    </row>
    <row r="505" spans="1:124" s="2614" customFormat="1" ht="13.5" customHeight="1" x14ac:dyDescent="0.2">
      <c r="A505" s="3045"/>
      <c r="B505" s="322" t="s">
        <v>18</v>
      </c>
      <c r="C505" s="3039" t="s">
        <v>39</v>
      </c>
      <c r="D505" s="2618">
        <f>+D506</f>
        <v>7526030</v>
      </c>
      <c r="E505" s="2619">
        <f>+E506</f>
        <v>901733</v>
      </c>
      <c r="F505" s="2619">
        <f>+F506</f>
        <v>415162</v>
      </c>
      <c r="G505" s="2619">
        <f>+G506</f>
        <v>966468</v>
      </c>
      <c r="H505" s="2620">
        <f>+H506</f>
        <v>5242667</v>
      </c>
      <c r="I505" s="2589">
        <f>+I506</f>
        <v>1370955</v>
      </c>
      <c r="J505" s="1256">
        <f t="shared" si="276"/>
        <v>18.216177719195912</v>
      </c>
      <c r="K505" s="2621">
        <f>+K506</f>
        <v>54060</v>
      </c>
      <c r="L505" s="1742">
        <f t="shared" si="300"/>
        <v>5.5935633668160767</v>
      </c>
      <c r="M505" s="2620">
        <f t="shared" si="267"/>
        <v>-429174</v>
      </c>
      <c r="N505" s="3037"/>
    </row>
    <row r="506" spans="1:124" s="2614" customFormat="1" ht="14.25" customHeight="1" thickBot="1" x14ac:dyDescent="0.25">
      <c r="A506" s="3046"/>
      <c r="B506" s="298" t="s">
        <v>5</v>
      </c>
      <c r="C506" s="3043"/>
      <c r="D506" s="2611">
        <f>+E506+F506+G506+H506</f>
        <v>7526030</v>
      </c>
      <c r="E506" s="2612">
        <v>901733</v>
      </c>
      <c r="F506" s="2612">
        <v>415162</v>
      </c>
      <c r="G506" s="2612">
        <v>966468</v>
      </c>
      <c r="H506" s="2254">
        <f>1746334+1746333+1750000</f>
        <v>5242667</v>
      </c>
      <c r="I506" s="1711">
        <f>E506+F506+K506</f>
        <v>1370955</v>
      </c>
      <c r="J506" s="2326">
        <f t="shared" si="276"/>
        <v>18.216177719195912</v>
      </c>
      <c r="K506" s="2251">
        <v>54060</v>
      </c>
      <c r="L506" s="2339">
        <f t="shared" si="300"/>
        <v>5.5935633668160767</v>
      </c>
      <c r="M506" s="2254">
        <f t="shared" si="267"/>
        <v>-429174</v>
      </c>
      <c r="N506" s="3038"/>
    </row>
    <row r="507" spans="1:124" ht="30.75" customHeight="1" x14ac:dyDescent="0.2">
      <c r="A507" s="3194" t="s">
        <v>44</v>
      </c>
      <c r="B507" s="2579" t="s">
        <v>290</v>
      </c>
      <c r="C507" s="2607" t="s">
        <v>193</v>
      </c>
      <c r="D507" s="2581"/>
      <c r="E507" s="2582"/>
      <c r="F507" s="2582"/>
      <c r="G507" s="2582"/>
      <c r="H507" s="2584"/>
      <c r="I507" s="2581"/>
      <c r="J507" s="2582"/>
      <c r="K507" s="2582"/>
      <c r="L507" s="2585"/>
      <c r="M507" s="2584"/>
      <c r="N507" s="3197" t="s">
        <v>107</v>
      </c>
    </row>
    <row r="508" spans="1:124" x14ac:dyDescent="0.2">
      <c r="A508" s="3195"/>
      <c r="B508" s="312" t="s">
        <v>3</v>
      </c>
      <c r="C508" s="237"/>
      <c r="D508" s="2497">
        <f>+D509</f>
        <v>45609289</v>
      </c>
      <c r="E508" s="2498">
        <f t="shared" ref="E508:I509" si="301">+E509</f>
        <v>8900000</v>
      </c>
      <c r="F508" s="2498">
        <f t="shared" si="301"/>
        <v>3301289</v>
      </c>
      <c r="G508" s="2498">
        <f t="shared" si="301"/>
        <v>4202000</v>
      </c>
      <c r="H508" s="2534">
        <f t="shared" si="301"/>
        <v>29206000</v>
      </c>
      <c r="I508" s="2497">
        <f t="shared" si="301"/>
        <v>16401289</v>
      </c>
      <c r="J508" s="2588">
        <f t="shared" si="276"/>
        <v>35.960413678011946</v>
      </c>
      <c r="K508" s="2498">
        <f>+K509</f>
        <v>4200000</v>
      </c>
      <c r="L508" s="838">
        <f t="shared" si="300"/>
        <v>99.952403617325075</v>
      </c>
      <c r="M508" s="2534">
        <f t="shared" si="267"/>
        <v>2099000</v>
      </c>
      <c r="N508" s="3198"/>
    </row>
    <row r="509" spans="1:124" x14ac:dyDescent="0.2">
      <c r="A509" s="3195"/>
      <c r="B509" s="1994" t="s">
        <v>18</v>
      </c>
      <c r="C509" s="3039" t="s">
        <v>111</v>
      </c>
      <c r="D509" s="2589">
        <f>+D510</f>
        <v>45609289</v>
      </c>
      <c r="E509" s="2621">
        <f t="shared" si="301"/>
        <v>8900000</v>
      </c>
      <c r="F509" s="2590">
        <f t="shared" si="301"/>
        <v>3301289</v>
      </c>
      <c r="G509" s="2621">
        <f t="shared" si="301"/>
        <v>4202000</v>
      </c>
      <c r="H509" s="2593">
        <f t="shared" si="301"/>
        <v>29206000</v>
      </c>
      <c r="I509" s="2622">
        <f t="shared" si="301"/>
        <v>16401289</v>
      </c>
      <c r="J509" s="1751">
        <f t="shared" si="276"/>
        <v>35.960413678011946</v>
      </c>
      <c r="K509" s="2590">
        <f>+K510</f>
        <v>4200000</v>
      </c>
      <c r="L509" s="1766">
        <f t="shared" si="300"/>
        <v>99.952403617325075</v>
      </c>
      <c r="M509" s="2593">
        <f t="shared" si="267"/>
        <v>2099000</v>
      </c>
      <c r="N509" s="3198"/>
    </row>
    <row r="510" spans="1:124" ht="13.5" thickBot="1" x14ac:dyDescent="0.25">
      <c r="A510" s="3196"/>
      <c r="B510" s="2623" t="s">
        <v>5</v>
      </c>
      <c r="C510" s="3187"/>
      <c r="D510" s="1711">
        <f>+E510+F510+G510+H510</f>
        <v>45609289</v>
      </c>
      <c r="E510" s="1712">
        <f>7100000+1800000</f>
        <v>8900000</v>
      </c>
      <c r="F510" s="2624">
        <v>3301289</v>
      </c>
      <c r="G510" s="2625">
        <v>4202000</v>
      </c>
      <c r="H510" s="2626">
        <f>33408000-4202000</f>
        <v>29206000</v>
      </c>
      <c r="I510" s="289">
        <f>E510+F510+K510</f>
        <v>16401289</v>
      </c>
      <c r="J510" s="1291">
        <f>I510/D510*100</f>
        <v>35.960413678011946</v>
      </c>
      <c r="K510" s="2624">
        <v>4200000</v>
      </c>
      <c r="L510" s="1749">
        <f t="shared" si="300"/>
        <v>99.952403617325075</v>
      </c>
      <c r="M510" s="1428">
        <f t="shared" si="267"/>
        <v>2099000</v>
      </c>
      <c r="N510" s="3199"/>
    </row>
    <row r="511" spans="1:124" ht="27" customHeight="1" x14ac:dyDescent="0.2">
      <c r="A511" s="3041" t="s">
        <v>45</v>
      </c>
      <c r="B511" s="2316" t="s">
        <v>318</v>
      </c>
      <c r="C511" s="2607" t="s">
        <v>193</v>
      </c>
      <c r="D511" s="278"/>
      <c r="E511" s="276"/>
      <c r="F511" s="276"/>
      <c r="G511" s="276"/>
      <c r="H511" s="277"/>
      <c r="I511" s="278"/>
      <c r="J511" s="2582"/>
      <c r="K511" s="276"/>
      <c r="L511" s="2585"/>
      <c r="M511" s="277"/>
      <c r="N511" s="3042" t="s">
        <v>110</v>
      </c>
    </row>
    <row r="512" spans="1:124" x14ac:dyDescent="0.2">
      <c r="A512" s="3035"/>
      <c r="B512" s="236" t="s">
        <v>3</v>
      </c>
      <c r="C512" s="237"/>
      <c r="D512" s="2142">
        <f>+D513</f>
        <v>423765</v>
      </c>
      <c r="E512" s="2143">
        <f t="shared" ref="E512:H513" si="302">+E513</f>
        <v>170789</v>
      </c>
      <c r="F512" s="2143">
        <f t="shared" si="302"/>
        <v>237976</v>
      </c>
      <c r="G512" s="2143">
        <f t="shared" si="302"/>
        <v>15000</v>
      </c>
      <c r="H512" s="2156">
        <f t="shared" si="302"/>
        <v>0</v>
      </c>
      <c r="I512" s="2609">
        <f>+I513</f>
        <v>416975</v>
      </c>
      <c r="J512" s="2334">
        <f t="shared" si="276"/>
        <v>98.397696836690159</v>
      </c>
      <c r="K512" s="2143">
        <f>+K513</f>
        <v>8210</v>
      </c>
      <c r="L512" s="2335">
        <f t="shared" si="300"/>
        <v>54.733333333333334</v>
      </c>
      <c r="M512" s="2170">
        <f t="shared" si="267"/>
        <v>710</v>
      </c>
      <c r="N512" s="3037"/>
    </row>
    <row r="513" spans="1:14" ht="11.25" customHeight="1" x14ac:dyDescent="0.2">
      <c r="A513" s="3035"/>
      <c r="B513" s="301" t="s">
        <v>18</v>
      </c>
      <c r="C513" s="3039" t="s">
        <v>39</v>
      </c>
      <c r="D513" s="1734">
        <f>+D514</f>
        <v>423765</v>
      </c>
      <c r="E513" s="1706">
        <f t="shared" si="302"/>
        <v>170789</v>
      </c>
      <c r="F513" s="1706">
        <f t="shared" si="302"/>
        <v>237976</v>
      </c>
      <c r="G513" s="1706">
        <f t="shared" si="302"/>
        <v>15000</v>
      </c>
      <c r="H513" s="309">
        <f t="shared" si="302"/>
        <v>0</v>
      </c>
      <c r="I513" s="2342">
        <f>+I514</f>
        <v>416975</v>
      </c>
      <c r="J513" s="1256">
        <f t="shared" si="276"/>
        <v>98.397696836690159</v>
      </c>
      <c r="K513" s="1706">
        <f>+K514</f>
        <v>8210</v>
      </c>
      <c r="L513" s="1742">
        <f t="shared" si="300"/>
        <v>54.733333333333334</v>
      </c>
      <c r="M513" s="1425">
        <f t="shared" si="267"/>
        <v>710</v>
      </c>
      <c r="N513" s="3037"/>
    </row>
    <row r="514" spans="1:14" ht="13.5" thickBot="1" x14ac:dyDescent="0.25">
      <c r="A514" s="3036"/>
      <c r="B514" s="279" t="s">
        <v>5</v>
      </c>
      <c r="C514" s="3139"/>
      <c r="D514" s="1701">
        <f>+E514+F514+G514+H514</f>
        <v>423765</v>
      </c>
      <c r="E514" s="1702">
        <v>170789</v>
      </c>
      <c r="F514" s="292">
        <v>237976</v>
      </c>
      <c r="G514" s="292">
        <v>15000</v>
      </c>
      <c r="H514" s="1127">
        <v>0</v>
      </c>
      <c r="I514" s="2627">
        <f>E514+F514+K514</f>
        <v>416975</v>
      </c>
      <c r="J514" s="2326">
        <f t="shared" si="276"/>
        <v>98.397696836690159</v>
      </c>
      <c r="K514" s="292">
        <v>8210</v>
      </c>
      <c r="L514" s="2339">
        <f t="shared" si="300"/>
        <v>54.733333333333334</v>
      </c>
      <c r="M514" s="2175">
        <f t="shared" ref="M514:M562" si="303">+K514-G514*0.5</f>
        <v>710</v>
      </c>
      <c r="N514" s="3038"/>
    </row>
    <row r="515" spans="1:14" ht="18" customHeight="1" x14ac:dyDescent="0.2">
      <c r="A515" s="3129" t="s">
        <v>46</v>
      </c>
      <c r="B515" s="2122" t="s">
        <v>113</v>
      </c>
      <c r="C515" s="2607" t="s">
        <v>193</v>
      </c>
      <c r="D515" s="278"/>
      <c r="E515" s="276"/>
      <c r="F515" s="276"/>
      <c r="G515" s="276"/>
      <c r="H515" s="277"/>
      <c r="I515" s="278"/>
      <c r="J515" s="2582"/>
      <c r="K515" s="276"/>
      <c r="L515" s="2585"/>
      <c r="M515" s="277"/>
      <c r="N515" s="3042" t="s">
        <v>110</v>
      </c>
    </row>
    <row r="516" spans="1:14" ht="12.75" customHeight="1" x14ac:dyDescent="0.2">
      <c r="A516" s="3127"/>
      <c r="B516" s="236" t="s">
        <v>3</v>
      </c>
      <c r="C516" s="237"/>
      <c r="D516" s="2142">
        <f t="shared" ref="D516:I516" si="304">+D517</f>
        <v>44758329</v>
      </c>
      <c r="E516" s="2143">
        <f t="shared" si="304"/>
        <v>21442291</v>
      </c>
      <c r="F516" s="2143">
        <f t="shared" si="304"/>
        <v>23316038</v>
      </c>
      <c r="G516" s="307">
        <f t="shared" si="304"/>
        <v>0</v>
      </c>
      <c r="H516" s="2156">
        <f t="shared" si="304"/>
        <v>0</v>
      </c>
      <c r="I516" s="2609">
        <f t="shared" si="304"/>
        <v>44758329</v>
      </c>
      <c r="J516" s="2334">
        <f t="shared" si="276"/>
        <v>100</v>
      </c>
      <c r="K516" s="307">
        <f>+K517</f>
        <v>0</v>
      </c>
      <c r="L516" s="1080">
        <v>0</v>
      </c>
      <c r="M516" s="2170">
        <f t="shared" si="303"/>
        <v>0</v>
      </c>
      <c r="N516" s="3037"/>
    </row>
    <row r="517" spans="1:14" ht="12.75" customHeight="1" x14ac:dyDescent="0.2">
      <c r="A517" s="3127"/>
      <c r="B517" s="301" t="s">
        <v>18</v>
      </c>
      <c r="C517" s="3039" t="s">
        <v>39</v>
      </c>
      <c r="D517" s="1734">
        <f>+D518+D519</f>
        <v>44758329</v>
      </c>
      <c r="E517" s="1706">
        <f>+E518+E519</f>
        <v>21442291</v>
      </c>
      <c r="F517" s="1706">
        <f>+F518+F519</f>
        <v>23316038</v>
      </c>
      <c r="G517" s="308">
        <f>++G518+G519</f>
        <v>0</v>
      </c>
      <c r="H517" s="309">
        <f>++H518+H519</f>
        <v>0</v>
      </c>
      <c r="I517" s="2342">
        <f>+I518+I519</f>
        <v>44758329</v>
      </c>
      <c r="J517" s="1256">
        <f t="shared" si="276"/>
        <v>100</v>
      </c>
      <c r="K517" s="308">
        <f>+K518+K519</f>
        <v>0</v>
      </c>
      <c r="L517" s="1076">
        <v>0</v>
      </c>
      <c r="M517" s="1425">
        <f t="shared" si="303"/>
        <v>0</v>
      </c>
      <c r="N517" s="3037"/>
    </row>
    <row r="518" spans="1:14" ht="12.75" customHeight="1" x14ac:dyDescent="0.2">
      <c r="A518" s="3127"/>
      <c r="B518" s="279" t="s">
        <v>5</v>
      </c>
      <c r="C518" s="3100"/>
      <c r="D518" s="1701">
        <f>+E518+F518+G518+H518</f>
        <v>44188329</v>
      </c>
      <c r="E518" s="1702">
        <v>21442291</v>
      </c>
      <c r="F518" s="292">
        <v>22746038</v>
      </c>
      <c r="G518" s="280">
        <v>0</v>
      </c>
      <c r="H518" s="1732">
        <v>0</v>
      </c>
      <c r="I518" s="2627">
        <f>E518+F518+K518</f>
        <v>44188329</v>
      </c>
      <c r="J518" s="2326">
        <f t="shared" si="276"/>
        <v>100</v>
      </c>
      <c r="K518" s="293">
        <v>0</v>
      </c>
      <c r="L518" s="900">
        <v>0</v>
      </c>
      <c r="M518" s="2175">
        <f t="shared" si="303"/>
        <v>0</v>
      </c>
      <c r="N518" s="3037"/>
    </row>
    <row r="519" spans="1:14" ht="12.75" customHeight="1" x14ac:dyDescent="0.2">
      <c r="A519" s="3127"/>
      <c r="B519" s="279" t="s">
        <v>59</v>
      </c>
      <c r="C519" s="3100"/>
      <c r="D519" s="1701">
        <f>+E519+F519+G519+H519</f>
        <v>570000</v>
      </c>
      <c r="E519" s="1702">
        <v>0</v>
      </c>
      <c r="F519" s="292">
        <v>570000</v>
      </c>
      <c r="G519" s="280">
        <v>0</v>
      </c>
      <c r="H519" s="1732">
        <v>0</v>
      </c>
      <c r="I519" s="2627">
        <f>+K519+F519+E519</f>
        <v>570000</v>
      </c>
      <c r="J519" s="2326">
        <f t="shared" si="276"/>
        <v>100</v>
      </c>
      <c r="K519" s="293">
        <v>0</v>
      </c>
      <c r="L519" s="900">
        <v>0</v>
      </c>
      <c r="M519" s="2175">
        <f t="shared" si="303"/>
        <v>0</v>
      </c>
      <c r="N519" s="3193"/>
    </row>
    <row r="520" spans="1:14" s="291" customFormat="1" ht="12.75" customHeight="1" x14ac:dyDescent="0.2">
      <c r="A520" s="3201"/>
      <c r="B520" s="236" t="s">
        <v>17</v>
      </c>
      <c r="C520" s="237"/>
      <c r="D520" s="1179">
        <f t="shared" ref="D520:K520" si="305">+D521</f>
        <v>570000</v>
      </c>
      <c r="E520" s="304">
        <f t="shared" si="305"/>
        <v>0</v>
      </c>
      <c r="F520" s="2186">
        <f t="shared" si="305"/>
        <v>570000</v>
      </c>
      <c r="G520" s="303">
        <f t="shared" si="305"/>
        <v>0</v>
      </c>
      <c r="H520" s="306">
        <f t="shared" si="305"/>
        <v>0</v>
      </c>
      <c r="I520" s="1179">
        <f t="shared" si="305"/>
        <v>570000</v>
      </c>
      <c r="J520" s="2334">
        <f t="shared" si="276"/>
        <v>100</v>
      </c>
      <c r="K520" s="307">
        <f t="shared" si="305"/>
        <v>0</v>
      </c>
      <c r="L520" s="1080">
        <v>0</v>
      </c>
      <c r="M520" s="1185">
        <f t="shared" si="303"/>
        <v>0</v>
      </c>
      <c r="N520" s="3037" t="s">
        <v>101</v>
      </c>
    </row>
    <row r="521" spans="1:14" ht="12.75" customHeight="1" x14ac:dyDescent="0.2">
      <c r="A521" s="3201"/>
      <c r="B521" s="322" t="s">
        <v>18</v>
      </c>
      <c r="C521" s="3039" t="s">
        <v>39</v>
      </c>
      <c r="D521" s="2342">
        <f t="shared" ref="D521:H521" si="306">+D522</f>
        <v>570000</v>
      </c>
      <c r="E521" s="1706">
        <f t="shared" si="306"/>
        <v>0</v>
      </c>
      <c r="F521" s="1706">
        <f t="shared" si="306"/>
        <v>570000</v>
      </c>
      <c r="G521" s="308">
        <f t="shared" si="306"/>
        <v>0</v>
      </c>
      <c r="H521" s="309">
        <f t="shared" si="306"/>
        <v>0</v>
      </c>
      <c r="I521" s="2342">
        <f>+K521+F521+E521</f>
        <v>570000</v>
      </c>
      <c r="J521" s="1256">
        <f t="shared" si="276"/>
        <v>100</v>
      </c>
      <c r="K521" s="308">
        <f>+K522</f>
        <v>0</v>
      </c>
      <c r="L521" s="1076">
        <v>0</v>
      </c>
      <c r="M521" s="1425">
        <f t="shared" si="303"/>
        <v>0</v>
      </c>
      <c r="N521" s="3037"/>
    </row>
    <row r="522" spans="1:14" ht="12.75" customHeight="1" thickBot="1" x14ac:dyDescent="0.25">
      <c r="A522" s="3201"/>
      <c r="B522" s="298" t="s">
        <v>59</v>
      </c>
      <c r="C522" s="3043"/>
      <c r="D522" s="1711">
        <f>+E522+F522+G522+H522</f>
        <v>570000</v>
      </c>
      <c r="E522" s="1712">
        <v>0</v>
      </c>
      <c r="F522" s="2167">
        <v>570000</v>
      </c>
      <c r="G522" s="288">
        <v>0</v>
      </c>
      <c r="H522" s="294">
        <v>0</v>
      </c>
      <c r="I522" s="2611">
        <f>+K522+F522+E522</f>
        <v>570000</v>
      </c>
      <c r="J522" s="2326">
        <f t="shared" si="276"/>
        <v>100</v>
      </c>
      <c r="K522" s="293">
        <v>0</v>
      </c>
      <c r="L522" s="900">
        <v>0</v>
      </c>
      <c r="M522" s="2254">
        <f t="shared" si="303"/>
        <v>0</v>
      </c>
      <c r="N522" s="3038"/>
    </row>
    <row r="523" spans="1:14" ht="25.5" x14ac:dyDescent="0.2">
      <c r="A523" s="3129" t="s">
        <v>47</v>
      </c>
      <c r="B523" s="2122" t="s">
        <v>114</v>
      </c>
      <c r="C523" s="2607" t="s">
        <v>193</v>
      </c>
      <c r="D523" s="278"/>
      <c r="E523" s="276"/>
      <c r="F523" s="276"/>
      <c r="G523" s="276"/>
      <c r="H523" s="277"/>
      <c r="I523" s="278"/>
      <c r="J523" s="276"/>
      <c r="K523" s="276"/>
      <c r="L523" s="305"/>
      <c r="M523" s="277"/>
      <c r="N523" s="3119" t="s">
        <v>110</v>
      </c>
    </row>
    <row r="524" spans="1:14" x14ac:dyDescent="0.2">
      <c r="A524" s="3127"/>
      <c r="B524" s="236" t="s">
        <v>3</v>
      </c>
      <c r="C524" s="237"/>
      <c r="D524" s="2142">
        <f t="shared" ref="D524:I525" si="307">+D525</f>
        <v>1743306</v>
      </c>
      <c r="E524" s="2143">
        <f t="shared" si="307"/>
        <v>0</v>
      </c>
      <c r="F524" s="2143">
        <f t="shared" si="307"/>
        <v>354120</v>
      </c>
      <c r="G524" s="2143">
        <f t="shared" si="307"/>
        <v>1389186</v>
      </c>
      <c r="H524" s="2170">
        <f t="shared" si="307"/>
        <v>0</v>
      </c>
      <c r="I524" s="2609">
        <f t="shared" si="307"/>
        <v>354120</v>
      </c>
      <c r="J524" s="2334">
        <f t="shared" si="276"/>
        <v>20.31312919246535</v>
      </c>
      <c r="K524" s="2143">
        <f>+K525</f>
        <v>0</v>
      </c>
      <c r="L524" s="2335">
        <f t="shared" si="300"/>
        <v>0</v>
      </c>
      <c r="M524" s="2170">
        <f t="shared" si="303"/>
        <v>-694593</v>
      </c>
      <c r="N524" s="3200"/>
    </row>
    <row r="525" spans="1:14" x14ac:dyDescent="0.2">
      <c r="A525" s="3127"/>
      <c r="B525" s="301" t="s">
        <v>18</v>
      </c>
      <c r="C525" s="3039" t="s">
        <v>39</v>
      </c>
      <c r="D525" s="1734">
        <f>+D526</f>
        <v>1743306</v>
      </c>
      <c r="E525" s="1706">
        <f>+E526</f>
        <v>0</v>
      </c>
      <c r="F525" s="1706">
        <f t="shared" si="307"/>
        <v>354120</v>
      </c>
      <c r="G525" s="1706">
        <f t="shared" si="307"/>
        <v>1389186</v>
      </c>
      <c r="H525" s="1425">
        <f t="shared" si="307"/>
        <v>0</v>
      </c>
      <c r="I525" s="2342">
        <f>+I526</f>
        <v>354120</v>
      </c>
      <c r="J525" s="1256">
        <f t="shared" si="276"/>
        <v>20.31312919246535</v>
      </c>
      <c r="K525" s="1706">
        <f>+K526</f>
        <v>0</v>
      </c>
      <c r="L525" s="1742">
        <f t="shared" si="300"/>
        <v>0</v>
      </c>
      <c r="M525" s="1425">
        <f t="shared" si="303"/>
        <v>-694593</v>
      </c>
      <c r="N525" s="3200"/>
    </row>
    <row r="526" spans="1:14" ht="15.75" customHeight="1" thickBot="1" x14ac:dyDescent="0.25">
      <c r="A526" s="3127"/>
      <c r="B526" s="279" t="s">
        <v>5</v>
      </c>
      <c r="C526" s="3100"/>
      <c r="D526" s="1701">
        <f>+E526+F526+G526+H526</f>
        <v>1743306</v>
      </c>
      <c r="E526" s="1702">
        <v>0</v>
      </c>
      <c r="F526" s="292">
        <v>354120</v>
      </c>
      <c r="G526" s="292">
        <v>1389186</v>
      </c>
      <c r="H526" s="2175">
        <v>0</v>
      </c>
      <c r="I526" s="2627">
        <f>E526+F526+K526</f>
        <v>354120</v>
      </c>
      <c r="J526" s="2326">
        <f t="shared" si="276"/>
        <v>20.31312919246535</v>
      </c>
      <c r="K526" s="292">
        <v>0</v>
      </c>
      <c r="L526" s="2339">
        <f t="shared" si="300"/>
        <v>0</v>
      </c>
      <c r="M526" s="2175">
        <f t="shared" si="303"/>
        <v>-694593</v>
      </c>
      <c r="N526" s="3191"/>
    </row>
    <row r="527" spans="1:14" ht="26.25" customHeight="1" x14ac:dyDescent="0.2">
      <c r="A527" s="3041" t="s">
        <v>49</v>
      </c>
      <c r="B527" s="2316" t="s">
        <v>291</v>
      </c>
      <c r="C527" s="2607" t="s">
        <v>193</v>
      </c>
      <c r="D527" s="2581"/>
      <c r="E527" s="2582"/>
      <c r="F527" s="2582"/>
      <c r="G527" s="2582"/>
      <c r="H527" s="2584"/>
      <c r="I527" s="2581"/>
      <c r="J527" s="2582"/>
      <c r="K527" s="2582"/>
      <c r="L527" s="2585"/>
      <c r="M527" s="2584"/>
      <c r="N527" s="3042" t="s">
        <v>110</v>
      </c>
    </row>
    <row r="528" spans="1:14" x14ac:dyDescent="0.2">
      <c r="A528" s="3035"/>
      <c r="B528" s="312" t="s">
        <v>3</v>
      </c>
      <c r="C528" s="237"/>
      <c r="D528" s="2628">
        <f t="shared" ref="D528:H529" si="308">+D529</f>
        <v>604278</v>
      </c>
      <c r="E528" s="2629">
        <f t="shared" si="308"/>
        <v>231400</v>
      </c>
      <c r="F528" s="2629">
        <f t="shared" si="308"/>
        <v>22878</v>
      </c>
      <c r="G528" s="2629">
        <f t="shared" si="308"/>
        <v>350000</v>
      </c>
      <c r="H528" s="2630">
        <f t="shared" si="308"/>
        <v>0</v>
      </c>
      <c r="I528" s="2628">
        <f>+I529</f>
        <v>254278</v>
      </c>
      <c r="J528" s="2588">
        <f t="shared" ref="J528:J558" si="309">I528/D528*100</f>
        <v>42.079638841725163</v>
      </c>
      <c r="K528" s="321">
        <f>+K529</f>
        <v>0</v>
      </c>
      <c r="L528" s="838">
        <f t="shared" si="300"/>
        <v>0</v>
      </c>
      <c r="M528" s="2631">
        <f t="shared" si="303"/>
        <v>-175000</v>
      </c>
      <c r="N528" s="3037"/>
    </row>
    <row r="529" spans="1:14" x14ac:dyDescent="0.2">
      <c r="A529" s="3035"/>
      <c r="B529" s="1994" t="s">
        <v>18</v>
      </c>
      <c r="C529" s="3039" t="s">
        <v>39</v>
      </c>
      <c r="D529" s="2622">
        <f>+D530+D531</f>
        <v>604278</v>
      </c>
      <c r="E529" s="2590">
        <f t="shared" si="308"/>
        <v>231400</v>
      </c>
      <c r="F529" s="2590">
        <f>+F530+F531</f>
        <v>22878</v>
      </c>
      <c r="G529" s="2590">
        <f t="shared" si="308"/>
        <v>350000</v>
      </c>
      <c r="H529" s="2346">
        <f t="shared" si="308"/>
        <v>0</v>
      </c>
      <c r="I529" s="2622">
        <f>+I530+I531</f>
        <v>254278</v>
      </c>
      <c r="J529" s="1751">
        <f t="shared" si="309"/>
        <v>42.079638841725163</v>
      </c>
      <c r="K529" s="360">
        <f>+K530+K531</f>
        <v>0</v>
      </c>
      <c r="L529" s="1766">
        <f t="shared" si="300"/>
        <v>0</v>
      </c>
      <c r="M529" s="2593">
        <f t="shared" si="303"/>
        <v>-175000</v>
      </c>
      <c r="N529" s="3037"/>
    </row>
    <row r="530" spans="1:14" x14ac:dyDescent="0.2">
      <c r="A530" s="3035"/>
      <c r="B530" s="279" t="s">
        <v>5</v>
      </c>
      <c r="C530" s="3100"/>
      <c r="D530" s="1701">
        <f>+E530+F530+G530+H530</f>
        <v>581400</v>
      </c>
      <c r="E530" s="1702">
        <f>228400+3000</f>
        <v>231400</v>
      </c>
      <c r="F530" s="1702">
        <v>0</v>
      </c>
      <c r="G530" s="1702">
        <v>350000</v>
      </c>
      <c r="H530" s="1732">
        <v>0</v>
      </c>
      <c r="I530" s="1730">
        <f>E530+F530+K530</f>
        <v>231400</v>
      </c>
      <c r="J530" s="1291">
        <f t="shared" si="309"/>
        <v>39.800481596147229</v>
      </c>
      <c r="K530" s="280">
        <v>0</v>
      </c>
      <c r="L530" s="1749">
        <f t="shared" si="300"/>
        <v>0</v>
      </c>
      <c r="M530" s="1424">
        <f t="shared" si="303"/>
        <v>-175000</v>
      </c>
      <c r="N530" s="3037"/>
    </row>
    <row r="531" spans="1:14" x14ac:dyDescent="0.2">
      <c r="A531" s="3035"/>
      <c r="B531" s="279" t="s">
        <v>59</v>
      </c>
      <c r="C531" s="3100"/>
      <c r="D531" s="1701">
        <f>+E531+F531+G531+H531</f>
        <v>22878</v>
      </c>
      <c r="E531" s="1702"/>
      <c r="F531" s="1702">
        <v>22878</v>
      </c>
      <c r="G531" s="1702">
        <v>0</v>
      </c>
      <c r="H531" s="1732">
        <v>0</v>
      </c>
      <c r="I531" s="1730">
        <f>+K531+F531+E531</f>
        <v>22878</v>
      </c>
      <c r="J531" s="1291">
        <f t="shared" si="309"/>
        <v>100</v>
      </c>
      <c r="K531" s="280">
        <v>0</v>
      </c>
      <c r="L531" s="1077">
        <v>0</v>
      </c>
      <c r="M531" s="1424">
        <f t="shared" si="303"/>
        <v>0</v>
      </c>
      <c r="N531" s="3193"/>
    </row>
    <row r="532" spans="1:14" x14ac:dyDescent="0.2">
      <c r="A532" s="3035"/>
      <c r="B532" s="312" t="s">
        <v>17</v>
      </c>
      <c r="C532" s="237"/>
      <c r="D532" s="319">
        <f t="shared" ref="D532:K533" si="310">+D533</f>
        <v>22878</v>
      </c>
      <c r="E532" s="303">
        <f t="shared" si="310"/>
        <v>0</v>
      </c>
      <c r="F532" s="2629">
        <f t="shared" si="310"/>
        <v>22878</v>
      </c>
      <c r="G532" s="303">
        <f t="shared" si="310"/>
        <v>0</v>
      </c>
      <c r="H532" s="306">
        <f t="shared" si="310"/>
        <v>0</v>
      </c>
      <c r="I532" s="2628">
        <f t="shared" si="310"/>
        <v>22878</v>
      </c>
      <c r="J532" s="2334">
        <f t="shared" si="309"/>
        <v>100</v>
      </c>
      <c r="K532" s="303">
        <f t="shared" si="310"/>
        <v>0</v>
      </c>
      <c r="L532" s="1080">
        <v>0</v>
      </c>
      <c r="M532" s="2631">
        <f t="shared" si="303"/>
        <v>0</v>
      </c>
      <c r="N532" s="3101" t="s">
        <v>101</v>
      </c>
    </row>
    <row r="533" spans="1:14" x14ac:dyDescent="0.2">
      <c r="A533" s="3035"/>
      <c r="B533" s="2083" t="s">
        <v>18</v>
      </c>
      <c r="C533" s="3039" t="s">
        <v>39</v>
      </c>
      <c r="D533" s="2622">
        <f t="shared" si="310"/>
        <v>22878</v>
      </c>
      <c r="E533" s="308">
        <f t="shared" si="310"/>
        <v>0</v>
      </c>
      <c r="F533" s="2590">
        <f t="shared" si="310"/>
        <v>22878</v>
      </c>
      <c r="G533" s="308">
        <f t="shared" si="310"/>
        <v>0</v>
      </c>
      <c r="H533" s="309">
        <f t="shared" si="310"/>
        <v>0</v>
      </c>
      <c r="I533" s="2622">
        <f t="shared" si="310"/>
        <v>22878</v>
      </c>
      <c r="J533" s="1256">
        <f t="shared" si="309"/>
        <v>100</v>
      </c>
      <c r="K533" s="308">
        <f t="shared" si="310"/>
        <v>0</v>
      </c>
      <c r="L533" s="1076">
        <v>0</v>
      </c>
      <c r="M533" s="2593">
        <f t="shared" si="303"/>
        <v>0</v>
      </c>
      <c r="N533" s="3037"/>
    </row>
    <row r="534" spans="1:14" ht="13.5" thickBot="1" x14ac:dyDescent="0.25">
      <c r="A534" s="3036"/>
      <c r="B534" s="298" t="s">
        <v>59</v>
      </c>
      <c r="C534" s="3043"/>
      <c r="D534" s="1711">
        <f>+E534+F534+G534+H534</f>
        <v>22878</v>
      </c>
      <c r="E534" s="288">
        <v>0</v>
      </c>
      <c r="F534" s="1712">
        <v>22878</v>
      </c>
      <c r="G534" s="288">
        <v>0</v>
      </c>
      <c r="H534" s="294">
        <v>0</v>
      </c>
      <c r="I534" s="289">
        <f>+K534+F534+E534</f>
        <v>22878</v>
      </c>
      <c r="J534" s="2326">
        <f t="shared" si="309"/>
        <v>100</v>
      </c>
      <c r="K534" s="288">
        <v>0</v>
      </c>
      <c r="L534" s="900">
        <v>0</v>
      </c>
      <c r="M534" s="2193">
        <f t="shared" si="303"/>
        <v>0</v>
      </c>
      <c r="N534" s="3038"/>
    </row>
    <row r="535" spans="1:14" ht="39.75" customHeight="1" x14ac:dyDescent="0.2">
      <c r="A535" s="3041" t="s">
        <v>51</v>
      </c>
      <c r="B535" s="2316" t="s">
        <v>259</v>
      </c>
      <c r="C535" s="2123" t="s">
        <v>198</v>
      </c>
      <c r="D535" s="278"/>
      <c r="E535" s="276"/>
      <c r="F535" s="276"/>
      <c r="G535" s="276"/>
      <c r="H535" s="277"/>
      <c r="I535" s="278"/>
      <c r="J535" s="276"/>
      <c r="K535" s="276"/>
      <c r="L535" s="305"/>
      <c r="M535" s="277"/>
      <c r="N535" s="3042" t="s">
        <v>101</v>
      </c>
    </row>
    <row r="536" spans="1:14" x14ac:dyDescent="0.2">
      <c r="A536" s="3035"/>
      <c r="B536" s="236" t="s">
        <v>3</v>
      </c>
      <c r="C536" s="237"/>
      <c r="D536" s="2142">
        <f>+D537</f>
        <v>13920818</v>
      </c>
      <c r="E536" s="2143">
        <f t="shared" ref="E536:H537" si="311">+E537</f>
        <v>951324</v>
      </c>
      <c r="F536" s="2143">
        <f t="shared" si="311"/>
        <v>919494</v>
      </c>
      <c r="G536" s="2143">
        <f t="shared" si="311"/>
        <v>1450000</v>
      </c>
      <c r="H536" s="2170">
        <f t="shared" si="311"/>
        <v>10600000</v>
      </c>
      <c r="I536" s="383">
        <f>+I537</f>
        <v>2334887.36</v>
      </c>
      <c r="J536" s="2588">
        <f t="shared" si="309"/>
        <v>16.772630458928489</v>
      </c>
      <c r="K536" s="320">
        <f>+K537</f>
        <v>464069.36</v>
      </c>
      <c r="L536" s="838">
        <f t="shared" si="300"/>
        <v>32.004783448275859</v>
      </c>
      <c r="M536" s="2120">
        <f t="shared" si="303"/>
        <v>-260930.64</v>
      </c>
      <c r="N536" s="3037"/>
    </row>
    <row r="537" spans="1:14" ht="11.25" customHeight="1" x14ac:dyDescent="0.2">
      <c r="A537" s="3035"/>
      <c r="B537" s="301" t="s">
        <v>18</v>
      </c>
      <c r="C537" s="3039" t="s">
        <v>34</v>
      </c>
      <c r="D537" s="1734">
        <f>+D538</f>
        <v>13920818</v>
      </c>
      <c r="E537" s="1706">
        <f t="shared" si="311"/>
        <v>951324</v>
      </c>
      <c r="F537" s="1706">
        <f t="shared" si="311"/>
        <v>919494</v>
      </c>
      <c r="G537" s="1706">
        <f t="shared" si="311"/>
        <v>1450000</v>
      </c>
      <c r="H537" s="1425">
        <f t="shared" si="311"/>
        <v>10600000</v>
      </c>
      <c r="I537" s="2632">
        <f>+I538</f>
        <v>2334887.36</v>
      </c>
      <c r="J537" s="1751">
        <f t="shared" si="309"/>
        <v>16.772630458928489</v>
      </c>
      <c r="K537" s="1707">
        <f>+K538</f>
        <v>464069.36</v>
      </c>
      <c r="L537" s="1766">
        <f t="shared" si="300"/>
        <v>32.004783448275859</v>
      </c>
      <c r="M537" s="2129">
        <f t="shared" si="303"/>
        <v>-260930.64</v>
      </c>
      <c r="N537" s="3037"/>
    </row>
    <row r="538" spans="1:14" ht="13.5" thickBot="1" x14ac:dyDescent="0.25">
      <c r="A538" s="3036"/>
      <c r="B538" s="298" t="s">
        <v>5</v>
      </c>
      <c r="C538" s="3040"/>
      <c r="D538" s="1711">
        <f>+E538+F538+G538+H538</f>
        <v>13920818</v>
      </c>
      <c r="E538" s="1712">
        <f>969812-18488</f>
        <v>951324</v>
      </c>
      <c r="F538" s="2167">
        <v>919494</v>
      </c>
      <c r="G538" s="1712">
        <v>1450000</v>
      </c>
      <c r="H538" s="1428">
        <f>2900000+3850000+3850000</f>
        <v>10600000</v>
      </c>
      <c r="I538" s="2633">
        <f>E538+F538+K538</f>
        <v>2334887.36</v>
      </c>
      <c r="J538" s="290">
        <f t="shared" si="309"/>
        <v>16.772630458928489</v>
      </c>
      <c r="K538" s="1712">
        <v>464069.36</v>
      </c>
      <c r="L538" s="1162">
        <f t="shared" si="300"/>
        <v>32.004783448275859</v>
      </c>
      <c r="M538" s="1428">
        <f t="shared" si="303"/>
        <v>-260930.64</v>
      </c>
      <c r="N538" s="3038"/>
    </row>
    <row r="539" spans="1:14" ht="27" customHeight="1" x14ac:dyDescent="0.2">
      <c r="A539" s="3044" t="s">
        <v>53</v>
      </c>
      <c r="B539" s="2316" t="s">
        <v>260</v>
      </c>
      <c r="C539" s="2123" t="s">
        <v>198</v>
      </c>
      <c r="D539" s="278"/>
      <c r="E539" s="276"/>
      <c r="F539" s="276"/>
      <c r="G539" s="276"/>
      <c r="H539" s="277"/>
      <c r="I539" s="278"/>
      <c r="J539" s="276"/>
      <c r="K539" s="276"/>
      <c r="L539" s="305"/>
      <c r="M539" s="277"/>
      <c r="N539" s="3042" t="s">
        <v>101</v>
      </c>
    </row>
    <row r="540" spans="1:14" x14ac:dyDescent="0.2">
      <c r="A540" s="3045"/>
      <c r="B540" s="236" t="s">
        <v>3</v>
      </c>
      <c r="C540" s="237"/>
      <c r="D540" s="2142">
        <f>+D541</f>
        <v>308920000</v>
      </c>
      <c r="E540" s="321">
        <f t="shared" ref="E540:H541" si="312">+E541</f>
        <v>0</v>
      </c>
      <c r="F540" s="321">
        <f t="shared" si="312"/>
        <v>0</v>
      </c>
      <c r="G540" s="320">
        <f t="shared" si="312"/>
        <v>77920000</v>
      </c>
      <c r="H540" s="2120">
        <f t="shared" si="312"/>
        <v>231000000</v>
      </c>
      <c r="I540" s="383">
        <f>+I541</f>
        <v>38795396.25</v>
      </c>
      <c r="J540" s="2588">
        <f t="shared" si="309"/>
        <v>12.558395782079504</v>
      </c>
      <c r="K540" s="320">
        <f>+K541</f>
        <v>38795396.25</v>
      </c>
      <c r="L540" s="838">
        <f t="shared" si="300"/>
        <v>49.788752887577004</v>
      </c>
      <c r="M540" s="2120">
        <f t="shared" si="303"/>
        <v>-164603.75</v>
      </c>
      <c r="N540" s="3037"/>
    </row>
    <row r="541" spans="1:14" x14ac:dyDescent="0.2">
      <c r="A541" s="3045"/>
      <c r="B541" s="301" t="s">
        <v>18</v>
      </c>
      <c r="C541" s="3047" t="s">
        <v>34</v>
      </c>
      <c r="D541" s="1734">
        <f>+D542+D543</f>
        <v>308920000</v>
      </c>
      <c r="E541" s="360">
        <f t="shared" si="312"/>
        <v>0</v>
      </c>
      <c r="F541" s="360">
        <f t="shared" si="312"/>
        <v>0</v>
      </c>
      <c r="G541" s="1707">
        <f>+G542+G543</f>
        <v>77920000</v>
      </c>
      <c r="H541" s="2129">
        <f>+H542+H543</f>
        <v>231000000</v>
      </c>
      <c r="I541" s="2632">
        <f>+I542</f>
        <v>38795396.25</v>
      </c>
      <c r="J541" s="1751">
        <f t="shared" si="309"/>
        <v>12.558395782079504</v>
      </c>
      <c r="K541" s="1707">
        <f>+K542</f>
        <v>38795396.25</v>
      </c>
      <c r="L541" s="1766">
        <f t="shared" si="300"/>
        <v>49.788752887577004</v>
      </c>
      <c r="M541" s="2129">
        <f t="shared" si="303"/>
        <v>-164603.75</v>
      </c>
      <c r="N541" s="3037"/>
    </row>
    <row r="542" spans="1:14" x14ac:dyDescent="0.2">
      <c r="A542" s="3045"/>
      <c r="B542" s="279" t="s">
        <v>5</v>
      </c>
      <c r="C542" s="3048"/>
      <c r="D542" s="1701">
        <f>+E542+F542+G542+H542</f>
        <v>308700000</v>
      </c>
      <c r="E542" s="280">
        <v>0</v>
      </c>
      <c r="F542" s="280">
        <v>0</v>
      </c>
      <c r="G542" s="1702">
        <v>77700000</v>
      </c>
      <c r="H542" s="1424">
        <f>308000000-77000000</f>
        <v>231000000</v>
      </c>
      <c r="I542" s="2634">
        <f>E542+F542+K542</f>
        <v>38795396.25</v>
      </c>
      <c r="J542" s="1291">
        <f t="shared" si="309"/>
        <v>12.567345724003886</v>
      </c>
      <c r="K542" s="1702">
        <v>38795396.25</v>
      </c>
      <c r="L542" s="1749">
        <f t="shared" si="300"/>
        <v>49.929724903474906</v>
      </c>
      <c r="M542" s="1424">
        <f t="shared" si="303"/>
        <v>-54603.75</v>
      </c>
      <c r="N542" s="3037"/>
    </row>
    <row r="543" spans="1:14" x14ac:dyDescent="0.2">
      <c r="A543" s="3045"/>
      <c r="B543" s="2210" t="s">
        <v>59</v>
      </c>
      <c r="C543" s="3049"/>
      <c r="D543" s="2181">
        <f>+E543+F543+G543+H543</f>
        <v>220000</v>
      </c>
      <c r="E543" s="2182"/>
      <c r="F543" s="2182"/>
      <c r="G543" s="2182">
        <v>220000</v>
      </c>
      <c r="H543" s="2635">
        <v>0</v>
      </c>
      <c r="I543" s="2636">
        <f>+K543+F543+E543</f>
        <v>0</v>
      </c>
      <c r="J543" s="1291">
        <f t="shared" si="309"/>
        <v>0</v>
      </c>
      <c r="K543" s="2637">
        <v>0</v>
      </c>
      <c r="L543" s="1749">
        <f t="shared" si="300"/>
        <v>0</v>
      </c>
      <c r="M543" s="2638">
        <f t="shared" si="303"/>
        <v>-110000</v>
      </c>
      <c r="N543" s="3037"/>
    </row>
    <row r="544" spans="1:14" x14ac:dyDescent="0.2">
      <c r="A544" s="3045"/>
      <c r="B544" s="312" t="s">
        <v>17</v>
      </c>
      <c r="C544" s="237"/>
      <c r="D544" s="319">
        <f t="shared" ref="D544:K545" si="313">+D545</f>
        <v>220000</v>
      </c>
      <c r="E544" s="303">
        <f t="shared" si="313"/>
        <v>0</v>
      </c>
      <c r="F544" s="2629">
        <f t="shared" si="313"/>
        <v>0</v>
      </c>
      <c r="G544" s="320">
        <f t="shared" si="313"/>
        <v>220000</v>
      </c>
      <c r="H544" s="306">
        <f t="shared" si="313"/>
        <v>0</v>
      </c>
      <c r="I544" s="2628">
        <f t="shared" si="313"/>
        <v>0</v>
      </c>
      <c r="J544" s="2334">
        <f t="shared" si="309"/>
        <v>0</v>
      </c>
      <c r="K544" s="303">
        <f t="shared" si="313"/>
        <v>0</v>
      </c>
      <c r="L544" s="2335">
        <f t="shared" si="300"/>
        <v>0</v>
      </c>
      <c r="M544" s="2631">
        <f t="shared" si="303"/>
        <v>-110000</v>
      </c>
      <c r="N544" s="3037"/>
    </row>
    <row r="545" spans="1:14" x14ac:dyDescent="0.2">
      <c r="A545" s="3045"/>
      <c r="B545" s="2083" t="s">
        <v>18</v>
      </c>
      <c r="C545" s="3039" t="s">
        <v>39</v>
      </c>
      <c r="D545" s="2622">
        <f t="shared" si="313"/>
        <v>220000</v>
      </c>
      <c r="E545" s="308">
        <f t="shared" si="313"/>
        <v>0</v>
      </c>
      <c r="F545" s="2590">
        <f t="shared" si="313"/>
        <v>0</v>
      </c>
      <c r="G545" s="1707">
        <f t="shared" si="313"/>
        <v>220000</v>
      </c>
      <c r="H545" s="309">
        <f t="shared" si="313"/>
        <v>0</v>
      </c>
      <c r="I545" s="2622">
        <f t="shared" si="313"/>
        <v>0</v>
      </c>
      <c r="J545" s="1256">
        <f t="shared" si="309"/>
        <v>0</v>
      </c>
      <c r="K545" s="308">
        <f t="shared" si="313"/>
        <v>0</v>
      </c>
      <c r="L545" s="1742">
        <f t="shared" si="300"/>
        <v>0</v>
      </c>
      <c r="M545" s="2593">
        <f t="shared" si="303"/>
        <v>-110000</v>
      </c>
      <c r="N545" s="3037"/>
    </row>
    <row r="546" spans="1:14" ht="13.5" thickBot="1" x14ac:dyDescent="0.25">
      <c r="A546" s="3046"/>
      <c r="B546" s="298" t="s">
        <v>59</v>
      </c>
      <c r="C546" s="3043"/>
      <c r="D546" s="1711">
        <f>+E546+F546+G546+H546</f>
        <v>220000</v>
      </c>
      <c r="E546" s="288">
        <v>0</v>
      </c>
      <c r="F546" s="1712"/>
      <c r="G546" s="2188">
        <v>220000</v>
      </c>
      <c r="H546" s="294">
        <v>0</v>
      </c>
      <c r="I546" s="2353">
        <f>+K546+F546+E546</f>
        <v>0</v>
      </c>
      <c r="J546" s="2148">
        <f t="shared" si="309"/>
        <v>0</v>
      </c>
      <c r="K546" s="288">
        <v>0</v>
      </c>
      <c r="L546" s="2341">
        <f t="shared" si="300"/>
        <v>0</v>
      </c>
      <c r="M546" s="2193">
        <f t="shared" si="303"/>
        <v>-110000</v>
      </c>
      <c r="N546" s="3038"/>
    </row>
    <row r="547" spans="1:14" ht="28.5" customHeight="1" x14ac:dyDescent="0.2">
      <c r="A547" s="3041" t="s">
        <v>55</v>
      </c>
      <c r="B547" s="2316" t="s">
        <v>261</v>
      </c>
      <c r="C547" s="2123" t="s">
        <v>198</v>
      </c>
      <c r="D547" s="278"/>
      <c r="E547" s="276"/>
      <c r="F547" s="276"/>
      <c r="G547" s="276"/>
      <c r="H547" s="277"/>
      <c r="I547" s="278"/>
      <c r="J547" s="276"/>
      <c r="K547" s="276"/>
      <c r="L547" s="305"/>
      <c r="M547" s="277"/>
      <c r="N547" s="3042" t="s">
        <v>101</v>
      </c>
    </row>
    <row r="548" spans="1:14" x14ac:dyDescent="0.2">
      <c r="A548" s="3035"/>
      <c r="B548" s="236" t="s">
        <v>3</v>
      </c>
      <c r="C548" s="237"/>
      <c r="D548" s="2142">
        <f>+D549</f>
        <v>1200000</v>
      </c>
      <c r="E548" s="307">
        <f t="shared" ref="E548:H549" si="314">+E549</f>
        <v>0</v>
      </c>
      <c r="F548" s="321">
        <f t="shared" si="314"/>
        <v>0</v>
      </c>
      <c r="G548" s="320">
        <f t="shared" si="314"/>
        <v>600000</v>
      </c>
      <c r="H548" s="2120">
        <f t="shared" si="314"/>
        <v>600000</v>
      </c>
      <c r="I548" s="383">
        <f>+I549</f>
        <v>0</v>
      </c>
      <c r="J548" s="2588">
        <f t="shared" si="309"/>
        <v>0</v>
      </c>
      <c r="K548" s="320">
        <f>+K549</f>
        <v>0</v>
      </c>
      <c r="L548" s="838">
        <f t="shared" si="300"/>
        <v>0</v>
      </c>
      <c r="M548" s="2120">
        <f t="shared" si="303"/>
        <v>-300000</v>
      </c>
      <c r="N548" s="3037"/>
    </row>
    <row r="549" spans="1:14" x14ac:dyDescent="0.2">
      <c r="A549" s="3035"/>
      <c r="B549" s="301" t="s">
        <v>18</v>
      </c>
      <c r="C549" s="3039" t="s">
        <v>34</v>
      </c>
      <c r="D549" s="1734">
        <f>+D550</f>
        <v>1200000</v>
      </c>
      <c r="E549" s="308">
        <f t="shared" si="314"/>
        <v>0</v>
      </c>
      <c r="F549" s="360">
        <f t="shared" si="314"/>
        <v>0</v>
      </c>
      <c r="G549" s="1707">
        <f t="shared" si="314"/>
        <v>600000</v>
      </c>
      <c r="H549" s="2129">
        <f t="shared" si="314"/>
        <v>600000</v>
      </c>
      <c r="I549" s="2632">
        <f>+I550</f>
        <v>0</v>
      </c>
      <c r="J549" s="1751">
        <f t="shared" si="309"/>
        <v>0</v>
      </c>
      <c r="K549" s="1707">
        <f>+K550</f>
        <v>0</v>
      </c>
      <c r="L549" s="1766">
        <f t="shared" si="300"/>
        <v>0</v>
      </c>
      <c r="M549" s="2129">
        <f t="shared" si="303"/>
        <v>-300000</v>
      </c>
      <c r="N549" s="3037"/>
    </row>
    <row r="550" spans="1:14" ht="13.5" thickBot="1" x14ac:dyDescent="0.25">
      <c r="A550" s="3036"/>
      <c r="B550" s="298" t="s">
        <v>5</v>
      </c>
      <c r="C550" s="3040"/>
      <c r="D550" s="1711">
        <f>+E550+F550+G550+H550</f>
        <v>1200000</v>
      </c>
      <c r="E550" s="288">
        <v>0</v>
      </c>
      <c r="F550" s="288">
        <v>0</v>
      </c>
      <c r="G550" s="1712">
        <v>600000</v>
      </c>
      <c r="H550" s="1428">
        <v>600000</v>
      </c>
      <c r="I550" s="2633">
        <f>E550+F550+K550</f>
        <v>0</v>
      </c>
      <c r="J550" s="290">
        <f t="shared" si="309"/>
        <v>0</v>
      </c>
      <c r="K550" s="1712">
        <v>0</v>
      </c>
      <c r="L550" s="1162">
        <f t="shared" si="300"/>
        <v>0</v>
      </c>
      <c r="M550" s="1428">
        <f t="shared" si="303"/>
        <v>-300000</v>
      </c>
      <c r="N550" s="3038"/>
    </row>
    <row r="551" spans="1:14" ht="17.25" customHeight="1" x14ac:dyDescent="0.2">
      <c r="A551" s="3035" t="s">
        <v>57</v>
      </c>
      <c r="B551" s="2149" t="s">
        <v>262</v>
      </c>
      <c r="C551" s="2150" t="s">
        <v>198</v>
      </c>
      <c r="D551" s="2151"/>
      <c r="E551" s="2152"/>
      <c r="F551" s="2152"/>
      <c r="G551" s="2152"/>
      <c r="H551" s="2154"/>
      <c r="I551" s="2151"/>
      <c r="J551" s="2152"/>
      <c r="K551" s="2152"/>
      <c r="L551" s="2153"/>
      <c r="M551" s="2154"/>
      <c r="N551" s="3037" t="s">
        <v>110</v>
      </c>
    </row>
    <row r="552" spans="1:14" x14ac:dyDescent="0.2">
      <c r="A552" s="3035"/>
      <c r="B552" s="236" t="s">
        <v>3</v>
      </c>
      <c r="C552" s="237"/>
      <c r="D552" s="2142">
        <f>+D553</f>
        <v>86158997</v>
      </c>
      <c r="E552" s="2143">
        <f t="shared" ref="E552:H553" si="315">+E553</f>
        <v>13756407</v>
      </c>
      <c r="F552" s="2143">
        <f t="shared" si="315"/>
        <v>10539236</v>
      </c>
      <c r="G552" s="2143">
        <f t="shared" si="315"/>
        <v>19484000</v>
      </c>
      <c r="H552" s="2170">
        <f t="shared" si="315"/>
        <v>42379354</v>
      </c>
      <c r="I552" s="2609">
        <f>+I553</f>
        <v>40778937.630000003</v>
      </c>
      <c r="J552" s="2334">
        <f t="shared" si="309"/>
        <v>47.329865771301868</v>
      </c>
      <c r="K552" s="2143">
        <f>+K553</f>
        <v>16483294.630000001</v>
      </c>
      <c r="L552" s="2335">
        <f t="shared" si="300"/>
        <v>84.599130722644219</v>
      </c>
      <c r="M552" s="2170">
        <f t="shared" si="303"/>
        <v>6741294.6300000008</v>
      </c>
      <c r="N552" s="3037"/>
    </row>
    <row r="553" spans="1:14" x14ac:dyDescent="0.2">
      <c r="A553" s="3035"/>
      <c r="B553" s="301" t="s">
        <v>18</v>
      </c>
      <c r="C553" s="3039" t="s">
        <v>39</v>
      </c>
      <c r="D553" s="1734">
        <f>+D554</f>
        <v>86158997</v>
      </c>
      <c r="E553" s="1706">
        <f t="shared" si="315"/>
        <v>13756407</v>
      </c>
      <c r="F553" s="1706">
        <f t="shared" si="315"/>
        <v>10539236</v>
      </c>
      <c r="G553" s="1706">
        <f t="shared" si="315"/>
        <v>19484000</v>
      </c>
      <c r="H553" s="1425">
        <f t="shared" si="315"/>
        <v>42379354</v>
      </c>
      <c r="I553" s="2342">
        <f>+I554</f>
        <v>40778937.630000003</v>
      </c>
      <c r="J553" s="1256">
        <f t="shared" si="309"/>
        <v>47.329865771301868</v>
      </c>
      <c r="K553" s="1706">
        <f>+K554</f>
        <v>16483294.630000001</v>
      </c>
      <c r="L553" s="1742">
        <f t="shared" si="300"/>
        <v>84.599130722644219</v>
      </c>
      <c r="M553" s="1425">
        <f t="shared" si="303"/>
        <v>6741294.6300000008</v>
      </c>
      <c r="N553" s="3037"/>
    </row>
    <row r="554" spans="1:14" ht="13.5" thickBot="1" x14ac:dyDescent="0.25">
      <c r="A554" s="3036"/>
      <c r="B554" s="298" t="s">
        <v>5</v>
      </c>
      <c r="C554" s="3040"/>
      <c r="D554" s="1711">
        <f>+E554+F554+G554+H554</f>
        <v>86158997</v>
      </c>
      <c r="E554" s="1712">
        <v>13756407</v>
      </c>
      <c r="F554" s="1712">
        <v>10539236</v>
      </c>
      <c r="G554" s="1712">
        <v>19484000</v>
      </c>
      <c r="H554" s="1428">
        <f>13738192+14122861+14518301</f>
        <v>42379354</v>
      </c>
      <c r="I554" s="2639">
        <f>E554+F554+K554</f>
        <v>40778937.630000003</v>
      </c>
      <c r="J554" s="2326">
        <f t="shared" si="309"/>
        <v>47.329865771301868</v>
      </c>
      <c r="K554" s="2167">
        <v>16483294.630000001</v>
      </c>
      <c r="L554" s="2339">
        <f t="shared" si="300"/>
        <v>84.599130722644219</v>
      </c>
      <c r="M554" s="2193">
        <f t="shared" si="303"/>
        <v>6741294.6300000008</v>
      </c>
      <c r="N554" s="3038"/>
    </row>
    <row r="555" spans="1:14" ht="29.25" customHeight="1" x14ac:dyDescent="0.2">
      <c r="A555" s="3041" t="s">
        <v>58</v>
      </c>
      <c r="B555" s="2316" t="s">
        <v>263</v>
      </c>
      <c r="C555" s="2123" t="s">
        <v>198</v>
      </c>
      <c r="D555" s="278"/>
      <c r="E555" s="276"/>
      <c r="F555" s="276"/>
      <c r="G555" s="276"/>
      <c r="H555" s="277"/>
      <c r="I555" s="278"/>
      <c r="J555" s="276"/>
      <c r="K555" s="276"/>
      <c r="L555" s="305"/>
      <c r="M555" s="277"/>
      <c r="N555" s="3042" t="s">
        <v>110</v>
      </c>
    </row>
    <row r="556" spans="1:14" x14ac:dyDescent="0.2">
      <c r="A556" s="3035"/>
      <c r="B556" s="236" t="s">
        <v>3</v>
      </c>
      <c r="C556" s="237"/>
      <c r="D556" s="2142">
        <f>+D557</f>
        <v>5490111</v>
      </c>
      <c r="E556" s="2143">
        <f t="shared" ref="E556:H557" si="316">+E557</f>
        <v>806409</v>
      </c>
      <c r="F556" s="2143">
        <f t="shared" si="316"/>
        <v>831715</v>
      </c>
      <c r="G556" s="2143">
        <f t="shared" si="316"/>
        <v>909066</v>
      </c>
      <c r="H556" s="2170">
        <f t="shared" si="316"/>
        <v>2942921</v>
      </c>
      <c r="I556" s="2609">
        <f>+I557</f>
        <v>2048784.19</v>
      </c>
      <c r="J556" s="2334">
        <f t="shared" si="309"/>
        <v>37.317718894936732</v>
      </c>
      <c r="K556" s="2143">
        <f>+K557</f>
        <v>410660.19</v>
      </c>
      <c r="L556" s="2335">
        <f t="shared" si="300"/>
        <v>45.173858663727387</v>
      </c>
      <c r="M556" s="2170">
        <f t="shared" si="303"/>
        <v>-43872.81</v>
      </c>
      <c r="N556" s="3037"/>
    </row>
    <row r="557" spans="1:14" x14ac:dyDescent="0.2">
      <c r="A557" s="3035"/>
      <c r="B557" s="301" t="s">
        <v>18</v>
      </c>
      <c r="C557" s="3039" t="s">
        <v>39</v>
      </c>
      <c r="D557" s="1734">
        <f>+D558</f>
        <v>5490111</v>
      </c>
      <c r="E557" s="1706">
        <f t="shared" si="316"/>
        <v>806409</v>
      </c>
      <c r="F557" s="1706">
        <f t="shared" si="316"/>
        <v>831715</v>
      </c>
      <c r="G557" s="1706">
        <f t="shared" si="316"/>
        <v>909066</v>
      </c>
      <c r="H557" s="1425">
        <f t="shared" si="316"/>
        <v>2942921</v>
      </c>
      <c r="I557" s="2342">
        <f>+I558</f>
        <v>2048784.19</v>
      </c>
      <c r="J557" s="1256">
        <f t="shared" si="309"/>
        <v>37.317718894936732</v>
      </c>
      <c r="K557" s="1706">
        <f>+K558</f>
        <v>410660.19</v>
      </c>
      <c r="L557" s="1742">
        <f t="shared" si="300"/>
        <v>45.173858663727387</v>
      </c>
      <c r="M557" s="1425">
        <f t="shared" si="303"/>
        <v>-43872.81</v>
      </c>
      <c r="N557" s="3037"/>
    </row>
    <row r="558" spans="1:14" ht="13.5" thickBot="1" x14ac:dyDescent="0.25">
      <c r="A558" s="3036"/>
      <c r="B558" s="298" t="s">
        <v>5</v>
      </c>
      <c r="C558" s="3040"/>
      <c r="D558" s="1711">
        <f>+E558+F558+G558+H558</f>
        <v>5490111</v>
      </c>
      <c r="E558" s="1712">
        <v>806409</v>
      </c>
      <c r="F558" s="1712">
        <v>831715</v>
      </c>
      <c r="G558" s="1712">
        <v>909066</v>
      </c>
      <c r="H558" s="1428">
        <f>933520+980196+1029205</f>
        <v>2942921</v>
      </c>
      <c r="I558" s="2639">
        <f>E558+F558+K558</f>
        <v>2048784.19</v>
      </c>
      <c r="J558" s="2640">
        <f t="shared" si="309"/>
        <v>37.317718894936732</v>
      </c>
      <c r="K558" s="2167">
        <v>410660.19</v>
      </c>
      <c r="L558" s="2641">
        <f t="shared" si="300"/>
        <v>45.173858663727387</v>
      </c>
      <c r="M558" s="2193">
        <f t="shared" si="303"/>
        <v>-43872.81</v>
      </c>
      <c r="N558" s="3038"/>
    </row>
    <row r="559" spans="1:14" ht="29.25" customHeight="1" x14ac:dyDescent="0.2">
      <c r="A559" s="3041">
        <v>15</v>
      </c>
      <c r="B559" s="2316" t="s">
        <v>317</v>
      </c>
      <c r="C559" s="2607" t="s">
        <v>193</v>
      </c>
      <c r="D559" s="278"/>
      <c r="E559" s="276"/>
      <c r="F559" s="276"/>
      <c r="G559" s="276"/>
      <c r="H559" s="277"/>
      <c r="I559" s="278"/>
      <c r="J559" s="276"/>
      <c r="K559" s="276"/>
      <c r="L559" s="305"/>
      <c r="M559" s="277"/>
      <c r="N559" s="3042" t="s">
        <v>110</v>
      </c>
    </row>
    <row r="560" spans="1:14" x14ac:dyDescent="0.2">
      <c r="A560" s="3035"/>
      <c r="B560" s="236" t="s">
        <v>3</v>
      </c>
      <c r="C560" s="237"/>
      <c r="D560" s="2142">
        <f>+D561</f>
        <v>700000</v>
      </c>
      <c r="E560" s="2143">
        <f t="shared" ref="E560:H561" si="317">+E561</f>
        <v>0</v>
      </c>
      <c r="F560" s="2143">
        <f t="shared" si="317"/>
        <v>0</v>
      </c>
      <c r="G560" s="2143">
        <f t="shared" si="317"/>
        <v>250000</v>
      </c>
      <c r="H560" s="2170">
        <f t="shared" si="317"/>
        <v>450000</v>
      </c>
      <c r="I560" s="2609">
        <f>+I561</f>
        <v>0</v>
      </c>
      <c r="J560" s="2334">
        <f t="shared" ref="J560:J562" si="318">I560/D560*100</f>
        <v>0</v>
      </c>
      <c r="K560" s="2143">
        <f>+K561</f>
        <v>0</v>
      </c>
      <c r="L560" s="2335">
        <f t="shared" ref="L560:L562" si="319">K560/G560*100</f>
        <v>0</v>
      </c>
      <c r="M560" s="2170">
        <f t="shared" si="303"/>
        <v>-125000</v>
      </c>
      <c r="N560" s="3037"/>
    </row>
    <row r="561" spans="1:14" x14ac:dyDescent="0.2">
      <c r="A561" s="3035"/>
      <c r="B561" s="301" t="s">
        <v>18</v>
      </c>
      <c r="C561" s="3039" t="s">
        <v>39</v>
      </c>
      <c r="D561" s="1734">
        <f>+D562</f>
        <v>700000</v>
      </c>
      <c r="E561" s="1706">
        <f t="shared" si="317"/>
        <v>0</v>
      </c>
      <c r="F561" s="1706">
        <f t="shared" si="317"/>
        <v>0</v>
      </c>
      <c r="G561" s="1706">
        <f t="shared" si="317"/>
        <v>250000</v>
      </c>
      <c r="H561" s="1425">
        <f t="shared" si="317"/>
        <v>450000</v>
      </c>
      <c r="I561" s="2342">
        <f>+I562</f>
        <v>0</v>
      </c>
      <c r="J561" s="1256">
        <f t="shared" si="318"/>
        <v>0</v>
      </c>
      <c r="K561" s="1706">
        <f>+K562</f>
        <v>0</v>
      </c>
      <c r="L561" s="1742">
        <f t="shared" si="319"/>
        <v>0</v>
      </c>
      <c r="M561" s="1425">
        <f t="shared" si="303"/>
        <v>-125000</v>
      </c>
      <c r="N561" s="3037"/>
    </row>
    <row r="562" spans="1:14" ht="13.5" thickBot="1" x14ac:dyDescent="0.25">
      <c r="A562" s="3036"/>
      <c r="B562" s="298" t="s">
        <v>5</v>
      </c>
      <c r="C562" s="3040"/>
      <c r="D562" s="1711">
        <f>+E562+F562+G562+H562</f>
        <v>700000</v>
      </c>
      <c r="E562" s="1712">
        <v>0</v>
      </c>
      <c r="F562" s="1712">
        <v>0</v>
      </c>
      <c r="G562" s="1712">
        <v>250000</v>
      </c>
      <c r="H562" s="1428">
        <f>150000+150000+150000</f>
        <v>450000</v>
      </c>
      <c r="I562" s="2639">
        <f>E562+F562+K562</f>
        <v>0</v>
      </c>
      <c r="J562" s="2640">
        <f t="shared" si="318"/>
        <v>0</v>
      </c>
      <c r="K562" s="2167">
        <v>0</v>
      </c>
      <c r="L562" s="2641">
        <f t="shared" si="319"/>
        <v>0</v>
      </c>
      <c r="M562" s="2193">
        <f t="shared" si="303"/>
        <v>-125000</v>
      </c>
      <c r="N562" s="3038"/>
    </row>
    <row r="563" spans="1:14" ht="12" customHeight="1" x14ac:dyDescent="0.2"/>
    <row r="564" spans="1:14" s="225" customFormat="1" ht="12" customHeight="1" x14ac:dyDescent="0.2">
      <c r="C564" s="385"/>
      <c r="N564" s="386"/>
    </row>
    <row r="565" spans="1:14" ht="12.75" customHeight="1" x14ac:dyDescent="0.2"/>
    <row r="566" spans="1:14" ht="13.5" customHeight="1" x14ac:dyDescent="0.2"/>
    <row r="567" spans="1:14" ht="12" customHeight="1" x14ac:dyDescent="0.2"/>
    <row r="568" spans="1:14" ht="12" customHeight="1" x14ac:dyDescent="0.2"/>
    <row r="569" spans="1:14" ht="36" customHeight="1" x14ac:dyDescent="0.2"/>
    <row r="570" spans="1:14" ht="13.5" customHeight="1" x14ac:dyDescent="0.2"/>
    <row r="571" spans="1:14" ht="13.5" customHeight="1" x14ac:dyDescent="0.2"/>
    <row r="572" spans="1:14" ht="12.75" customHeight="1" x14ac:dyDescent="0.2"/>
    <row r="573" spans="1:14" ht="11.25" customHeight="1" x14ac:dyDescent="0.2"/>
    <row r="574" spans="1:14" ht="13.5" customHeight="1" x14ac:dyDescent="0.2"/>
    <row r="575" spans="1:14" ht="13.5" customHeight="1" x14ac:dyDescent="0.2"/>
    <row r="576" spans="1:14" ht="12" customHeight="1" x14ac:dyDescent="0.2"/>
    <row r="577" ht="13.5" customHeight="1" x14ac:dyDescent="0.2"/>
  </sheetData>
  <mergeCells count="247">
    <mergeCell ref="A559:A562"/>
    <mergeCell ref="N559:N562"/>
    <mergeCell ref="C561:C562"/>
    <mergeCell ref="M1:N1"/>
    <mergeCell ref="A527:A534"/>
    <mergeCell ref="N527:N531"/>
    <mergeCell ref="C529:C531"/>
    <mergeCell ref="N532:N534"/>
    <mergeCell ref="C533:C534"/>
    <mergeCell ref="A503:A506"/>
    <mergeCell ref="N503:N506"/>
    <mergeCell ref="C505:C506"/>
    <mergeCell ref="A507:A510"/>
    <mergeCell ref="N507:N510"/>
    <mergeCell ref="C509:C510"/>
    <mergeCell ref="N515:N519"/>
    <mergeCell ref="N520:N522"/>
    <mergeCell ref="A523:A526"/>
    <mergeCell ref="N523:N526"/>
    <mergeCell ref="C525:C526"/>
    <mergeCell ref="A511:A514"/>
    <mergeCell ref="N511:N514"/>
    <mergeCell ref="C513:C514"/>
    <mergeCell ref="A515:A522"/>
    <mergeCell ref="C517:C519"/>
    <mergeCell ref="C521:C522"/>
    <mergeCell ref="C488:C490"/>
    <mergeCell ref="A491:A494"/>
    <mergeCell ref="N491:N494"/>
    <mergeCell ref="C493:C494"/>
    <mergeCell ref="A495:A502"/>
    <mergeCell ref="N495:N502"/>
    <mergeCell ref="C497:C499"/>
    <mergeCell ref="C501:C502"/>
    <mergeCell ref="A481:A490"/>
    <mergeCell ref="N481:N490"/>
    <mergeCell ref="C483:C486"/>
    <mergeCell ref="N467:N480"/>
    <mergeCell ref="C471:C475"/>
    <mergeCell ref="C477:C480"/>
    <mergeCell ref="N420:N433"/>
    <mergeCell ref="C422:C427"/>
    <mergeCell ref="C429:C433"/>
    <mergeCell ref="A434:A447"/>
    <mergeCell ref="N434:N447"/>
    <mergeCell ref="C436:C441"/>
    <mergeCell ref="C443:C447"/>
    <mergeCell ref="A457:A465"/>
    <mergeCell ref="N457:N465"/>
    <mergeCell ref="C459:C462"/>
    <mergeCell ref="C464:C465"/>
    <mergeCell ref="A448:A456"/>
    <mergeCell ref="N448:N456"/>
    <mergeCell ref="C450:C453"/>
    <mergeCell ref="C455:C456"/>
    <mergeCell ref="A402:A410"/>
    <mergeCell ref="N402:N410"/>
    <mergeCell ref="C404:C407"/>
    <mergeCell ref="C409:C410"/>
    <mergeCell ref="A411:A419"/>
    <mergeCell ref="D411:H411"/>
    <mergeCell ref="N411:N419"/>
    <mergeCell ref="C413:C416"/>
    <mergeCell ref="C418:C419"/>
    <mergeCell ref="A384:A392"/>
    <mergeCell ref="N384:N392"/>
    <mergeCell ref="C386:C389"/>
    <mergeCell ref="C391:C392"/>
    <mergeCell ref="A393:A401"/>
    <mergeCell ref="N393:N401"/>
    <mergeCell ref="C395:C398"/>
    <mergeCell ref="C400:C401"/>
    <mergeCell ref="A366:A374"/>
    <mergeCell ref="N366:N374"/>
    <mergeCell ref="C368:C371"/>
    <mergeCell ref="C373:C374"/>
    <mergeCell ref="A375:A383"/>
    <mergeCell ref="N375:N383"/>
    <mergeCell ref="C377:C380"/>
    <mergeCell ref="C382:C383"/>
    <mergeCell ref="A347:A358"/>
    <mergeCell ref="N347:N358"/>
    <mergeCell ref="C349:C353"/>
    <mergeCell ref="C355:C358"/>
    <mergeCell ref="A359:A365"/>
    <mergeCell ref="N359:N365"/>
    <mergeCell ref="C361:C362"/>
    <mergeCell ref="C364:C365"/>
    <mergeCell ref="A329:A337"/>
    <mergeCell ref="N329:N337"/>
    <mergeCell ref="C331:C334"/>
    <mergeCell ref="C336:C337"/>
    <mergeCell ref="A338:A346"/>
    <mergeCell ref="N338:N346"/>
    <mergeCell ref="C340:C343"/>
    <mergeCell ref="C345:C346"/>
    <mergeCell ref="A311:A319"/>
    <mergeCell ref="N311:N319"/>
    <mergeCell ref="C313:C316"/>
    <mergeCell ref="C318:C319"/>
    <mergeCell ref="A320:A328"/>
    <mergeCell ref="N320:N328"/>
    <mergeCell ref="C322:C325"/>
    <mergeCell ref="C327:C328"/>
    <mergeCell ref="A293:A301"/>
    <mergeCell ref="N293:N301"/>
    <mergeCell ref="C295:C298"/>
    <mergeCell ref="C300:C301"/>
    <mergeCell ref="A302:A310"/>
    <mergeCell ref="N302:N310"/>
    <mergeCell ref="C304:C307"/>
    <mergeCell ref="C309:C310"/>
    <mergeCell ref="A275:A283"/>
    <mergeCell ref="N275:N283"/>
    <mergeCell ref="C277:C280"/>
    <mergeCell ref="C282:C283"/>
    <mergeCell ref="A284:A292"/>
    <mergeCell ref="N284:N292"/>
    <mergeCell ref="C286:C289"/>
    <mergeCell ref="C291:C292"/>
    <mergeCell ref="A257:A265"/>
    <mergeCell ref="N257:N265"/>
    <mergeCell ref="C259:C262"/>
    <mergeCell ref="C264:C265"/>
    <mergeCell ref="A266:A274"/>
    <mergeCell ref="N266:N274"/>
    <mergeCell ref="C268:C271"/>
    <mergeCell ref="C273:C274"/>
    <mergeCell ref="A236:A244"/>
    <mergeCell ref="N236:N244"/>
    <mergeCell ref="C238:C241"/>
    <mergeCell ref="C243:C244"/>
    <mergeCell ref="A245:A256"/>
    <mergeCell ref="N245:N256"/>
    <mergeCell ref="C247:C251"/>
    <mergeCell ref="C253:C256"/>
    <mergeCell ref="A215:A223"/>
    <mergeCell ref="N215:N223"/>
    <mergeCell ref="C217:C220"/>
    <mergeCell ref="C222:C223"/>
    <mergeCell ref="A224:A235"/>
    <mergeCell ref="N224:N235"/>
    <mergeCell ref="C226:C230"/>
    <mergeCell ref="C232:C235"/>
    <mergeCell ref="A191:A202"/>
    <mergeCell ref="N191:N202"/>
    <mergeCell ref="C193:C197"/>
    <mergeCell ref="C199:C202"/>
    <mergeCell ref="A203:A214"/>
    <mergeCell ref="N203:N214"/>
    <mergeCell ref="C205:C209"/>
    <mergeCell ref="C211:C214"/>
    <mergeCell ref="A173:A181"/>
    <mergeCell ref="N173:N181"/>
    <mergeCell ref="C175:C178"/>
    <mergeCell ref="C180:C181"/>
    <mergeCell ref="A182:A190"/>
    <mergeCell ref="N182:N190"/>
    <mergeCell ref="C184:C187"/>
    <mergeCell ref="C189:C190"/>
    <mergeCell ref="A161:A172"/>
    <mergeCell ref="N161:N172"/>
    <mergeCell ref="C163:C167"/>
    <mergeCell ref="C169:C172"/>
    <mergeCell ref="A126:A139"/>
    <mergeCell ref="N127:N133"/>
    <mergeCell ref="C128:C133"/>
    <mergeCell ref="N134:N139"/>
    <mergeCell ref="C135:C139"/>
    <mergeCell ref="A140:A151"/>
    <mergeCell ref="N141:N146"/>
    <mergeCell ref="C142:C146"/>
    <mergeCell ref="N147:N151"/>
    <mergeCell ref="C148:C151"/>
    <mergeCell ref="A110:A125"/>
    <mergeCell ref="N111:N118"/>
    <mergeCell ref="C112:C118"/>
    <mergeCell ref="N119:N125"/>
    <mergeCell ref="A152:A160"/>
    <mergeCell ref="N152:N160"/>
    <mergeCell ref="C154:C157"/>
    <mergeCell ref="C159:C160"/>
    <mergeCell ref="C120:C125"/>
    <mergeCell ref="A80:A93"/>
    <mergeCell ref="N81:N87"/>
    <mergeCell ref="C82:C87"/>
    <mergeCell ref="N88:N93"/>
    <mergeCell ref="A94:A109"/>
    <mergeCell ref="N95:N102"/>
    <mergeCell ref="C96:C102"/>
    <mergeCell ref="N103:N109"/>
    <mergeCell ref="C107:C109"/>
    <mergeCell ref="C89:C93"/>
    <mergeCell ref="A50:A63"/>
    <mergeCell ref="N51:N57"/>
    <mergeCell ref="C52:C57"/>
    <mergeCell ref="N58:N63"/>
    <mergeCell ref="A64:A79"/>
    <mergeCell ref="N65:N72"/>
    <mergeCell ref="N73:N79"/>
    <mergeCell ref="C74:C79"/>
    <mergeCell ref="C59:C63"/>
    <mergeCell ref="C66:C71"/>
    <mergeCell ref="A14:A33"/>
    <mergeCell ref="N14:N33"/>
    <mergeCell ref="C15:C24"/>
    <mergeCell ref="C26:C33"/>
    <mergeCell ref="A34:A49"/>
    <mergeCell ref="N34:N49"/>
    <mergeCell ref="I7:I9"/>
    <mergeCell ref="K8:K9"/>
    <mergeCell ref="L8:L9"/>
    <mergeCell ref="M8:M9"/>
    <mergeCell ref="D7:D9"/>
    <mergeCell ref="E7:E9"/>
    <mergeCell ref="F7:F9"/>
    <mergeCell ref="G8:G9"/>
    <mergeCell ref="H8:H9"/>
    <mergeCell ref="G7:H7"/>
    <mergeCell ref="C36:C42"/>
    <mergeCell ref="C44:C49"/>
    <mergeCell ref="A10:B10"/>
    <mergeCell ref="A4:N4"/>
    <mergeCell ref="A6:A9"/>
    <mergeCell ref="B6:B9"/>
    <mergeCell ref="C6:C9"/>
    <mergeCell ref="D6:H6"/>
    <mergeCell ref="I6:M6"/>
    <mergeCell ref="N6:N9"/>
    <mergeCell ref="K7:M7"/>
    <mergeCell ref="J7:J9"/>
    <mergeCell ref="A551:A554"/>
    <mergeCell ref="N551:N554"/>
    <mergeCell ref="C553:C554"/>
    <mergeCell ref="A555:A558"/>
    <mergeCell ref="N555:N558"/>
    <mergeCell ref="C557:C558"/>
    <mergeCell ref="A535:A538"/>
    <mergeCell ref="N535:N538"/>
    <mergeCell ref="C537:C538"/>
    <mergeCell ref="A547:A550"/>
    <mergeCell ref="N547:N550"/>
    <mergeCell ref="C549:C550"/>
    <mergeCell ref="C545:C546"/>
    <mergeCell ref="A539:A546"/>
    <mergeCell ref="C541:C543"/>
    <mergeCell ref="N539:N546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16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4" manualBreakCount="14">
    <brk id="49" max="13" man="1"/>
    <brk id="93" max="13" man="1"/>
    <brk id="139" max="13" man="1"/>
    <brk id="181" max="13" man="1"/>
    <brk id="223" max="13" man="1"/>
    <brk id="265" max="13" man="1"/>
    <brk id="301" max="13" man="1"/>
    <brk id="337" max="13" man="1"/>
    <brk id="383" max="13" man="1"/>
    <brk id="433" max="13" man="1"/>
    <brk id="465" max="13" man="1"/>
    <brk id="502" max="13" man="1"/>
    <brk id="538" max="13" man="1"/>
    <brk id="5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H550"/>
  <sheetViews>
    <sheetView showGridLines="0" view="pageBreakPreview" zoomScaleNormal="120" zoomScaleSheetLayoutView="100" workbookViewId="0">
      <pane xSplit="3" ySplit="8" topLeftCell="D9" activePane="bottomRight" state="frozen"/>
      <selection activeCell="A5" sqref="A5:N5"/>
      <selection pane="topRight" activeCell="A5" sqref="A5:N5"/>
      <selection pane="bottomLeft" activeCell="A5" sqref="A5:N5"/>
      <selection pane="bottomRight" activeCell="O2" sqref="O2"/>
    </sheetView>
  </sheetViews>
  <sheetFormatPr defaultRowHeight="12.75" x14ac:dyDescent="0.2"/>
  <cols>
    <col min="1" max="1" width="4" style="196" customWidth="1"/>
    <col min="2" max="2" width="51.28515625" style="196" customWidth="1"/>
    <col min="3" max="3" width="9.42578125" style="197" customWidth="1"/>
    <col min="4" max="4" width="12.28515625" style="196" customWidth="1"/>
    <col min="5" max="5" width="13.42578125" style="196" customWidth="1"/>
    <col min="6" max="7" width="13.28515625" style="196" customWidth="1"/>
    <col min="8" max="8" width="12.7109375" style="196" customWidth="1"/>
    <col min="9" max="9" width="12.85546875" style="196" customWidth="1"/>
    <col min="10" max="10" width="10.5703125" style="196" customWidth="1"/>
    <col min="11" max="11" width="11.42578125" style="196" customWidth="1"/>
    <col min="12" max="12" width="12.28515625" style="196" customWidth="1"/>
    <col min="13" max="13" width="12.7109375" style="196" customWidth="1"/>
    <col min="14" max="14" width="13.85546875" style="197" customWidth="1"/>
    <col min="15" max="16" width="9.140625" style="196"/>
    <col min="17" max="17" width="12.5703125" style="196" customWidth="1"/>
    <col min="18" max="16384" width="9.140625" style="196"/>
  </cols>
  <sheetData>
    <row r="1" spans="1:60" ht="18.75" x14ac:dyDescent="0.3">
      <c r="A1" s="1523"/>
      <c r="I1" s="5"/>
      <c r="J1" s="5"/>
      <c r="K1" s="5"/>
      <c r="M1" s="3029" t="s">
        <v>350</v>
      </c>
      <c r="N1" s="3029"/>
    </row>
    <row r="2" spans="1:60" ht="33" customHeight="1" thickBot="1" x14ac:dyDescent="0.25">
      <c r="A2" s="1523"/>
      <c r="I2" s="128"/>
      <c r="N2" s="123"/>
    </row>
    <row r="3" spans="1:60" ht="46.5" customHeight="1" thickBot="1" x14ac:dyDescent="0.5">
      <c r="A3" s="3203" t="s">
        <v>252</v>
      </c>
      <c r="B3" s="3204"/>
      <c r="C3" s="3204"/>
      <c r="D3" s="3204"/>
      <c r="E3" s="3204"/>
      <c r="F3" s="3204"/>
      <c r="G3" s="3204"/>
      <c r="H3" s="3204"/>
      <c r="I3" s="3204"/>
      <c r="J3" s="3204"/>
      <c r="K3" s="3204"/>
      <c r="L3" s="3204"/>
      <c r="M3" s="3204"/>
      <c r="N3" s="3205"/>
    </row>
    <row r="4" spans="1:60" ht="45.75" customHeight="1" thickBot="1" x14ac:dyDescent="0.25">
      <c r="A4" s="3206" t="s">
        <v>25</v>
      </c>
      <c r="B4" s="3207" t="s">
        <v>26</v>
      </c>
      <c r="C4" s="3208" t="s">
        <v>27</v>
      </c>
      <c r="D4" s="3026" t="s">
        <v>338</v>
      </c>
      <c r="E4" s="3027"/>
      <c r="F4" s="3027"/>
      <c r="G4" s="3027"/>
      <c r="H4" s="3028"/>
      <c r="I4" s="3026" t="s">
        <v>316</v>
      </c>
      <c r="J4" s="3027"/>
      <c r="K4" s="3027"/>
      <c r="L4" s="3027"/>
      <c r="M4" s="3028"/>
      <c r="N4" s="3060" t="s">
        <v>28</v>
      </c>
    </row>
    <row r="5" spans="1:60" ht="26.25" customHeight="1" thickBot="1" x14ac:dyDescent="0.25">
      <c r="A5" s="3206"/>
      <c r="B5" s="3207"/>
      <c r="C5" s="3208"/>
      <c r="D5" s="3011" t="s">
        <v>0</v>
      </c>
      <c r="E5" s="3014" t="s">
        <v>188</v>
      </c>
      <c r="F5" s="3017" t="s">
        <v>332</v>
      </c>
      <c r="G5" s="3020" t="s">
        <v>292</v>
      </c>
      <c r="H5" s="3021"/>
      <c r="I5" s="3002" t="s">
        <v>302</v>
      </c>
      <c r="J5" s="3064" t="s">
        <v>339</v>
      </c>
      <c r="K5" s="2999" t="s">
        <v>321</v>
      </c>
      <c r="L5" s="3000"/>
      <c r="M5" s="3001"/>
      <c r="N5" s="3061"/>
    </row>
    <row r="6" spans="1:60" ht="38.25" customHeight="1" thickBot="1" x14ac:dyDescent="0.25">
      <c r="A6" s="3206"/>
      <c r="B6" s="3207"/>
      <c r="C6" s="3208"/>
      <c r="D6" s="3012"/>
      <c r="E6" s="3015"/>
      <c r="F6" s="3018"/>
      <c r="G6" s="3022" t="s">
        <v>301</v>
      </c>
      <c r="H6" s="3024" t="s">
        <v>251</v>
      </c>
      <c r="I6" s="3003"/>
      <c r="J6" s="3065"/>
      <c r="K6" s="3007" t="s">
        <v>304</v>
      </c>
      <c r="L6" s="3084" t="s">
        <v>340</v>
      </c>
      <c r="M6" s="3086" t="s">
        <v>341</v>
      </c>
      <c r="N6" s="3062"/>
    </row>
    <row r="7" spans="1:60" ht="56.25" customHeight="1" thickBot="1" x14ac:dyDescent="0.25">
      <c r="A7" s="3206"/>
      <c r="B7" s="3207"/>
      <c r="C7" s="3208"/>
      <c r="D7" s="3013"/>
      <c r="E7" s="3016"/>
      <c r="F7" s="3019"/>
      <c r="G7" s="3023"/>
      <c r="H7" s="3025"/>
      <c r="I7" s="3004"/>
      <c r="J7" s="3066"/>
      <c r="K7" s="3008"/>
      <c r="L7" s="3085"/>
      <c r="M7" s="3087"/>
      <c r="N7" s="3063"/>
    </row>
    <row r="8" spans="1:60" s="203" customFormat="1" ht="13.5" customHeight="1" thickBot="1" x14ac:dyDescent="0.25">
      <c r="A8" s="3090">
        <v>1</v>
      </c>
      <c r="B8" s="3091"/>
      <c r="C8" s="135">
        <v>2</v>
      </c>
      <c r="D8" s="202">
        <v>3</v>
      </c>
      <c r="E8" s="134">
        <v>4</v>
      </c>
      <c r="F8" s="134">
        <v>5</v>
      </c>
      <c r="G8" s="134">
        <v>6</v>
      </c>
      <c r="H8" s="135">
        <v>7</v>
      </c>
      <c r="I8" s="202">
        <v>8</v>
      </c>
      <c r="J8" s="134">
        <v>9</v>
      </c>
      <c r="K8" s="134">
        <v>10</v>
      </c>
      <c r="L8" s="389">
        <v>11</v>
      </c>
      <c r="M8" s="135">
        <v>12</v>
      </c>
      <c r="N8" s="898">
        <v>13</v>
      </c>
    </row>
    <row r="9" spans="1:60" s="145" customFormat="1" ht="18" customHeight="1" thickBot="1" x14ac:dyDescent="0.25">
      <c r="A9" s="138"/>
      <c r="B9" s="139" t="s">
        <v>189</v>
      </c>
      <c r="C9" s="204"/>
      <c r="D9" s="20">
        <f t="shared" ref="D9:I9" si="0">D10+D11</f>
        <v>123502562.40000001</v>
      </c>
      <c r="E9" s="19">
        <f t="shared" si="0"/>
        <v>52453589</v>
      </c>
      <c r="F9" s="871">
        <f t="shared" si="0"/>
        <v>20622895.399999999</v>
      </c>
      <c r="G9" s="19">
        <f t="shared" si="0"/>
        <v>21302828</v>
      </c>
      <c r="H9" s="19">
        <f t="shared" si="0"/>
        <v>29123250</v>
      </c>
      <c r="I9" s="20">
        <f t="shared" si="0"/>
        <v>81525721.579999998</v>
      </c>
      <c r="J9" s="94">
        <f t="shared" ref="J9:J15" si="1">I9/D9*100</f>
        <v>66.011360408826619</v>
      </c>
      <c r="K9" s="21">
        <f>K10+K11</f>
        <v>8449236.1799999997</v>
      </c>
      <c r="L9" s="94">
        <f>K9/G9*100</f>
        <v>39.662509503433064</v>
      </c>
      <c r="M9" s="22">
        <f t="shared" ref="M9:M22" si="2">+K9-G9*0.5</f>
        <v>-2202177.8200000003</v>
      </c>
      <c r="N9" s="143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</row>
    <row r="10" spans="1:60" s="212" customFormat="1" ht="14.25" customHeight="1" thickTop="1" x14ac:dyDescent="0.2">
      <c r="A10" s="206"/>
      <c r="B10" s="207" t="s">
        <v>190</v>
      </c>
      <c r="C10" s="208"/>
      <c r="D10" s="28">
        <f>D31+D38+D49+D61+D73+D85+D96+D108+D132+D144+D168+D180+D192+D120</f>
        <v>123323056.40000001</v>
      </c>
      <c r="E10" s="28">
        <f t="shared" ref="E10:K10" si="3">E31+E38+E49+E61+E73+E85+E96+E108+E132+E144+E168+E180+E192+E120</f>
        <v>52327024</v>
      </c>
      <c r="F10" s="28">
        <f t="shared" si="3"/>
        <v>20622895.399999999</v>
      </c>
      <c r="G10" s="28">
        <f t="shared" si="3"/>
        <v>21249887</v>
      </c>
      <c r="H10" s="28">
        <f t="shared" si="3"/>
        <v>29123250</v>
      </c>
      <c r="I10" s="28">
        <f t="shared" si="3"/>
        <v>81399156.579999998</v>
      </c>
      <c r="J10" s="95">
        <f t="shared" si="1"/>
        <v>66.004816095362344</v>
      </c>
      <c r="K10" s="28">
        <f t="shared" si="3"/>
        <v>8449236.1799999997</v>
      </c>
      <c r="L10" s="95">
        <f>K10/G10*100</f>
        <v>39.761322871975743</v>
      </c>
      <c r="M10" s="30">
        <f t="shared" si="2"/>
        <v>-2175707.3200000003</v>
      </c>
      <c r="N10" s="39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</row>
    <row r="11" spans="1:60" s="145" customFormat="1" ht="14.25" customHeight="1" thickBot="1" x14ac:dyDescent="0.25">
      <c r="A11" s="146"/>
      <c r="B11" s="213" t="s">
        <v>191</v>
      </c>
      <c r="C11" s="214"/>
      <c r="D11" s="156">
        <f t="shared" ref="D11:I11" si="4">D156</f>
        <v>179506</v>
      </c>
      <c r="E11" s="155">
        <f t="shared" si="4"/>
        <v>126565</v>
      </c>
      <c r="F11" s="872">
        <f t="shared" si="4"/>
        <v>0</v>
      </c>
      <c r="G11" s="155">
        <f t="shared" si="4"/>
        <v>52941</v>
      </c>
      <c r="H11" s="155">
        <f t="shared" si="4"/>
        <v>0</v>
      </c>
      <c r="I11" s="216">
        <f t="shared" si="4"/>
        <v>126565</v>
      </c>
      <c r="J11" s="99">
        <f t="shared" si="1"/>
        <v>70.507392510556755</v>
      </c>
      <c r="K11" s="154">
        <f t="shared" ref="K11" si="5">K156</f>
        <v>0</v>
      </c>
      <c r="L11" s="99">
        <f>K11/G11*100</f>
        <v>0</v>
      </c>
      <c r="M11" s="2115">
        <f t="shared" si="2"/>
        <v>-26470.5</v>
      </c>
      <c r="N11" s="143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</row>
    <row r="12" spans="1:60" ht="15" customHeight="1" x14ac:dyDescent="0.2">
      <c r="A12" s="3211"/>
      <c r="B12" s="217" t="s">
        <v>3</v>
      </c>
      <c r="C12" s="218"/>
      <c r="D12" s="391">
        <f t="shared" ref="D12" si="6">D13+D16</f>
        <v>123502562.40000001</v>
      </c>
      <c r="E12" s="392">
        <f>E13+E16</f>
        <v>52453589</v>
      </c>
      <c r="F12" s="392">
        <f>F13+F16</f>
        <v>20622895.399999999</v>
      </c>
      <c r="G12" s="392">
        <f>G13+G16</f>
        <v>21302828</v>
      </c>
      <c r="H12" s="818">
        <f>H13+H16</f>
        <v>29123250</v>
      </c>
      <c r="I12" s="391">
        <f>I13+I16</f>
        <v>81525721.579999998</v>
      </c>
      <c r="J12" s="220">
        <f t="shared" si="1"/>
        <v>66.011360408826619</v>
      </c>
      <c r="K12" s="392">
        <f>K13+K16</f>
        <v>8449237.1799999997</v>
      </c>
      <c r="L12" s="220">
        <f>K12/G12*100</f>
        <v>39.662514197645493</v>
      </c>
      <c r="M12" s="393">
        <f t="shared" si="2"/>
        <v>-2202176.8200000003</v>
      </c>
      <c r="N12" s="3214"/>
    </row>
    <row r="13" spans="1:60" s="225" customFormat="1" ht="15" customHeight="1" x14ac:dyDescent="0.2">
      <c r="A13" s="3212"/>
      <c r="B13" s="394" t="s">
        <v>18</v>
      </c>
      <c r="C13" s="3217"/>
      <c r="D13" s="395">
        <f t="shared" ref="D13" si="7">D14+D15</f>
        <v>16109154.460000001</v>
      </c>
      <c r="E13" s="396">
        <f>E14+E15</f>
        <v>7453604</v>
      </c>
      <c r="F13" s="396">
        <f>F14+F15</f>
        <v>2438543.46</v>
      </c>
      <c r="G13" s="396">
        <f>G14+G15</f>
        <v>2728378</v>
      </c>
      <c r="H13" s="822">
        <f>H14+H15</f>
        <v>3488629</v>
      </c>
      <c r="I13" s="395">
        <f>I14+I15</f>
        <v>11061415.199999999</v>
      </c>
      <c r="J13" s="224">
        <f t="shared" si="1"/>
        <v>68.665399090102213</v>
      </c>
      <c r="K13" s="396">
        <f>K14+K15</f>
        <v>1169267.74</v>
      </c>
      <c r="L13" s="224">
        <f t="shared" ref="L13:L22" si="8">K13/G13*100</f>
        <v>42.855782446567154</v>
      </c>
      <c r="M13" s="397">
        <f t="shared" si="2"/>
        <v>-194921.26</v>
      </c>
      <c r="N13" s="3215"/>
    </row>
    <row r="14" spans="1:60" ht="15" customHeight="1" x14ac:dyDescent="0.2">
      <c r="A14" s="3212"/>
      <c r="B14" s="230" t="s">
        <v>5</v>
      </c>
      <c r="C14" s="3218"/>
      <c r="D14" s="398">
        <f>D75+D158+D98+D110+D146+D63+D122</f>
        <v>10469350</v>
      </c>
      <c r="E14" s="400">
        <f t="shared" ref="E14:H14" si="9">E75+E158+E98+E110+E146+E63+E122</f>
        <v>4661259</v>
      </c>
      <c r="F14" s="400">
        <f t="shared" si="9"/>
        <v>1410482</v>
      </c>
      <c r="G14" s="400">
        <f t="shared" si="9"/>
        <v>1667740</v>
      </c>
      <c r="H14" s="1072">
        <f t="shared" si="9"/>
        <v>2729869</v>
      </c>
      <c r="I14" s="398">
        <f>I75+I158+I98+I110+I146+I63+I122</f>
        <v>6837950</v>
      </c>
      <c r="J14" s="228">
        <f t="shared" si="1"/>
        <v>65.31398797442057</v>
      </c>
      <c r="K14" s="399">
        <f>K75+K158+K98+K110+K146+K63+K122</f>
        <v>766209</v>
      </c>
      <c r="L14" s="228">
        <f t="shared" si="8"/>
        <v>45.942952738436446</v>
      </c>
      <c r="M14" s="2116">
        <f t="shared" si="2"/>
        <v>-67661</v>
      </c>
      <c r="N14" s="3215"/>
    </row>
    <row r="15" spans="1:60" ht="15" customHeight="1" x14ac:dyDescent="0.2">
      <c r="A15" s="3212"/>
      <c r="B15" s="235" t="s">
        <v>8</v>
      </c>
      <c r="C15" s="3218"/>
      <c r="D15" s="401">
        <f>D52+D76+D87+D159+D99+D111+D40+D135+D147+D171+D64+D123</f>
        <v>5639804.46</v>
      </c>
      <c r="E15" s="671">
        <f t="shared" ref="E15:H15" si="10">E52+E76+E87+E159+E99+E111+E40+E135+E147+E171+E64+E123</f>
        <v>2792345</v>
      </c>
      <c r="F15" s="671">
        <f t="shared" si="10"/>
        <v>1028061.46</v>
      </c>
      <c r="G15" s="671">
        <f t="shared" si="10"/>
        <v>1060638</v>
      </c>
      <c r="H15" s="825">
        <f t="shared" si="10"/>
        <v>758760</v>
      </c>
      <c r="I15" s="401">
        <f>I52+I76+I87+I159+I99+I111+I40+I135+I147+I171+I64+I123</f>
        <v>4223465.2</v>
      </c>
      <c r="J15" s="228">
        <f t="shared" si="1"/>
        <v>74.886731090673322</v>
      </c>
      <c r="K15" s="402">
        <f>K52+K76+K87+K159+K99+K111+K40+K135+K147+K171+K64+K123</f>
        <v>403058.74</v>
      </c>
      <c r="L15" s="228">
        <f t="shared" si="8"/>
        <v>38.001536810862895</v>
      </c>
      <c r="M15" s="403">
        <f t="shared" si="2"/>
        <v>-127260.26000000001</v>
      </c>
      <c r="N15" s="3215"/>
    </row>
    <row r="16" spans="1:60" s="225" customFormat="1" ht="15" customHeight="1" x14ac:dyDescent="0.2">
      <c r="A16" s="3212"/>
      <c r="B16" s="222" t="s">
        <v>13</v>
      </c>
      <c r="C16" s="3218"/>
      <c r="D16" s="395">
        <f t="shared" ref="D16:K16" si="11">D17</f>
        <v>107393407.94</v>
      </c>
      <c r="E16" s="396">
        <f t="shared" si="11"/>
        <v>44999985</v>
      </c>
      <c r="F16" s="396">
        <f t="shared" si="11"/>
        <v>18184351.939999998</v>
      </c>
      <c r="G16" s="396">
        <f t="shared" si="11"/>
        <v>18574450</v>
      </c>
      <c r="H16" s="822">
        <f t="shared" si="11"/>
        <v>25634621</v>
      </c>
      <c r="I16" s="395">
        <f t="shared" si="11"/>
        <v>70464306.379999995</v>
      </c>
      <c r="J16" s="2117">
        <f t="shared" ref="J16:J22" si="12">I16/D16*100</f>
        <v>65.613251065994618</v>
      </c>
      <c r="K16" s="396">
        <f t="shared" si="11"/>
        <v>7279969.4400000004</v>
      </c>
      <c r="L16" s="2117">
        <f t="shared" si="8"/>
        <v>39.193458971867273</v>
      </c>
      <c r="M16" s="397">
        <f t="shared" si="2"/>
        <v>-2007255.5599999996</v>
      </c>
      <c r="N16" s="3215"/>
    </row>
    <row r="17" spans="1:14" ht="15" customHeight="1" x14ac:dyDescent="0.2">
      <c r="A17" s="3212"/>
      <c r="B17" s="230" t="s">
        <v>15</v>
      </c>
      <c r="C17" s="3219"/>
      <c r="D17" s="404">
        <f>D26+D54+D78+D89+D161+D101+D113+D42+D137+D149+D173+D33+D66+D185+D197+D125</f>
        <v>107393407.94</v>
      </c>
      <c r="E17" s="405">
        <f>E26+E54+E78+E89+E161+E101+E113+E42+E137+E149+E173+E33+E66+E185+E197+E125</f>
        <v>44999985</v>
      </c>
      <c r="F17" s="405">
        <f t="shared" ref="F17:I17" si="13">F26+F54+F78+F89+F161+F101+F113+F42+F137+F149+F173+F33+F66+F185+F197+F125</f>
        <v>18184351.939999998</v>
      </c>
      <c r="G17" s="405">
        <f t="shared" si="13"/>
        <v>18574450</v>
      </c>
      <c r="H17" s="832">
        <f t="shared" si="13"/>
        <v>25634621</v>
      </c>
      <c r="I17" s="404">
        <f t="shared" si="13"/>
        <v>70464306.379999995</v>
      </c>
      <c r="J17" s="2118">
        <f t="shared" si="12"/>
        <v>65.613251065994618</v>
      </c>
      <c r="K17" s="405">
        <f>K26+K54+K78+K89+K161+K101+K113+K42+K137+K149+K173+K33+K66+K185+K197+K125</f>
        <v>7279969.4400000004</v>
      </c>
      <c r="L17" s="2118">
        <f t="shared" si="8"/>
        <v>39.193458971867273</v>
      </c>
      <c r="M17" s="833">
        <f t="shared" si="2"/>
        <v>-2007255.5599999996</v>
      </c>
      <c r="N17" s="3215"/>
    </row>
    <row r="18" spans="1:14" ht="15" customHeight="1" x14ac:dyDescent="0.2">
      <c r="A18" s="3212"/>
      <c r="B18" s="236" t="s">
        <v>17</v>
      </c>
      <c r="C18" s="237"/>
      <c r="D18" s="319">
        <f t="shared" ref="D18" si="14">D19+D21</f>
        <v>113033212</v>
      </c>
      <c r="E18" s="407">
        <f>E19+E21</f>
        <v>48120424</v>
      </c>
      <c r="F18" s="407">
        <f>F19+F21</f>
        <v>19501954</v>
      </c>
      <c r="G18" s="407">
        <f>G19+G21</f>
        <v>18775077</v>
      </c>
      <c r="H18" s="1073">
        <f>H19+H21</f>
        <v>26635757</v>
      </c>
      <c r="I18" s="319">
        <f>I19+I21</f>
        <v>75741980</v>
      </c>
      <c r="J18" s="2119">
        <f t="shared" si="12"/>
        <v>67.008606284673206</v>
      </c>
      <c r="K18" s="320">
        <f>K19+K21</f>
        <v>8119602</v>
      </c>
      <c r="L18" s="2119">
        <f t="shared" si="8"/>
        <v>43.246704128031006</v>
      </c>
      <c r="M18" s="2120">
        <f t="shared" si="2"/>
        <v>-1267936.5</v>
      </c>
      <c r="N18" s="3215"/>
    </row>
    <row r="19" spans="1:14" ht="15" customHeight="1" x14ac:dyDescent="0.2">
      <c r="A19" s="3212"/>
      <c r="B19" s="239" t="s">
        <v>18</v>
      </c>
      <c r="C19" s="3220"/>
      <c r="D19" s="408">
        <f t="shared" ref="D19:K19" si="15">D20</f>
        <v>5639804</v>
      </c>
      <c r="E19" s="409">
        <f t="shared" si="15"/>
        <v>2791995</v>
      </c>
      <c r="F19" s="409">
        <f t="shared" si="15"/>
        <v>1028061</v>
      </c>
      <c r="G19" s="409">
        <f t="shared" si="15"/>
        <v>1060638</v>
      </c>
      <c r="H19" s="1074">
        <f t="shared" si="15"/>
        <v>759110</v>
      </c>
      <c r="I19" s="408">
        <f t="shared" si="15"/>
        <v>4377992.9000000004</v>
      </c>
      <c r="J19" s="2117">
        <f t="shared" si="12"/>
        <v>77.626685253601011</v>
      </c>
      <c r="K19" s="410">
        <f t="shared" si="15"/>
        <v>557936.9</v>
      </c>
      <c r="L19" s="2117">
        <f t="shared" si="8"/>
        <v>52.603895014133009</v>
      </c>
      <c r="M19" s="841">
        <f t="shared" si="2"/>
        <v>27617.900000000023</v>
      </c>
      <c r="N19" s="3215"/>
    </row>
    <row r="20" spans="1:14" ht="15" customHeight="1" x14ac:dyDescent="0.2">
      <c r="A20" s="3212"/>
      <c r="B20" s="235" t="s">
        <v>8</v>
      </c>
      <c r="C20" s="3221"/>
      <c r="D20" s="404">
        <f>D57+D81+D92+D164+D104+D116+D45+D140+D152+D176+D69+D128</f>
        <v>5639804</v>
      </c>
      <c r="E20" s="405">
        <f>E57+E81+E92+E164+E104+E116+E45+E140+E152+E176+E69+E128</f>
        <v>2791995</v>
      </c>
      <c r="F20" s="405">
        <f t="shared" ref="F20:I20" si="16">F57+F81+F92+F164+F104+F116+F45+F140+F152+F176+F69+F128</f>
        <v>1028061</v>
      </c>
      <c r="G20" s="405">
        <f t="shared" si="16"/>
        <v>1060638</v>
      </c>
      <c r="H20" s="832">
        <f t="shared" si="16"/>
        <v>759110</v>
      </c>
      <c r="I20" s="404">
        <f t="shared" si="16"/>
        <v>4377992.9000000004</v>
      </c>
      <c r="J20" s="2118">
        <f t="shared" si="12"/>
        <v>77.626685253601011</v>
      </c>
      <c r="K20" s="406">
        <f>K57+K81+K92+K164+K104+K116+K45+K140+K152+K176+K69+K128</f>
        <v>557936.9</v>
      </c>
      <c r="L20" s="2118">
        <f t="shared" si="8"/>
        <v>52.603895014133009</v>
      </c>
      <c r="M20" s="833">
        <f t="shared" si="2"/>
        <v>27617.900000000023</v>
      </c>
      <c r="N20" s="3215"/>
    </row>
    <row r="21" spans="1:14" ht="15" customHeight="1" x14ac:dyDescent="0.2">
      <c r="A21" s="3212"/>
      <c r="B21" s="249" t="s">
        <v>13</v>
      </c>
      <c r="C21" s="3221"/>
      <c r="D21" s="408">
        <f t="shared" ref="D21:K21" si="17">D22</f>
        <v>107393408</v>
      </c>
      <c r="E21" s="409">
        <f t="shared" si="17"/>
        <v>45328429</v>
      </c>
      <c r="F21" s="409">
        <f t="shared" si="17"/>
        <v>18473893</v>
      </c>
      <c r="G21" s="409">
        <f t="shared" si="17"/>
        <v>17714439</v>
      </c>
      <c r="H21" s="1074">
        <f t="shared" si="17"/>
        <v>25876647</v>
      </c>
      <c r="I21" s="408">
        <f t="shared" si="17"/>
        <v>71363987.099999994</v>
      </c>
      <c r="J21" s="2117">
        <f t="shared" si="12"/>
        <v>66.450993993970272</v>
      </c>
      <c r="K21" s="410">
        <f t="shared" si="17"/>
        <v>7561665.0999999996</v>
      </c>
      <c r="L21" s="2117">
        <f t="shared" si="8"/>
        <v>42.686449737414769</v>
      </c>
      <c r="M21" s="841">
        <f t="shared" si="2"/>
        <v>-1295554.4000000004</v>
      </c>
      <c r="N21" s="3215"/>
    </row>
    <row r="22" spans="1:14" ht="15" customHeight="1" thickBot="1" x14ac:dyDescent="0.25">
      <c r="A22" s="3213"/>
      <c r="B22" s="250" t="s">
        <v>15</v>
      </c>
      <c r="C22" s="3222"/>
      <c r="D22" s="411">
        <f>D29+D59+D83+D94+D166+D106+D118+D47+D142+D154+D178+D36+D71+D190+D202+D130</f>
        <v>107393408</v>
      </c>
      <c r="E22" s="412">
        <f>E29+E59+E83+E94+E166+E106+E118+E47+E142+E154+E178+E36+E71+E190+E202+E130</f>
        <v>45328429</v>
      </c>
      <c r="F22" s="412">
        <f t="shared" ref="F22:I22" si="18">F29+F59+F83+F94+F166+F106+F118+F47+F142+F154+F178+F36+F71+F190+F202+F130</f>
        <v>18473893</v>
      </c>
      <c r="G22" s="412">
        <f t="shared" si="18"/>
        <v>17714439</v>
      </c>
      <c r="H22" s="844">
        <f t="shared" si="18"/>
        <v>25876647</v>
      </c>
      <c r="I22" s="411">
        <f t="shared" si="18"/>
        <v>71363987.099999994</v>
      </c>
      <c r="J22" s="2121">
        <f t="shared" si="12"/>
        <v>66.450993993970272</v>
      </c>
      <c r="K22" s="412">
        <f>K29+K59+K83+K94+K166+K106+K118+K47+K142+K154+K178+K36+K71+K190+K202+K130</f>
        <v>7561665.0999999996</v>
      </c>
      <c r="L22" s="2121">
        <f t="shared" si="8"/>
        <v>42.686449737414769</v>
      </c>
      <c r="M22" s="1692">
        <f t="shared" si="2"/>
        <v>-1295554.4000000004</v>
      </c>
      <c r="N22" s="3216"/>
    </row>
    <row r="23" spans="1:14" ht="48.75" hidden="1" customHeight="1" x14ac:dyDescent="0.25">
      <c r="A23" s="3179" t="s">
        <v>33</v>
      </c>
      <c r="B23" s="413" t="s">
        <v>117</v>
      </c>
      <c r="C23" s="414"/>
      <c r="D23" s="3154" t="s">
        <v>118</v>
      </c>
      <c r="E23" s="3155"/>
      <c r="F23" s="3155"/>
      <c r="G23" s="3155"/>
      <c r="H23" s="3223"/>
      <c r="I23" s="347"/>
      <c r="J23" s="346" t="e">
        <f>I23/#REF!*100</f>
        <v>#REF!</v>
      </c>
      <c r="K23" s="346"/>
      <c r="L23" s="346" t="e">
        <f>K23/#REF!*100</f>
        <v>#REF!</v>
      </c>
      <c r="M23" s="393">
        <f t="shared" ref="M23:M75" si="19">+K23-G23*0.25</f>
        <v>0</v>
      </c>
      <c r="N23" s="3224" t="s">
        <v>119</v>
      </c>
    </row>
    <row r="24" spans="1:14" ht="13.5" hidden="1" customHeight="1" x14ac:dyDescent="0.25">
      <c r="A24" s="3093"/>
      <c r="B24" s="236" t="s">
        <v>3</v>
      </c>
      <c r="C24" s="237"/>
      <c r="D24" s="315">
        <v>0</v>
      </c>
      <c r="E24" s="303">
        <v>0</v>
      </c>
      <c r="F24" s="303">
        <v>0</v>
      </c>
      <c r="G24" s="303">
        <v>0</v>
      </c>
      <c r="H24" s="1075">
        <v>0</v>
      </c>
      <c r="I24" s="315">
        <v>0</v>
      </c>
      <c r="J24" s="321" t="e">
        <f>I24/#REF!*100</f>
        <v>#REF!</v>
      </c>
      <c r="K24" s="303">
        <v>0</v>
      </c>
      <c r="L24" s="321" t="e">
        <f>K24/#REF!*100</f>
        <v>#REF!</v>
      </c>
      <c r="M24" s="393">
        <f t="shared" si="19"/>
        <v>0</v>
      </c>
      <c r="N24" s="3225"/>
    </row>
    <row r="25" spans="1:14" ht="11.25" hidden="1" customHeight="1" x14ac:dyDescent="0.25">
      <c r="A25" s="3093"/>
      <c r="B25" s="281" t="s">
        <v>13</v>
      </c>
      <c r="C25" s="3209" t="s">
        <v>120</v>
      </c>
      <c r="D25" s="313">
        <v>0</v>
      </c>
      <c r="E25" s="284">
        <v>0</v>
      </c>
      <c r="F25" s="308">
        <v>0</v>
      </c>
      <c r="G25" s="308">
        <v>0</v>
      </c>
      <c r="H25" s="1076">
        <v>0</v>
      </c>
      <c r="I25" s="778">
        <v>0</v>
      </c>
      <c r="J25" s="308" t="e">
        <f>I25/#REF!*100</f>
        <v>#REF!</v>
      </c>
      <c r="K25" s="308">
        <v>0</v>
      </c>
      <c r="L25" s="308" t="e">
        <f>K25/#REF!*100</f>
        <v>#REF!</v>
      </c>
      <c r="M25" s="393">
        <f t="shared" si="19"/>
        <v>0</v>
      </c>
      <c r="N25" s="3225"/>
    </row>
    <row r="26" spans="1:14" ht="13.5" hidden="1" customHeight="1" x14ac:dyDescent="0.25">
      <c r="A26" s="3093"/>
      <c r="B26" s="279" t="s">
        <v>15</v>
      </c>
      <c r="C26" s="3209"/>
      <c r="D26" s="286">
        <v>0</v>
      </c>
      <c r="E26" s="280">
        <v>0</v>
      </c>
      <c r="F26" s="280">
        <v>0</v>
      </c>
      <c r="G26" s="280">
        <v>0</v>
      </c>
      <c r="H26" s="1077">
        <v>0</v>
      </c>
      <c r="I26" s="1081">
        <v>0</v>
      </c>
      <c r="J26" s="415" t="e">
        <f>I26/#REF!*100</f>
        <v>#REF!</v>
      </c>
      <c r="K26" s="280">
        <v>0</v>
      </c>
      <c r="L26" s="415" t="e">
        <f>K26/#REF!*100</f>
        <v>#REF!</v>
      </c>
      <c r="M26" s="393">
        <f t="shared" si="19"/>
        <v>0</v>
      </c>
      <c r="N26" s="3225"/>
    </row>
    <row r="27" spans="1:14" ht="13.5" hidden="1" customHeight="1" x14ac:dyDescent="0.25">
      <c r="A27" s="3104"/>
      <c r="B27" s="236" t="s">
        <v>17</v>
      </c>
      <c r="C27" s="237"/>
      <c r="D27" s="315">
        <v>0</v>
      </c>
      <c r="E27" s="303">
        <v>0</v>
      </c>
      <c r="F27" s="303">
        <v>0</v>
      </c>
      <c r="G27" s="303">
        <v>0</v>
      </c>
      <c r="H27" s="1075">
        <v>0</v>
      </c>
      <c r="I27" s="315">
        <v>0</v>
      </c>
      <c r="J27" s="321" t="e">
        <f>I27/#REF!*100</f>
        <v>#REF!</v>
      </c>
      <c r="K27" s="303">
        <v>0</v>
      </c>
      <c r="L27" s="321" t="e">
        <f>K27/#REF!*100</f>
        <v>#REF!</v>
      </c>
      <c r="M27" s="393">
        <f t="shared" si="19"/>
        <v>0</v>
      </c>
      <c r="N27" s="3226"/>
    </row>
    <row r="28" spans="1:14" ht="12" hidden="1" customHeight="1" x14ac:dyDescent="0.25">
      <c r="A28" s="3104"/>
      <c r="B28" s="281" t="s">
        <v>13</v>
      </c>
      <c r="C28" s="3228" t="s">
        <v>121</v>
      </c>
      <c r="D28" s="313">
        <v>0</v>
      </c>
      <c r="E28" s="284">
        <v>0</v>
      </c>
      <c r="F28" s="284">
        <v>0</v>
      </c>
      <c r="G28" s="284">
        <v>0</v>
      </c>
      <c r="H28" s="1078">
        <v>0</v>
      </c>
      <c r="I28" s="313">
        <v>0</v>
      </c>
      <c r="J28" s="308" t="e">
        <f>I28/#REF!*100</f>
        <v>#REF!</v>
      </c>
      <c r="K28" s="284">
        <v>0</v>
      </c>
      <c r="L28" s="308" t="e">
        <f>K28/#REF!*100</f>
        <v>#REF!</v>
      </c>
      <c r="M28" s="393">
        <f t="shared" si="19"/>
        <v>0</v>
      </c>
      <c r="N28" s="3226"/>
    </row>
    <row r="29" spans="1:14" ht="13.5" hidden="1" customHeight="1" thickBot="1" x14ac:dyDescent="0.25">
      <c r="A29" s="3103"/>
      <c r="B29" s="287" t="s">
        <v>15</v>
      </c>
      <c r="C29" s="3229"/>
      <c r="D29" s="317">
        <v>0</v>
      </c>
      <c r="E29" s="288">
        <v>0</v>
      </c>
      <c r="F29" s="288">
        <v>0</v>
      </c>
      <c r="G29" s="288">
        <v>0</v>
      </c>
      <c r="H29" s="1079">
        <v>0</v>
      </c>
      <c r="I29" s="1082">
        <v>0</v>
      </c>
      <c r="J29" s="416" t="e">
        <f>I29/#REF!*100</f>
        <v>#REF!</v>
      </c>
      <c r="K29" s="288">
        <v>0</v>
      </c>
      <c r="L29" s="416" t="e">
        <f>K29/#REF!*100</f>
        <v>#REF!</v>
      </c>
      <c r="M29" s="393">
        <f t="shared" si="19"/>
        <v>0</v>
      </c>
      <c r="N29" s="3227"/>
    </row>
    <row r="30" spans="1:14" ht="24" customHeight="1" x14ac:dyDescent="0.2">
      <c r="A30" s="3179" t="s">
        <v>33</v>
      </c>
      <c r="B30" s="2122" t="s">
        <v>253</v>
      </c>
      <c r="C30" s="2123" t="s">
        <v>198</v>
      </c>
      <c r="D30" s="278"/>
      <c r="E30" s="276"/>
      <c r="F30" s="276"/>
      <c r="G30" s="276"/>
      <c r="H30" s="2124"/>
      <c r="I30" s="278"/>
      <c r="J30" s="276"/>
      <c r="K30" s="276"/>
      <c r="L30" s="276"/>
      <c r="M30" s="277"/>
      <c r="N30" s="3224" t="s">
        <v>119</v>
      </c>
    </row>
    <row r="31" spans="1:14" ht="15" customHeight="1" x14ac:dyDescent="0.2">
      <c r="A31" s="3093"/>
      <c r="B31" s="236" t="s">
        <v>3</v>
      </c>
      <c r="C31" s="237"/>
      <c r="D31" s="302">
        <f t="shared" ref="D31:H32" si="20">+D32</f>
        <v>5486623</v>
      </c>
      <c r="E31" s="304">
        <f t="shared" si="20"/>
        <v>2762944</v>
      </c>
      <c r="F31" s="304">
        <f t="shared" si="20"/>
        <v>2685779</v>
      </c>
      <c r="G31" s="304">
        <f t="shared" si="20"/>
        <v>37900</v>
      </c>
      <c r="H31" s="2125">
        <f t="shared" si="20"/>
        <v>0</v>
      </c>
      <c r="I31" s="302">
        <f>I32</f>
        <v>5486215</v>
      </c>
      <c r="J31" s="2119">
        <f>I31/D31*100</f>
        <v>99.99256373182557</v>
      </c>
      <c r="K31" s="304">
        <f>+K32</f>
        <v>37492</v>
      </c>
      <c r="L31" s="2119">
        <f>K31/G31*100</f>
        <v>98.923482849604213</v>
      </c>
      <c r="M31" s="1185">
        <f>+K31-G31*0.5</f>
        <v>18542</v>
      </c>
      <c r="N31" s="3225"/>
    </row>
    <row r="32" spans="1:14" ht="15" customHeight="1" x14ac:dyDescent="0.2">
      <c r="A32" s="3093"/>
      <c r="B32" s="281" t="s">
        <v>13</v>
      </c>
      <c r="C32" s="3209" t="s">
        <v>120</v>
      </c>
      <c r="D32" s="282">
        <f t="shared" si="20"/>
        <v>5486623</v>
      </c>
      <c r="E32" s="283">
        <f t="shared" si="20"/>
        <v>2762944</v>
      </c>
      <c r="F32" s="1706">
        <f t="shared" si="20"/>
        <v>2685779</v>
      </c>
      <c r="G32" s="1706">
        <f t="shared" si="20"/>
        <v>37900</v>
      </c>
      <c r="H32" s="2126">
        <f t="shared" si="20"/>
        <v>0</v>
      </c>
      <c r="I32" s="2127">
        <f>I33</f>
        <v>5486215</v>
      </c>
      <c r="J32" s="2128">
        <f t="shared" ref="J32:J36" si="21">I32/D32*100</f>
        <v>99.99256373182557</v>
      </c>
      <c r="K32" s="1707">
        <f>+K33</f>
        <v>37492</v>
      </c>
      <c r="L32" s="2128">
        <f>K32/G32*100</f>
        <v>98.923482849604213</v>
      </c>
      <c r="M32" s="2129">
        <f>+K32-G32*0.5</f>
        <v>18542</v>
      </c>
      <c r="N32" s="3225"/>
    </row>
    <row r="33" spans="1:14" ht="15" customHeight="1" thickBot="1" x14ac:dyDescent="0.25">
      <c r="A33" s="3094"/>
      <c r="B33" s="341" t="s">
        <v>15</v>
      </c>
      <c r="C33" s="3264"/>
      <c r="D33" s="1820">
        <f>+E33+F33+G33+H33</f>
        <v>5486623</v>
      </c>
      <c r="E33" s="1786">
        <v>2762944</v>
      </c>
      <c r="F33" s="1786">
        <v>2685779</v>
      </c>
      <c r="G33" s="1786">
        <v>37900</v>
      </c>
      <c r="H33" s="2130">
        <v>0</v>
      </c>
      <c r="I33" s="1820">
        <f>E33+F33+K33</f>
        <v>5486215</v>
      </c>
      <c r="J33" s="2131">
        <f t="shared" si="21"/>
        <v>99.99256373182557</v>
      </c>
      <c r="K33" s="1786">
        <v>37492</v>
      </c>
      <c r="L33" s="2131">
        <f>K33/G33*100</f>
        <v>98.923482849604213</v>
      </c>
      <c r="M33" s="1791">
        <f>+K33-G33*0.5</f>
        <v>18542</v>
      </c>
      <c r="N33" s="3241"/>
    </row>
    <row r="34" spans="1:14" ht="15" customHeight="1" x14ac:dyDescent="0.2">
      <c r="A34" s="3102"/>
      <c r="B34" s="236" t="s">
        <v>17</v>
      </c>
      <c r="C34" s="237"/>
      <c r="D34" s="302">
        <f>+D35</f>
        <v>5486623</v>
      </c>
      <c r="E34" s="304">
        <f t="shared" ref="E34:K35" si="22">+E35</f>
        <v>2975000</v>
      </c>
      <c r="F34" s="304">
        <f t="shared" si="22"/>
        <v>2511623</v>
      </c>
      <c r="G34" s="303">
        <f t="shared" si="22"/>
        <v>0</v>
      </c>
      <c r="H34" s="2132">
        <f t="shared" si="22"/>
        <v>0</v>
      </c>
      <c r="I34" s="302">
        <f t="shared" si="22"/>
        <v>5486623</v>
      </c>
      <c r="J34" s="2119">
        <f t="shared" si="21"/>
        <v>100</v>
      </c>
      <c r="K34" s="303">
        <f t="shared" si="22"/>
        <v>0</v>
      </c>
      <c r="L34" s="321">
        <v>0</v>
      </c>
      <c r="M34" s="306">
        <f t="shared" si="19"/>
        <v>0</v>
      </c>
      <c r="N34" s="3263"/>
    </row>
    <row r="35" spans="1:14" ht="15" customHeight="1" x14ac:dyDescent="0.2">
      <c r="A35" s="3104"/>
      <c r="B35" s="281" t="s">
        <v>13</v>
      </c>
      <c r="C35" s="3209" t="s">
        <v>121</v>
      </c>
      <c r="D35" s="282">
        <f>+D36</f>
        <v>5486623</v>
      </c>
      <c r="E35" s="283">
        <f t="shared" si="22"/>
        <v>2975000</v>
      </c>
      <c r="F35" s="283">
        <f t="shared" si="22"/>
        <v>2511623</v>
      </c>
      <c r="G35" s="284">
        <f t="shared" si="22"/>
        <v>0</v>
      </c>
      <c r="H35" s="2133">
        <f t="shared" si="22"/>
        <v>0</v>
      </c>
      <c r="I35" s="282">
        <f t="shared" si="22"/>
        <v>5486623</v>
      </c>
      <c r="J35" s="2134">
        <f t="shared" si="21"/>
        <v>100</v>
      </c>
      <c r="K35" s="284">
        <f t="shared" si="22"/>
        <v>0</v>
      </c>
      <c r="L35" s="308">
        <v>0</v>
      </c>
      <c r="M35" s="285">
        <f t="shared" si="19"/>
        <v>0</v>
      </c>
      <c r="N35" s="3226"/>
    </row>
    <row r="36" spans="1:14" ht="15" customHeight="1" thickBot="1" x14ac:dyDescent="0.25">
      <c r="A36" s="3103"/>
      <c r="B36" s="287" t="s">
        <v>15</v>
      </c>
      <c r="C36" s="3210"/>
      <c r="D36" s="1711">
        <f>+E36+F36+G36+H36</f>
        <v>5486623</v>
      </c>
      <c r="E36" s="1712">
        <v>2975000</v>
      </c>
      <c r="F36" s="1712">
        <v>2511623</v>
      </c>
      <c r="G36" s="288">
        <v>0</v>
      </c>
      <c r="H36" s="2135">
        <v>0</v>
      </c>
      <c r="I36" s="1711">
        <f>K36+E36+F36</f>
        <v>5486623</v>
      </c>
      <c r="J36" s="2136">
        <f t="shared" si="21"/>
        <v>100</v>
      </c>
      <c r="K36" s="288">
        <v>0</v>
      </c>
      <c r="L36" s="416">
        <v>0</v>
      </c>
      <c r="M36" s="294">
        <f t="shared" si="19"/>
        <v>0</v>
      </c>
      <c r="N36" s="3227"/>
    </row>
    <row r="37" spans="1:14" ht="27" customHeight="1" x14ac:dyDescent="0.2">
      <c r="A37" s="3092" t="s">
        <v>36</v>
      </c>
      <c r="B37" s="2137" t="s">
        <v>254</v>
      </c>
      <c r="C37" s="2138" t="s">
        <v>198</v>
      </c>
      <c r="D37" s="278"/>
      <c r="E37" s="276"/>
      <c r="F37" s="276"/>
      <c r="G37" s="2139"/>
      <c r="H37" s="277"/>
      <c r="I37" s="278"/>
      <c r="J37" s="276"/>
      <c r="K37" s="276"/>
      <c r="L37" s="276"/>
      <c r="M37" s="2140"/>
      <c r="N37" s="3224" t="s">
        <v>119</v>
      </c>
    </row>
    <row r="38" spans="1:14" ht="12.75" customHeight="1" thickBot="1" x14ac:dyDescent="0.25">
      <c r="A38" s="3093"/>
      <c r="B38" s="1685" t="s">
        <v>3</v>
      </c>
      <c r="C38" s="2141"/>
      <c r="D38" s="2142">
        <f>+D39+D41</f>
        <v>2241484</v>
      </c>
      <c r="E38" s="2143">
        <f>E39+E41</f>
        <v>0</v>
      </c>
      <c r="F38" s="304">
        <f>F39+F41</f>
        <v>0</v>
      </c>
      <c r="G38" s="304">
        <f>G39+G41</f>
        <v>1125736</v>
      </c>
      <c r="H38" s="1185">
        <f>H39+H41</f>
        <v>1115748</v>
      </c>
      <c r="I38" s="2142">
        <f t="shared" ref="I38:I47" si="23">K38+E38+F38</f>
        <v>539705</v>
      </c>
      <c r="J38" s="2119">
        <f>I38/D38*100</f>
        <v>24.078021525025385</v>
      </c>
      <c r="K38" s="304">
        <f>K41</f>
        <v>539705</v>
      </c>
      <c r="L38" s="2119">
        <f>K38/G38*100</f>
        <v>47.94241278594626</v>
      </c>
      <c r="M38" s="1185">
        <f>+K38-G38*0.5</f>
        <v>-23163</v>
      </c>
      <c r="N38" s="3225"/>
    </row>
    <row r="39" spans="1:14" ht="13.5" hidden="1" customHeight="1" x14ac:dyDescent="0.25">
      <c r="A39" s="3094"/>
      <c r="B39" s="1696" t="s">
        <v>18</v>
      </c>
      <c r="C39" s="3230" t="s">
        <v>120</v>
      </c>
      <c r="D39" s="1734">
        <f>+D40</f>
        <v>0</v>
      </c>
      <c r="E39" s="283">
        <f>E40</f>
        <v>0</v>
      </c>
      <c r="F39" s="283">
        <f>F40</f>
        <v>0</v>
      </c>
      <c r="G39" s="283">
        <f>G40</f>
        <v>0</v>
      </c>
      <c r="H39" s="1426">
        <v>0</v>
      </c>
      <c r="I39" s="1734">
        <f t="shared" si="23"/>
        <v>0</v>
      </c>
      <c r="J39" s="2134" t="e">
        <f>I39/#REF!*100</f>
        <v>#REF!</v>
      </c>
      <c r="K39" s="308">
        <f>+K40</f>
        <v>0</v>
      </c>
      <c r="L39" s="2134" t="e">
        <f>K39/#REF!*100</f>
        <v>#REF!</v>
      </c>
      <c r="M39" s="1426">
        <f t="shared" ref="M39:M45" si="24">+K39-G39*0.25</f>
        <v>0</v>
      </c>
      <c r="N39" s="3225"/>
    </row>
    <row r="40" spans="1:14" ht="13.5" hidden="1" customHeight="1" x14ac:dyDescent="0.25">
      <c r="A40" s="3113"/>
      <c r="B40" s="1700" t="s">
        <v>8</v>
      </c>
      <c r="C40" s="3231"/>
      <c r="D40" s="1701">
        <f>+E40+F40+G40+H40</f>
        <v>0</v>
      </c>
      <c r="E40" s="2144"/>
      <c r="F40" s="2144"/>
      <c r="G40" s="2144">
        <v>0</v>
      </c>
      <c r="H40" s="2145">
        <v>0</v>
      </c>
      <c r="I40" s="1730">
        <f t="shared" si="23"/>
        <v>0</v>
      </c>
      <c r="J40" s="2146" t="e">
        <f>I40/#REF!*100</f>
        <v>#REF!</v>
      </c>
      <c r="K40" s="280">
        <v>0</v>
      </c>
      <c r="L40" s="2146" t="e">
        <f>K40/#REF!*100</f>
        <v>#REF!</v>
      </c>
      <c r="M40" s="2145">
        <f t="shared" si="24"/>
        <v>0</v>
      </c>
      <c r="N40" s="3225"/>
    </row>
    <row r="41" spans="1:14" ht="14.25" customHeight="1" thickBot="1" x14ac:dyDescent="0.25">
      <c r="A41" s="3113"/>
      <c r="B41" s="1705" t="s">
        <v>13</v>
      </c>
      <c r="C41" s="3231"/>
      <c r="D41" s="282">
        <f>+D42</f>
        <v>2241484</v>
      </c>
      <c r="E41" s="283">
        <f>E42</f>
        <v>0</v>
      </c>
      <c r="F41" s="283">
        <f>F42</f>
        <v>0</v>
      </c>
      <c r="G41" s="283">
        <f>G42</f>
        <v>1125736</v>
      </c>
      <c r="H41" s="1426">
        <f>H42</f>
        <v>1115748</v>
      </c>
      <c r="I41" s="282">
        <f t="shared" si="23"/>
        <v>539705</v>
      </c>
      <c r="J41" s="2134">
        <f>I41/D41*100</f>
        <v>24.078021525025385</v>
      </c>
      <c r="K41" s="1707">
        <f>K42</f>
        <v>539705</v>
      </c>
      <c r="L41" s="2134">
        <f>K41/G41*100</f>
        <v>47.94241278594626</v>
      </c>
      <c r="M41" s="1426">
        <f>+K41-G41*0.5</f>
        <v>-23163</v>
      </c>
      <c r="N41" s="3225"/>
    </row>
    <row r="42" spans="1:14" ht="14.25" customHeight="1" x14ac:dyDescent="0.2">
      <c r="A42" s="3118"/>
      <c r="B42" s="1700" t="s">
        <v>15</v>
      </c>
      <c r="C42" s="3231"/>
      <c r="D42" s="1701">
        <f>+E42+F42+G42+H42</f>
        <v>2241484</v>
      </c>
      <c r="E42" s="1702"/>
      <c r="F42" s="1702"/>
      <c r="G42" s="1702">
        <v>1125736</v>
      </c>
      <c r="H42" s="1424">
        <v>1115748</v>
      </c>
      <c r="I42" s="1730">
        <f t="shared" si="23"/>
        <v>539705</v>
      </c>
      <c r="J42" s="2146">
        <f>I42/D42*100</f>
        <v>24.078021525025385</v>
      </c>
      <c r="K42" s="1702">
        <v>539705</v>
      </c>
      <c r="L42" s="2146">
        <f>K42/G42*100</f>
        <v>47.94241278594626</v>
      </c>
      <c r="M42" s="1424">
        <f>+K42-G42*0.5</f>
        <v>-23163</v>
      </c>
      <c r="N42" s="3225"/>
    </row>
    <row r="43" spans="1:14" ht="14.25" customHeight="1" x14ac:dyDescent="0.2">
      <c r="A43" s="3094"/>
      <c r="B43" s="1685" t="s">
        <v>17</v>
      </c>
      <c r="C43" s="2141"/>
      <c r="D43" s="302">
        <f>+D44+D46</f>
        <v>2241484</v>
      </c>
      <c r="E43" s="304">
        <f>E44+E46</f>
        <v>0</v>
      </c>
      <c r="F43" s="304">
        <f>F44+F46</f>
        <v>0</v>
      </c>
      <c r="G43" s="304">
        <f>G44+G46</f>
        <v>1125736</v>
      </c>
      <c r="H43" s="1185">
        <f>H44+H46</f>
        <v>1115748</v>
      </c>
      <c r="I43" s="302">
        <f t="shared" si="23"/>
        <v>567962</v>
      </c>
      <c r="J43" s="2119">
        <f>I43/D43*100</f>
        <v>25.338659566608552</v>
      </c>
      <c r="K43" s="304">
        <f>K46</f>
        <v>567962</v>
      </c>
      <c r="L43" s="2119">
        <f>K43/G43*100</f>
        <v>50.452503961852514</v>
      </c>
      <c r="M43" s="1185">
        <f>+K43-G43*0.5</f>
        <v>5094</v>
      </c>
      <c r="N43" s="3225"/>
    </row>
    <row r="44" spans="1:14" ht="13.5" hidden="1" customHeight="1" x14ac:dyDescent="0.2">
      <c r="A44" s="3092"/>
      <c r="B44" s="1696" t="s">
        <v>18</v>
      </c>
      <c r="C44" s="3230" t="s">
        <v>133</v>
      </c>
      <c r="D44" s="282">
        <f>+D45</f>
        <v>0</v>
      </c>
      <c r="E44" s="283">
        <f>E45</f>
        <v>0</v>
      </c>
      <c r="F44" s="283">
        <f>F45</f>
        <v>0</v>
      </c>
      <c r="G44" s="283">
        <f>G45</f>
        <v>0</v>
      </c>
      <c r="H44" s="1426">
        <v>0</v>
      </c>
      <c r="I44" s="282">
        <f t="shared" si="23"/>
        <v>0</v>
      </c>
      <c r="J44" s="2134" t="e">
        <f>I44/#REF!*100</f>
        <v>#REF!</v>
      </c>
      <c r="K44" s="284">
        <f>+K45</f>
        <v>0</v>
      </c>
      <c r="L44" s="3202" t="s">
        <v>305</v>
      </c>
      <c r="M44" s="1426">
        <f t="shared" si="24"/>
        <v>0</v>
      </c>
      <c r="N44" s="3225"/>
    </row>
    <row r="45" spans="1:14" ht="13.5" hidden="1" customHeight="1" x14ac:dyDescent="0.2">
      <c r="A45" s="3093"/>
      <c r="B45" s="1700" t="s">
        <v>8</v>
      </c>
      <c r="C45" s="3231"/>
      <c r="D45" s="1701">
        <f>+E45+F45+G45+H45</f>
        <v>0</v>
      </c>
      <c r="E45" s="2144"/>
      <c r="F45" s="2144"/>
      <c r="G45" s="2144">
        <v>0</v>
      </c>
      <c r="H45" s="2145">
        <v>0</v>
      </c>
      <c r="I45" s="1701">
        <f t="shared" si="23"/>
        <v>0</v>
      </c>
      <c r="J45" s="2146" t="e">
        <f>I45/#REF!*100</f>
        <v>#REF!</v>
      </c>
      <c r="K45" s="300">
        <v>0</v>
      </c>
      <c r="L45" s="3202"/>
      <c r="M45" s="2145">
        <f t="shared" si="24"/>
        <v>0</v>
      </c>
      <c r="N45" s="3225"/>
    </row>
    <row r="46" spans="1:14" ht="14.25" customHeight="1" x14ac:dyDescent="0.2">
      <c r="A46" s="3104"/>
      <c r="B46" s="1705" t="s">
        <v>13</v>
      </c>
      <c r="C46" s="3231"/>
      <c r="D46" s="282">
        <f>+D47</f>
        <v>2241484</v>
      </c>
      <c r="E46" s="283">
        <f>E47</f>
        <v>0</v>
      </c>
      <c r="F46" s="283">
        <f>F47</f>
        <v>0</v>
      </c>
      <c r="G46" s="283">
        <f>G47</f>
        <v>1125736</v>
      </c>
      <c r="H46" s="1426">
        <f>H47</f>
        <v>1115748</v>
      </c>
      <c r="I46" s="282">
        <f t="shared" si="23"/>
        <v>567962</v>
      </c>
      <c r="J46" s="2134">
        <f>I46/D46*100</f>
        <v>25.338659566608552</v>
      </c>
      <c r="K46" s="1707">
        <f>K47</f>
        <v>567962</v>
      </c>
      <c r="L46" s="1256">
        <v>10</v>
      </c>
      <c r="M46" s="1426">
        <f>+K46-G46*0.5</f>
        <v>5094</v>
      </c>
      <c r="N46" s="3226"/>
    </row>
    <row r="47" spans="1:14" ht="13.5" customHeight="1" thickBot="1" x14ac:dyDescent="0.25">
      <c r="A47" s="3103"/>
      <c r="B47" s="2147" t="s">
        <v>15</v>
      </c>
      <c r="C47" s="3232"/>
      <c r="D47" s="1711">
        <f>+E47+F47+G47+H47</f>
        <v>2241484</v>
      </c>
      <c r="E47" s="1712"/>
      <c r="F47" s="1712"/>
      <c r="G47" s="1712">
        <v>1125736</v>
      </c>
      <c r="H47" s="1428">
        <v>1115748</v>
      </c>
      <c r="I47" s="289">
        <f t="shared" si="23"/>
        <v>567962</v>
      </c>
      <c r="J47" s="2136">
        <f>I47/D47*100</f>
        <v>25.338659566608552</v>
      </c>
      <c r="K47" s="1712">
        <v>567962</v>
      </c>
      <c r="L47" s="2148">
        <f>K47/G47*100</f>
        <v>50.452503961852514</v>
      </c>
      <c r="M47" s="1428">
        <f>+K47-G47*0.5</f>
        <v>5094</v>
      </c>
      <c r="N47" s="3227"/>
    </row>
    <row r="48" spans="1:14" ht="26.25" customHeight="1" x14ac:dyDescent="0.2">
      <c r="A48" s="3267" t="s">
        <v>41</v>
      </c>
      <c r="B48" s="2122" t="s">
        <v>345</v>
      </c>
      <c r="C48" s="2123" t="s">
        <v>198</v>
      </c>
      <c r="D48" s="278"/>
      <c r="E48" s="276"/>
      <c r="F48" s="276"/>
      <c r="G48" s="276"/>
      <c r="H48" s="305"/>
      <c r="I48" s="278"/>
      <c r="J48" s="276"/>
      <c r="K48" s="276"/>
      <c r="L48" s="305"/>
      <c r="M48" s="277"/>
      <c r="N48" s="3224" t="s">
        <v>122</v>
      </c>
    </row>
    <row r="49" spans="1:14" ht="13.5" customHeight="1" thickBot="1" x14ac:dyDescent="0.25">
      <c r="A49" s="3128"/>
      <c r="B49" s="312" t="s">
        <v>3</v>
      </c>
      <c r="C49" s="237"/>
      <c r="D49" s="2142">
        <f t="shared" ref="D49:I49" si="25">+D50+D53</f>
        <v>8911049</v>
      </c>
      <c r="E49" s="2143">
        <f t="shared" si="25"/>
        <v>6339144</v>
      </c>
      <c r="F49" s="2143">
        <f t="shared" si="25"/>
        <v>2571905</v>
      </c>
      <c r="G49" s="307">
        <f t="shared" si="25"/>
        <v>0</v>
      </c>
      <c r="H49" s="1080">
        <f t="shared" si="25"/>
        <v>0</v>
      </c>
      <c r="I49" s="2142">
        <f t="shared" si="25"/>
        <v>8911049</v>
      </c>
      <c r="J49" s="2119">
        <f>I49/D49*100</f>
        <v>100</v>
      </c>
      <c r="K49" s="307">
        <f t="shared" ref="K49" si="26">+K50+K53</f>
        <v>0</v>
      </c>
      <c r="L49" s="2155">
        <v>0</v>
      </c>
      <c r="M49" s="2156">
        <f t="shared" si="19"/>
        <v>0</v>
      </c>
      <c r="N49" s="3233"/>
    </row>
    <row r="50" spans="1:14" ht="13.5" customHeight="1" x14ac:dyDescent="0.2">
      <c r="A50" s="3129"/>
      <c r="B50" s="2157" t="s">
        <v>18</v>
      </c>
      <c r="C50" s="3049" t="s">
        <v>120</v>
      </c>
      <c r="D50" s="2158">
        <f>+D51+D52</f>
        <v>1336658</v>
      </c>
      <c r="E50" s="2159">
        <f>+E51+E52</f>
        <v>950872</v>
      </c>
      <c r="F50" s="2159">
        <f>+F51+F52</f>
        <v>385786</v>
      </c>
      <c r="G50" s="2160">
        <f>+G51+G52</f>
        <v>0</v>
      </c>
      <c r="H50" s="2161">
        <f>+H52</f>
        <v>0</v>
      </c>
      <c r="I50" s="2158">
        <f>+I52</f>
        <v>1336658</v>
      </c>
      <c r="J50" s="2162">
        <f>I50/D50*100</f>
        <v>100</v>
      </c>
      <c r="K50" s="2160">
        <f>+K51+K52</f>
        <v>0</v>
      </c>
      <c r="L50" s="2161">
        <v>0</v>
      </c>
      <c r="M50" s="2163">
        <f t="shared" si="19"/>
        <v>0</v>
      </c>
      <c r="N50" s="3224"/>
    </row>
    <row r="51" spans="1:14" ht="15.75" hidden="1" customHeight="1" x14ac:dyDescent="0.2">
      <c r="A51" s="3127"/>
      <c r="B51" s="279" t="s">
        <v>5</v>
      </c>
      <c r="C51" s="3100"/>
      <c r="D51" s="1701">
        <f>+E51+F51+G51+H51</f>
        <v>0</v>
      </c>
      <c r="E51" s="1702">
        <v>0</v>
      </c>
      <c r="F51" s="292"/>
      <c r="G51" s="293">
        <v>0</v>
      </c>
      <c r="H51" s="900"/>
      <c r="I51" s="1730"/>
      <c r="J51" s="2146" t="e">
        <f>I51/#REF!*100</f>
        <v>#REF!</v>
      </c>
      <c r="K51" s="293">
        <v>0</v>
      </c>
      <c r="L51" s="2164" t="e">
        <f>K51/#REF!*100</f>
        <v>#REF!</v>
      </c>
      <c r="M51" s="1127">
        <f t="shared" si="19"/>
        <v>0</v>
      </c>
      <c r="N51" s="3225"/>
    </row>
    <row r="52" spans="1:14" ht="14.25" customHeight="1" x14ac:dyDescent="0.2">
      <c r="A52" s="3245"/>
      <c r="B52" s="279" t="s">
        <v>8</v>
      </c>
      <c r="C52" s="3100"/>
      <c r="D52" s="1701">
        <f>+E52+F52+G52+H52</f>
        <v>1336658</v>
      </c>
      <c r="E52" s="1702">
        <f>396985-60614+352527+261974</f>
        <v>950872</v>
      </c>
      <c r="F52" s="1702">
        <v>385786</v>
      </c>
      <c r="G52" s="280">
        <v>0</v>
      </c>
      <c r="H52" s="2165">
        <v>0</v>
      </c>
      <c r="I52" s="1730">
        <f>+K52+F52+E52</f>
        <v>1336658</v>
      </c>
      <c r="J52" s="2146">
        <f t="shared" ref="J52:J83" si="27">I52/D52*100</f>
        <v>100</v>
      </c>
      <c r="K52" s="280">
        <v>0</v>
      </c>
      <c r="L52" s="2164">
        <v>0</v>
      </c>
      <c r="M52" s="1732">
        <f t="shared" si="19"/>
        <v>0</v>
      </c>
      <c r="N52" s="3225"/>
    </row>
    <row r="53" spans="1:14" ht="14.25" customHeight="1" x14ac:dyDescent="0.2">
      <c r="A53" s="3003"/>
      <c r="B53" s="2004" t="s">
        <v>13</v>
      </c>
      <c r="C53" s="3100"/>
      <c r="D53" s="282">
        <f t="shared" ref="D53:K53" si="28">+D54</f>
        <v>7574391</v>
      </c>
      <c r="E53" s="283">
        <f t="shared" si="28"/>
        <v>5388272</v>
      </c>
      <c r="F53" s="283">
        <f t="shared" si="28"/>
        <v>2186119</v>
      </c>
      <c r="G53" s="284">
        <f t="shared" si="28"/>
        <v>0</v>
      </c>
      <c r="H53" s="1078">
        <f t="shared" si="28"/>
        <v>0</v>
      </c>
      <c r="I53" s="282">
        <f t="shared" si="28"/>
        <v>7574391</v>
      </c>
      <c r="J53" s="2134">
        <f t="shared" si="27"/>
        <v>100</v>
      </c>
      <c r="K53" s="284">
        <f t="shared" si="28"/>
        <v>0</v>
      </c>
      <c r="L53" s="1076">
        <v>0</v>
      </c>
      <c r="M53" s="285">
        <f t="shared" si="19"/>
        <v>0</v>
      </c>
      <c r="N53" s="3225"/>
    </row>
    <row r="54" spans="1:14" ht="14.25" customHeight="1" collapsed="1" x14ac:dyDescent="0.2">
      <c r="A54" s="3003"/>
      <c r="B54" s="279" t="s">
        <v>15</v>
      </c>
      <c r="C54" s="3100"/>
      <c r="D54" s="1701">
        <f>+E54+F54+G54+H54</f>
        <v>7574391</v>
      </c>
      <c r="E54" s="1702">
        <f>1906101+1997651+1484520</f>
        <v>5388272</v>
      </c>
      <c r="F54" s="292">
        <v>2186119</v>
      </c>
      <c r="G54" s="293">
        <v>0</v>
      </c>
      <c r="H54" s="900">
        <v>0</v>
      </c>
      <c r="I54" s="1730">
        <f>+K54+F54+E54</f>
        <v>7574391</v>
      </c>
      <c r="J54" s="2146">
        <f t="shared" si="27"/>
        <v>100</v>
      </c>
      <c r="K54" s="293">
        <v>0</v>
      </c>
      <c r="L54" s="2164">
        <v>0</v>
      </c>
      <c r="M54" s="1127">
        <f t="shared" si="19"/>
        <v>0</v>
      </c>
      <c r="N54" s="3225"/>
    </row>
    <row r="55" spans="1:14" ht="14.25" customHeight="1" x14ac:dyDescent="0.2">
      <c r="A55" s="3255"/>
      <c r="B55" s="312" t="s">
        <v>17</v>
      </c>
      <c r="C55" s="237"/>
      <c r="D55" s="302">
        <f t="shared" ref="D55:I55" si="29">+D56+D58</f>
        <v>8911049</v>
      </c>
      <c r="E55" s="304">
        <f t="shared" si="29"/>
        <v>6339144</v>
      </c>
      <c r="F55" s="304">
        <f t="shared" si="29"/>
        <v>2571905</v>
      </c>
      <c r="G55" s="303">
        <f t="shared" si="29"/>
        <v>0</v>
      </c>
      <c r="H55" s="1075">
        <f t="shared" si="29"/>
        <v>0</v>
      </c>
      <c r="I55" s="302">
        <f t="shared" si="29"/>
        <v>8911049</v>
      </c>
      <c r="J55" s="2119">
        <f t="shared" si="27"/>
        <v>100</v>
      </c>
      <c r="K55" s="303">
        <f t="shared" ref="K55" si="30">+K56+K58</f>
        <v>0</v>
      </c>
      <c r="L55" s="2155">
        <v>0</v>
      </c>
      <c r="M55" s="306">
        <f t="shared" si="19"/>
        <v>0</v>
      </c>
      <c r="N55" s="3226"/>
    </row>
    <row r="56" spans="1:14" ht="14.25" customHeight="1" x14ac:dyDescent="0.2">
      <c r="A56" s="3255"/>
      <c r="B56" s="1994" t="s">
        <v>18</v>
      </c>
      <c r="C56" s="3122" t="s">
        <v>123</v>
      </c>
      <c r="D56" s="282">
        <f t="shared" ref="D56:K56" si="31">+D57</f>
        <v>1336658</v>
      </c>
      <c r="E56" s="283">
        <f t="shared" si="31"/>
        <v>950872</v>
      </c>
      <c r="F56" s="283">
        <f t="shared" si="31"/>
        <v>385786</v>
      </c>
      <c r="G56" s="284">
        <f t="shared" si="31"/>
        <v>0</v>
      </c>
      <c r="H56" s="1078">
        <f t="shared" si="31"/>
        <v>0</v>
      </c>
      <c r="I56" s="282">
        <f t="shared" si="31"/>
        <v>1336658</v>
      </c>
      <c r="J56" s="2134">
        <f t="shared" si="27"/>
        <v>100</v>
      </c>
      <c r="K56" s="284">
        <f t="shared" si="31"/>
        <v>0</v>
      </c>
      <c r="L56" s="1076">
        <v>0</v>
      </c>
      <c r="M56" s="285">
        <f t="shared" si="19"/>
        <v>0</v>
      </c>
      <c r="N56" s="3226"/>
    </row>
    <row r="57" spans="1:14" ht="14.25" customHeight="1" x14ac:dyDescent="0.2">
      <c r="A57" s="3255"/>
      <c r="B57" s="279" t="s">
        <v>8</v>
      </c>
      <c r="C57" s="3100"/>
      <c r="D57" s="1701">
        <f>+E57+F57+G57+H57</f>
        <v>1336658</v>
      </c>
      <c r="E57" s="1702">
        <f>396985-60614+352527+261974</f>
        <v>950872</v>
      </c>
      <c r="F57" s="1702">
        <v>385786</v>
      </c>
      <c r="G57" s="280">
        <v>0</v>
      </c>
      <c r="H57" s="2166">
        <v>0</v>
      </c>
      <c r="I57" s="1701">
        <f>+K57+F57+E57</f>
        <v>1336658</v>
      </c>
      <c r="J57" s="2146">
        <f t="shared" si="27"/>
        <v>100</v>
      </c>
      <c r="K57" s="280">
        <v>0</v>
      </c>
      <c r="L57" s="2164">
        <v>0</v>
      </c>
      <c r="M57" s="1732">
        <f t="shared" si="19"/>
        <v>0</v>
      </c>
      <c r="N57" s="3226"/>
    </row>
    <row r="58" spans="1:14" ht="14.25" customHeight="1" x14ac:dyDescent="0.2">
      <c r="A58" s="3255"/>
      <c r="B58" s="2004" t="s">
        <v>13</v>
      </c>
      <c r="C58" s="3125"/>
      <c r="D58" s="282">
        <f t="shared" ref="D58:K58" si="32">+D59</f>
        <v>7574391</v>
      </c>
      <c r="E58" s="283">
        <f t="shared" si="32"/>
        <v>5388272</v>
      </c>
      <c r="F58" s="283">
        <f t="shared" si="32"/>
        <v>2186119</v>
      </c>
      <c r="G58" s="284">
        <f t="shared" si="32"/>
        <v>0</v>
      </c>
      <c r="H58" s="1078">
        <f t="shared" si="32"/>
        <v>0</v>
      </c>
      <c r="I58" s="282">
        <f t="shared" si="32"/>
        <v>7574391</v>
      </c>
      <c r="J58" s="2134">
        <f t="shared" si="27"/>
        <v>100</v>
      </c>
      <c r="K58" s="284">
        <f t="shared" si="32"/>
        <v>0</v>
      </c>
      <c r="L58" s="1076">
        <v>0</v>
      </c>
      <c r="M58" s="285">
        <f t="shared" si="19"/>
        <v>0</v>
      </c>
      <c r="N58" s="3226"/>
    </row>
    <row r="59" spans="1:14" ht="14.25" customHeight="1" thickBot="1" x14ac:dyDescent="0.25">
      <c r="A59" s="3256"/>
      <c r="B59" s="287" t="s">
        <v>15</v>
      </c>
      <c r="C59" s="3126"/>
      <c r="D59" s="1711">
        <f>+E59+F59+G59+H59</f>
        <v>7574391</v>
      </c>
      <c r="E59" s="1712">
        <f>1906101+1997651+1484520</f>
        <v>5388272</v>
      </c>
      <c r="F59" s="2167">
        <v>2186119</v>
      </c>
      <c r="G59" s="318">
        <v>0</v>
      </c>
      <c r="H59" s="901">
        <v>0</v>
      </c>
      <c r="I59" s="289">
        <f>+K59+F59+E59</f>
        <v>7574391</v>
      </c>
      <c r="J59" s="2136">
        <f t="shared" si="27"/>
        <v>100</v>
      </c>
      <c r="K59" s="318">
        <v>0</v>
      </c>
      <c r="L59" s="1150">
        <v>0</v>
      </c>
      <c r="M59" s="1128">
        <f t="shared" si="19"/>
        <v>0</v>
      </c>
      <c r="N59" s="3227"/>
    </row>
    <row r="60" spans="1:14" ht="27.75" customHeight="1" x14ac:dyDescent="0.2">
      <c r="A60" s="3254" t="s">
        <v>42</v>
      </c>
      <c r="B60" s="2122" t="s">
        <v>346</v>
      </c>
      <c r="C60" s="2734" t="s">
        <v>198</v>
      </c>
      <c r="D60" s="278"/>
      <c r="E60" s="276"/>
      <c r="F60" s="276"/>
      <c r="G60" s="305"/>
      <c r="H60" s="305"/>
      <c r="I60" s="278"/>
      <c r="J60" s="276"/>
      <c r="K60" s="276"/>
      <c r="L60" s="2124"/>
      <c r="M60" s="277"/>
      <c r="N60" s="3224" t="s">
        <v>122</v>
      </c>
    </row>
    <row r="61" spans="1:14" s="354" customFormat="1" ht="14.25" customHeight="1" x14ac:dyDescent="0.2">
      <c r="A61" s="3003"/>
      <c r="B61" s="312" t="s">
        <v>3</v>
      </c>
      <c r="C61" s="2728"/>
      <c r="D61" s="2142">
        <f t="shared" ref="D61:I61" si="33">+D62+D65</f>
        <v>5000000</v>
      </c>
      <c r="E61" s="2143">
        <f t="shared" si="33"/>
        <v>0</v>
      </c>
      <c r="F61" s="2143">
        <f t="shared" si="33"/>
        <v>43489</v>
      </c>
      <c r="G61" s="2168">
        <f t="shared" si="33"/>
        <v>2906511</v>
      </c>
      <c r="H61" s="2168">
        <f t="shared" si="33"/>
        <v>2050000</v>
      </c>
      <c r="I61" s="2142">
        <f t="shared" si="33"/>
        <v>671307</v>
      </c>
      <c r="J61" s="2119">
        <f t="shared" si="27"/>
        <v>13.42614</v>
      </c>
      <c r="K61" s="2143">
        <f>+K62+K65</f>
        <v>627818</v>
      </c>
      <c r="L61" s="2679">
        <f>+K61/G61*100</f>
        <v>21.600399929675131</v>
      </c>
      <c r="M61" s="2170">
        <f>+K61-G61*0.5</f>
        <v>-825437.5</v>
      </c>
      <c r="N61" s="3225"/>
    </row>
    <row r="62" spans="1:14" s="417" customFormat="1" ht="14.25" customHeight="1" x14ac:dyDescent="0.2">
      <c r="A62" s="3003"/>
      <c r="B62" s="2171" t="s">
        <v>18</v>
      </c>
      <c r="C62" s="3257" t="s">
        <v>124</v>
      </c>
      <c r="D62" s="282">
        <f t="shared" ref="D62:H62" si="34">+D63+D64</f>
        <v>750000</v>
      </c>
      <c r="E62" s="1707">
        <f t="shared" si="34"/>
        <v>0</v>
      </c>
      <c r="F62" s="1706">
        <f t="shared" si="34"/>
        <v>6523</v>
      </c>
      <c r="G62" s="1818">
        <f t="shared" si="34"/>
        <v>435977</v>
      </c>
      <c r="H62" s="1818">
        <f t="shared" si="34"/>
        <v>307500</v>
      </c>
      <c r="I62" s="282">
        <f>+I64</f>
        <v>100696</v>
      </c>
      <c r="J62" s="2134">
        <f t="shared" si="27"/>
        <v>13.426133333333334</v>
      </c>
      <c r="K62" s="1706">
        <f>+K63+K64</f>
        <v>94173</v>
      </c>
      <c r="L62" s="2680">
        <f>+K62/G62*100</f>
        <v>21.600451399959173</v>
      </c>
      <c r="M62" s="1425">
        <f>+K62-G62*0.5</f>
        <v>-123815.5</v>
      </c>
      <c r="N62" s="3225"/>
    </row>
    <row r="63" spans="1:14" ht="13.5" hidden="1" customHeight="1" x14ac:dyDescent="0.25">
      <c r="A63" s="3003"/>
      <c r="B63" s="1724" t="s">
        <v>5</v>
      </c>
      <c r="C63" s="3258"/>
      <c r="D63" s="1081">
        <v>0</v>
      </c>
      <c r="E63" s="1702">
        <v>0</v>
      </c>
      <c r="F63" s="292"/>
      <c r="G63" s="900">
        <v>0</v>
      </c>
      <c r="H63" s="1077">
        <v>0</v>
      </c>
      <c r="I63" s="1081">
        <v>0</v>
      </c>
      <c r="J63" s="2146" t="e">
        <f>I63/#REF!*100</f>
        <v>#REF!</v>
      </c>
      <c r="K63" s="280">
        <v>0</v>
      </c>
      <c r="L63" s="2681" t="e">
        <f>K63/#REF!*100</f>
        <v>#REF!</v>
      </c>
      <c r="M63" s="1732">
        <f t="shared" si="19"/>
        <v>0</v>
      </c>
      <c r="N63" s="3233"/>
    </row>
    <row r="64" spans="1:14" ht="14.25" customHeight="1" x14ac:dyDescent="0.2">
      <c r="A64" s="3003"/>
      <c r="B64" s="1724" t="s">
        <v>8</v>
      </c>
      <c r="C64" s="3259"/>
      <c r="D64" s="1701">
        <f>+E64+F64+G64+H64</f>
        <v>750000</v>
      </c>
      <c r="E64" s="1702">
        <v>0</v>
      </c>
      <c r="F64" s="292">
        <v>6523</v>
      </c>
      <c r="G64" s="2174">
        <v>435977</v>
      </c>
      <c r="H64" s="2174">
        <f>194022+113478</f>
        <v>307500</v>
      </c>
      <c r="I64" s="1701">
        <f>+F64+K64</f>
        <v>100696</v>
      </c>
      <c r="J64" s="2146">
        <f t="shared" si="27"/>
        <v>13.426133333333334</v>
      </c>
      <c r="K64" s="292">
        <v>94173</v>
      </c>
      <c r="L64" s="2681">
        <f t="shared" ref="L64:L71" si="35">+K64/G64*100</f>
        <v>21.600451399959173</v>
      </c>
      <c r="M64" s="2175">
        <f t="shared" ref="M64:M71" si="36">+K64-G64*0.5</f>
        <v>-123815.5</v>
      </c>
      <c r="N64" s="3248"/>
    </row>
    <row r="65" spans="1:14" s="417" customFormat="1" ht="14.25" customHeight="1" x14ac:dyDescent="0.2">
      <c r="A65" s="3003"/>
      <c r="B65" s="2176" t="s">
        <v>13</v>
      </c>
      <c r="C65" s="3259"/>
      <c r="D65" s="2177">
        <f t="shared" ref="D65:I65" si="37">+D66</f>
        <v>4250000</v>
      </c>
      <c r="E65" s="2178">
        <f t="shared" si="37"/>
        <v>0</v>
      </c>
      <c r="F65" s="2159">
        <f t="shared" si="37"/>
        <v>36966</v>
      </c>
      <c r="G65" s="2179">
        <f t="shared" si="37"/>
        <v>2470534</v>
      </c>
      <c r="H65" s="2179">
        <f t="shared" si="37"/>
        <v>1742500</v>
      </c>
      <c r="I65" s="2177">
        <f t="shared" si="37"/>
        <v>570611</v>
      </c>
      <c r="J65" s="2134">
        <f t="shared" si="27"/>
        <v>13.426141176470589</v>
      </c>
      <c r="K65" s="2159">
        <f>+K66</f>
        <v>533645</v>
      </c>
      <c r="L65" s="2680">
        <f t="shared" si="35"/>
        <v>21.600390846675253</v>
      </c>
      <c r="M65" s="2180">
        <f t="shared" si="36"/>
        <v>-701622</v>
      </c>
      <c r="N65" s="3225"/>
    </row>
    <row r="66" spans="1:14" ht="14.25" customHeight="1" x14ac:dyDescent="0.2">
      <c r="A66" s="3003"/>
      <c r="B66" s="1724" t="s">
        <v>15</v>
      </c>
      <c r="C66" s="3259"/>
      <c r="D66" s="2181">
        <f>+E66+F66+G66+H66</f>
        <v>4250000</v>
      </c>
      <c r="E66" s="2182">
        <v>0</v>
      </c>
      <c r="F66" s="2183">
        <v>36966</v>
      </c>
      <c r="G66" s="2184">
        <v>2470534</v>
      </c>
      <c r="H66" s="2184">
        <f>1099458+643042</f>
        <v>1742500</v>
      </c>
      <c r="I66" s="2181">
        <f>+F66+K66</f>
        <v>570611</v>
      </c>
      <c r="J66" s="2146">
        <f t="shared" si="27"/>
        <v>13.426141176470589</v>
      </c>
      <c r="K66" s="2183">
        <v>533645</v>
      </c>
      <c r="L66" s="2681">
        <f t="shared" si="35"/>
        <v>21.600390846675253</v>
      </c>
      <c r="M66" s="2185">
        <f t="shared" si="36"/>
        <v>-701622</v>
      </c>
      <c r="N66" s="3225"/>
    </row>
    <row r="67" spans="1:14" ht="14.25" customHeight="1" x14ac:dyDescent="0.2">
      <c r="A67" s="3255"/>
      <c r="B67" s="1721" t="s">
        <v>17</v>
      </c>
      <c r="C67" s="2728"/>
      <c r="D67" s="302">
        <f t="shared" ref="D67:I67" si="38">+D68+D70</f>
        <v>5000000</v>
      </c>
      <c r="E67" s="304">
        <f t="shared" si="38"/>
        <v>0</v>
      </c>
      <c r="F67" s="304">
        <f t="shared" si="38"/>
        <v>406023</v>
      </c>
      <c r="G67" s="2799">
        <f t="shared" si="38"/>
        <v>2543977</v>
      </c>
      <c r="H67" s="1180">
        <f t="shared" si="38"/>
        <v>2050000</v>
      </c>
      <c r="I67" s="302">
        <f t="shared" si="38"/>
        <v>870000</v>
      </c>
      <c r="J67" s="2119">
        <f t="shared" si="27"/>
        <v>17.399999999999999</v>
      </c>
      <c r="K67" s="304">
        <f>+K68+K70</f>
        <v>463977</v>
      </c>
      <c r="L67" s="2679">
        <f t="shared" si="35"/>
        <v>18.238254512521141</v>
      </c>
      <c r="M67" s="1185">
        <f t="shared" si="36"/>
        <v>-808011.5</v>
      </c>
      <c r="N67" s="3226"/>
    </row>
    <row r="68" spans="1:14" s="417" customFormat="1" ht="14.25" customHeight="1" x14ac:dyDescent="0.2">
      <c r="A68" s="3255"/>
      <c r="B68" s="2171" t="s">
        <v>18</v>
      </c>
      <c r="C68" s="3260" t="s">
        <v>125</v>
      </c>
      <c r="D68" s="2177">
        <f t="shared" ref="D68:I68" si="39">+D69</f>
        <v>750000</v>
      </c>
      <c r="E68" s="2178">
        <f t="shared" si="39"/>
        <v>0</v>
      </c>
      <c r="F68" s="2159">
        <f t="shared" si="39"/>
        <v>6523</v>
      </c>
      <c r="G68" s="2179">
        <f t="shared" si="39"/>
        <v>435977</v>
      </c>
      <c r="H68" s="2179">
        <f t="shared" si="39"/>
        <v>307500</v>
      </c>
      <c r="I68" s="2177">
        <f t="shared" si="39"/>
        <v>130500</v>
      </c>
      <c r="J68" s="2134">
        <f t="shared" si="27"/>
        <v>17.399999999999999</v>
      </c>
      <c r="K68" s="2159">
        <f>+K69</f>
        <v>123977</v>
      </c>
      <c r="L68" s="2680">
        <f t="shared" si="35"/>
        <v>28.436591838560293</v>
      </c>
      <c r="M68" s="2180">
        <f t="shared" si="36"/>
        <v>-94011.5</v>
      </c>
      <c r="N68" s="3226"/>
    </row>
    <row r="69" spans="1:14" ht="14.25" customHeight="1" x14ac:dyDescent="0.2">
      <c r="A69" s="3255"/>
      <c r="B69" s="1724" t="s">
        <v>8</v>
      </c>
      <c r="C69" s="3259"/>
      <c r="D69" s="2181">
        <f>+E69+F69+G69+H69</f>
        <v>750000</v>
      </c>
      <c r="E69" s="2182">
        <v>0</v>
      </c>
      <c r="F69" s="2183">
        <v>6523</v>
      </c>
      <c r="G69" s="2184">
        <v>435977</v>
      </c>
      <c r="H69" s="2184">
        <f>194022+113478</f>
        <v>307500</v>
      </c>
      <c r="I69" s="2181">
        <f>+K69+F69+E69</f>
        <v>130500</v>
      </c>
      <c r="J69" s="2146">
        <f t="shared" si="27"/>
        <v>17.399999999999999</v>
      </c>
      <c r="K69" s="2183">
        <v>123977</v>
      </c>
      <c r="L69" s="2681">
        <f t="shared" si="35"/>
        <v>28.436591838560293</v>
      </c>
      <c r="M69" s="2185">
        <f t="shared" si="36"/>
        <v>-94011.5</v>
      </c>
      <c r="N69" s="3226"/>
    </row>
    <row r="70" spans="1:14" s="417" customFormat="1" ht="14.25" customHeight="1" x14ac:dyDescent="0.2">
      <c r="A70" s="3255"/>
      <c r="B70" s="2176" t="s">
        <v>13</v>
      </c>
      <c r="C70" s="3261"/>
      <c r="D70" s="2177">
        <f t="shared" ref="D70:I70" si="40">+D71</f>
        <v>4250000</v>
      </c>
      <c r="E70" s="2178">
        <f t="shared" si="40"/>
        <v>0</v>
      </c>
      <c r="F70" s="2159">
        <f t="shared" si="40"/>
        <v>399500</v>
      </c>
      <c r="G70" s="2179">
        <f t="shared" si="40"/>
        <v>2108000</v>
      </c>
      <c r="H70" s="2179">
        <f t="shared" si="40"/>
        <v>1742500</v>
      </c>
      <c r="I70" s="2177">
        <f t="shared" si="40"/>
        <v>739500</v>
      </c>
      <c r="J70" s="2134">
        <f t="shared" si="27"/>
        <v>17.399999999999999</v>
      </c>
      <c r="K70" s="2159">
        <f>+K71</f>
        <v>340000</v>
      </c>
      <c r="L70" s="2680">
        <f t="shared" si="35"/>
        <v>16.129032258064516</v>
      </c>
      <c r="M70" s="2180">
        <f t="shared" si="36"/>
        <v>-714000</v>
      </c>
      <c r="N70" s="3226"/>
    </row>
    <row r="71" spans="1:14" ht="14.25" customHeight="1" thickBot="1" x14ac:dyDescent="0.25">
      <c r="A71" s="3256"/>
      <c r="B71" s="2187" t="s">
        <v>15</v>
      </c>
      <c r="C71" s="3262"/>
      <c r="D71" s="1032">
        <f>+E71+F71+G71+H71</f>
        <v>4250000</v>
      </c>
      <c r="E71" s="2188">
        <v>0</v>
      </c>
      <c r="F71" s="418">
        <v>399500</v>
      </c>
      <c r="G71" s="2189">
        <v>2108000</v>
      </c>
      <c r="H71" s="2189">
        <f>1099458+643042</f>
        <v>1742500</v>
      </c>
      <c r="I71" s="1032">
        <f>+K71+F71+E71</f>
        <v>739500</v>
      </c>
      <c r="J71" s="2136">
        <f t="shared" si="27"/>
        <v>17.399999999999999</v>
      </c>
      <c r="K71" s="418">
        <v>340000</v>
      </c>
      <c r="L71" s="2800">
        <f t="shared" si="35"/>
        <v>16.129032258064516</v>
      </c>
      <c r="M71" s="1213">
        <f t="shared" si="36"/>
        <v>-714000</v>
      </c>
      <c r="N71" s="3227"/>
    </row>
    <row r="72" spans="1:14" ht="26.25" customHeight="1" x14ac:dyDescent="0.2">
      <c r="A72" s="3244" t="s">
        <v>44</v>
      </c>
      <c r="B72" s="2798" t="s">
        <v>347</v>
      </c>
      <c r="C72" s="2150" t="s">
        <v>198</v>
      </c>
      <c r="D72" s="2151"/>
      <c r="E72" s="2152"/>
      <c r="F72" s="2152"/>
      <c r="G72" s="2152"/>
      <c r="H72" s="2153"/>
      <c r="I72" s="2151"/>
      <c r="J72" s="2152"/>
      <c r="K72" s="2152"/>
      <c r="L72" s="2153"/>
      <c r="M72" s="2154"/>
      <c r="N72" s="3248" t="s">
        <v>122</v>
      </c>
    </row>
    <row r="73" spans="1:14" ht="15.75" customHeight="1" thickBot="1" x14ac:dyDescent="0.25">
      <c r="A73" s="3003"/>
      <c r="B73" s="1721" t="s">
        <v>3</v>
      </c>
      <c r="C73" s="237"/>
      <c r="D73" s="2142">
        <f t="shared" ref="D73:I73" si="41">+D74+D77</f>
        <v>1623156</v>
      </c>
      <c r="E73" s="2143">
        <f t="shared" si="41"/>
        <v>668503</v>
      </c>
      <c r="F73" s="2143">
        <f t="shared" si="41"/>
        <v>465213</v>
      </c>
      <c r="G73" s="2143">
        <f>+G74+G77</f>
        <v>489440</v>
      </c>
      <c r="H73" s="1080">
        <f t="shared" si="41"/>
        <v>0</v>
      </c>
      <c r="I73" s="2142">
        <f t="shared" si="41"/>
        <v>1320413</v>
      </c>
      <c r="J73" s="2191">
        <f t="shared" si="27"/>
        <v>81.348496386052844</v>
      </c>
      <c r="K73" s="2143">
        <f>+K74+K77</f>
        <v>186697</v>
      </c>
      <c r="L73" s="2169">
        <f>+K73/G73*100</f>
        <v>38.145022883295191</v>
      </c>
      <c r="M73" s="1185">
        <f>+K73-G73*0.5</f>
        <v>-58023</v>
      </c>
      <c r="N73" s="3225"/>
    </row>
    <row r="74" spans="1:14" ht="15.75" customHeight="1" x14ac:dyDescent="0.2">
      <c r="A74" s="3129"/>
      <c r="B74" s="2192" t="s">
        <v>18</v>
      </c>
      <c r="C74" s="3249" t="s">
        <v>126</v>
      </c>
      <c r="D74" s="1734">
        <f>+D75+D76</f>
        <v>243473</v>
      </c>
      <c r="E74" s="1706">
        <f>+E75+E76</f>
        <v>100275</v>
      </c>
      <c r="F74" s="1706">
        <f>+F75+F76</f>
        <v>69782</v>
      </c>
      <c r="G74" s="1706">
        <f>+G75+G76</f>
        <v>73416</v>
      </c>
      <c r="H74" s="1818">
        <f>++H75+H76</f>
        <v>0</v>
      </c>
      <c r="I74" s="1734">
        <f>+K74+F74+E74</f>
        <v>198062</v>
      </c>
      <c r="J74" s="2134">
        <f t="shared" si="27"/>
        <v>81.348650569056929</v>
      </c>
      <c r="K74" s="1706">
        <f>+K75+K76</f>
        <v>28005</v>
      </c>
      <c r="L74" s="2172">
        <f>+K74/G74*100</f>
        <v>38.14563582870219</v>
      </c>
      <c r="M74" s="1425">
        <f>+K74-G74*0.5</f>
        <v>-8703</v>
      </c>
      <c r="N74" s="3225"/>
    </row>
    <row r="75" spans="1:14" ht="14.25" hidden="1" customHeight="1" x14ac:dyDescent="0.25">
      <c r="A75" s="3128"/>
      <c r="B75" s="1724" t="s">
        <v>5</v>
      </c>
      <c r="C75" s="3250"/>
      <c r="D75" s="1701">
        <f>+E75+F75+G75+H75</f>
        <v>0</v>
      </c>
      <c r="E75" s="1702">
        <v>0</v>
      </c>
      <c r="F75" s="292"/>
      <c r="G75" s="292">
        <v>0</v>
      </c>
      <c r="H75" s="2174">
        <v>0</v>
      </c>
      <c r="I75" s="1730">
        <v>0</v>
      </c>
      <c r="J75" s="2146" t="e">
        <f>I75/#REF!*100</f>
        <v>#REF!</v>
      </c>
      <c r="K75" s="1702">
        <v>0</v>
      </c>
      <c r="L75" s="2173" t="e">
        <f>K75/#REF!*100</f>
        <v>#REF!</v>
      </c>
      <c r="M75" s="2175">
        <f t="shared" si="19"/>
        <v>0</v>
      </c>
      <c r="N75" s="3225"/>
    </row>
    <row r="76" spans="1:14" ht="14.25" customHeight="1" x14ac:dyDescent="0.2">
      <c r="A76" s="3127"/>
      <c r="B76" s="1724" t="s">
        <v>8</v>
      </c>
      <c r="C76" s="3250"/>
      <c r="D76" s="1701">
        <f>+E76+F76+G76+H76</f>
        <v>243473</v>
      </c>
      <c r="E76" s="1702">
        <f>1297+43240+55738</f>
        <v>100275</v>
      </c>
      <c r="F76" s="1702">
        <v>69782</v>
      </c>
      <c r="G76" s="1702">
        <v>73416</v>
      </c>
      <c r="H76" s="1767">
        <v>0</v>
      </c>
      <c r="I76" s="1730">
        <f>+K76+F76+E76</f>
        <v>198062</v>
      </c>
      <c r="J76" s="2146">
        <f t="shared" si="27"/>
        <v>81.348650569056929</v>
      </c>
      <c r="K76" s="1702">
        <v>28005</v>
      </c>
      <c r="L76" s="2173">
        <f t="shared" ref="L76:L83" si="42">+K76/G76*100</f>
        <v>38.14563582870219</v>
      </c>
      <c r="M76" s="1424">
        <f t="shared" ref="M76:M83" si="43">+K76-G76*0.5</f>
        <v>-8703</v>
      </c>
      <c r="N76" s="3225"/>
    </row>
    <row r="77" spans="1:14" ht="14.25" customHeight="1" thickBot="1" x14ac:dyDescent="0.25">
      <c r="A77" s="3245"/>
      <c r="B77" s="1722" t="s">
        <v>13</v>
      </c>
      <c r="C77" s="3250"/>
      <c r="D77" s="282">
        <f t="shared" ref="D77:I77" si="44">+D78</f>
        <v>1379683</v>
      </c>
      <c r="E77" s="283">
        <f t="shared" si="44"/>
        <v>568228</v>
      </c>
      <c r="F77" s="283">
        <f t="shared" si="44"/>
        <v>395431</v>
      </c>
      <c r="G77" s="283">
        <f t="shared" si="44"/>
        <v>416024</v>
      </c>
      <c r="H77" s="1819">
        <f t="shared" si="44"/>
        <v>0</v>
      </c>
      <c r="I77" s="282">
        <f t="shared" si="44"/>
        <v>1122351</v>
      </c>
      <c r="J77" s="2134">
        <f t="shared" si="27"/>
        <v>81.348469177340007</v>
      </c>
      <c r="K77" s="283">
        <f>+K78</f>
        <v>158692</v>
      </c>
      <c r="L77" s="2172">
        <f t="shared" si="42"/>
        <v>38.144914716458665</v>
      </c>
      <c r="M77" s="1426">
        <f t="shared" si="43"/>
        <v>-49320</v>
      </c>
      <c r="N77" s="3225"/>
    </row>
    <row r="78" spans="1:14" ht="14.25" customHeight="1" collapsed="1" x14ac:dyDescent="0.2">
      <c r="A78" s="3129"/>
      <c r="B78" s="1724" t="s">
        <v>15</v>
      </c>
      <c r="C78" s="3250"/>
      <c r="D78" s="1701">
        <f>+E78+F78+G78+H78</f>
        <v>1379683</v>
      </c>
      <c r="E78" s="1702">
        <f>7350+245028+315850</f>
        <v>568228</v>
      </c>
      <c r="F78" s="1702">
        <v>395431</v>
      </c>
      <c r="G78" s="292">
        <v>416024</v>
      </c>
      <c r="H78" s="2174">
        <v>0</v>
      </c>
      <c r="I78" s="1730">
        <f>+K78+F78+E78</f>
        <v>1122351</v>
      </c>
      <c r="J78" s="2146">
        <f t="shared" si="27"/>
        <v>81.348469177340007</v>
      </c>
      <c r="K78" s="1702">
        <v>158692</v>
      </c>
      <c r="L78" s="2173">
        <f t="shared" si="42"/>
        <v>38.144914716458665</v>
      </c>
      <c r="M78" s="2175">
        <f t="shared" si="43"/>
        <v>-49320</v>
      </c>
      <c r="N78" s="3225"/>
    </row>
    <row r="79" spans="1:14" ht="14.25" customHeight="1" thickBot="1" x14ac:dyDescent="0.25">
      <c r="A79" s="3246"/>
      <c r="B79" s="1721" t="s">
        <v>17</v>
      </c>
      <c r="C79" s="237"/>
      <c r="D79" s="302">
        <f t="shared" ref="D79:I79" si="45">+D80+D82</f>
        <v>1623156</v>
      </c>
      <c r="E79" s="304">
        <f t="shared" si="45"/>
        <v>668503</v>
      </c>
      <c r="F79" s="304">
        <f t="shared" si="45"/>
        <v>465213</v>
      </c>
      <c r="G79" s="304">
        <f t="shared" si="45"/>
        <v>489440</v>
      </c>
      <c r="H79" s="1180">
        <f t="shared" si="45"/>
        <v>0</v>
      </c>
      <c r="I79" s="302">
        <f t="shared" si="45"/>
        <v>1623156</v>
      </c>
      <c r="J79" s="2119">
        <f t="shared" si="27"/>
        <v>100</v>
      </c>
      <c r="K79" s="304">
        <f>+K80+K82</f>
        <v>489440</v>
      </c>
      <c r="L79" s="2169">
        <f t="shared" si="42"/>
        <v>100</v>
      </c>
      <c r="M79" s="1185">
        <f t="shared" si="43"/>
        <v>244720</v>
      </c>
      <c r="N79" s="3226"/>
    </row>
    <row r="80" spans="1:14" ht="14.25" customHeight="1" thickBot="1" x14ac:dyDescent="0.25">
      <c r="A80" s="3247"/>
      <c r="B80" s="2192" t="s">
        <v>18</v>
      </c>
      <c r="C80" s="3251" t="s">
        <v>127</v>
      </c>
      <c r="D80" s="282">
        <f t="shared" ref="D80:I80" si="46">+D81</f>
        <v>243473</v>
      </c>
      <c r="E80" s="283">
        <f t="shared" si="46"/>
        <v>100275</v>
      </c>
      <c r="F80" s="283">
        <f t="shared" si="46"/>
        <v>69782</v>
      </c>
      <c r="G80" s="283">
        <f t="shared" si="46"/>
        <v>73416</v>
      </c>
      <c r="H80" s="1819">
        <f t="shared" si="46"/>
        <v>0</v>
      </c>
      <c r="I80" s="282">
        <f t="shared" si="46"/>
        <v>243473</v>
      </c>
      <c r="J80" s="2134">
        <f t="shared" si="27"/>
        <v>100</v>
      </c>
      <c r="K80" s="283">
        <f>+K81</f>
        <v>73416</v>
      </c>
      <c r="L80" s="2172">
        <f t="shared" si="42"/>
        <v>100</v>
      </c>
      <c r="M80" s="1426">
        <f t="shared" si="43"/>
        <v>36708</v>
      </c>
      <c r="N80" s="3226"/>
    </row>
    <row r="81" spans="1:14" ht="14.25" customHeight="1" x14ac:dyDescent="0.2">
      <c r="A81" s="3188"/>
      <c r="B81" s="1724" t="s">
        <v>8</v>
      </c>
      <c r="C81" s="3250"/>
      <c r="D81" s="1701">
        <f>+E81+F81+G81+H81</f>
        <v>243473</v>
      </c>
      <c r="E81" s="1702">
        <f>1297+43240+55738</f>
        <v>100275</v>
      </c>
      <c r="F81" s="1702">
        <v>69782</v>
      </c>
      <c r="G81" s="1702">
        <v>73416</v>
      </c>
      <c r="H81" s="1767">
        <v>0</v>
      </c>
      <c r="I81" s="1701">
        <f>+K81+F81+E81</f>
        <v>243473</v>
      </c>
      <c r="J81" s="2146">
        <f t="shared" si="27"/>
        <v>100</v>
      </c>
      <c r="K81" s="2144">
        <v>73416</v>
      </c>
      <c r="L81" s="2173">
        <f t="shared" si="42"/>
        <v>100</v>
      </c>
      <c r="M81" s="1424">
        <f t="shared" si="43"/>
        <v>36708</v>
      </c>
      <c r="N81" s="3226"/>
    </row>
    <row r="82" spans="1:14" ht="14.25" customHeight="1" x14ac:dyDescent="0.2">
      <c r="A82" s="3188"/>
      <c r="B82" s="1722" t="s">
        <v>13</v>
      </c>
      <c r="C82" s="3252"/>
      <c r="D82" s="282">
        <f t="shared" ref="D82:I82" si="47">+D83</f>
        <v>1379683</v>
      </c>
      <c r="E82" s="283">
        <f t="shared" si="47"/>
        <v>568228</v>
      </c>
      <c r="F82" s="283">
        <f t="shared" si="47"/>
        <v>395431</v>
      </c>
      <c r="G82" s="283">
        <f t="shared" si="47"/>
        <v>416024</v>
      </c>
      <c r="H82" s="1819">
        <f t="shared" si="47"/>
        <v>0</v>
      </c>
      <c r="I82" s="282">
        <f t="shared" si="47"/>
        <v>1379683</v>
      </c>
      <c r="J82" s="2134">
        <f t="shared" si="27"/>
        <v>100</v>
      </c>
      <c r="K82" s="283">
        <f>+K83</f>
        <v>416024</v>
      </c>
      <c r="L82" s="2172">
        <f t="shared" si="42"/>
        <v>100</v>
      </c>
      <c r="M82" s="1426">
        <f t="shared" si="43"/>
        <v>208012</v>
      </c>
      <c r="N82" s="3226"/>
    </row>
    <row r="83" spans="1:14" ht="14.25" customHeight="1" thickBot="1" x14ac:dyDescent="0.25">
      <c r="A83" s="3189"/>
      <c r="B83" s="2187" t="s">
        <v>15</v>
      </c>
      <c r="C83" s="3253"/>
      <c r="D83" s="1711">
        <f>+E83+F83+G83+H83</f>
        <v>1379683</v>
      </c>
      <c r="E83" s="1712">
        <f>7350+245028+315850</f>
        <v>568228</v>
      </c>
      <c r="F83" s="1712">
        <v>395431</v>
      </c>
      <c r="G83" s="2167">
        <v>416024</v>
      </c>
      <c r="H83" s="1202">
        <v>0</v>
      </c>
      <c r="I83" s="289">
        <f>+K83+F83+E83</f>
        <v>1379683</v>
      </c>
      <c r="J83" s="2136">
        <f t="shared" si="27"/>
        <v>100</v>
      </c>
      <c r="K83" s="1712">
        <v>416024</v>
      </c>
      <c r="L83" s="2190">
        <f t="shared" si="42"/>
        <v>100</v>
      </c>
      <c r="M83" s="2193">
        <f t="shared" si="43"/>
        <v>208012</v>
      </c>
      <c r="N83" s="3227"/>
    </row>
    <row r="84" spans="1:14" ht="27.75" customHeight="1" x14ac:dyDescent="0.2">
      <c r="A84" s="3092" t="s">
        <v>45</v>
      </c>
      <c r="B84" s="2122" t="s">
        <v>128</v>
      </c>
      <c r="C84" s="2123" t="s">
        <v>198</v>
      </c>
      <c r="D84" s="278"/>
      <c r="E84" s="276"/>
      <c r="F84" s="276"/>
      <c r="G84" s="276"/>
      <c r="H84" s="305"/>
      <c r="I84" s="278"/>
      <c r="J84" s="276"/>
      <c r="K84" s="276"/>
      <c r="L84" s="305"/>
      <c r="M84" s="277"/>
      <c r="N84" s="3224" t="s">
        <v>119</v>
      </c>
    </row>
    <row r="85" spans="1:14" ht="13.5" customHeight="1" x14ac:dyDescent="0.2">
      <c r="A85" s="3093"/>
      <c r="B85" s="312" t="s">
        <v>3</v>
      </c>
      <c r="C85" s="237"/>
      <c r="D85" s="2142">
        <f t="shared" ref="D85:H85" si="48">+D86+D88</f>
        <v>2508381</v>
      </c>
      <c r="E85" s="2143">
        <f t="shared" si="48"/>
        <v>1850065</v>
      </c>
      <c r="F85" s="2143">
        <f t="shared" si="48"/>
        <v>658316</v>
      </c>
      <c r="G85" s="307">
        <f t="shared" si="48"/>
        <v>0</v>
      </c>
      <c r="H85" s="1080">
        <f t="shared" si="48"/>
        <v>0</v>
      </c>
      <c r="I85" s="2142">
        <f>+I86+I89</f>
        <v>2508381</v>
      </c>
      <c r="J85" s="2191">
        <f t="shared" ref="J85:J94" si="49">I85/D85*100</f>
        <v>100</v>
      </c>
      <c r="K85" s="307">
        <f t="shared" ref="K85" si="50">+K86+K88</f>
        <v>0</v>
      </c>
      <c r="L85" s="1080">
        <v>0</v>
      </c>
      <c r="M85" s="2156">
        <f t="shared" ref="M85:M94" si="51">+K85-G85*0.25</f>
        <v>0</v>
      </c>
      <c r="N85" s="3225"/>
    </row>
    <row r="86" spans="1:14" ht="13.5" customHeight="1" x14ac:dyDescent="0.2">
      <c r="A86" s="3093"/>
      <c r="B86" s="1994" t="s">
        <v>18</v>
      </c>
      <c r="C86" s="3039" t="s">
        <v>120</v>
      </c>
      <c r="D86" s="1734">
        <f t="shared" ref="D86:H86" si="52">+D87</f>
        <v>376259</v>
      </c>
      <c r="E86" s="1706">
        <f t="shared" si="52"/>
        <v>277511</v>
      </c>
      <c r="F86" s="1706">
        <f t="shared" si="52"/>
        <v>98748</v>
      </c>
      <c r="G86" s="308">
        <f t="shared" si="52"/>
        <v>0</v>
      </c>
      <c r="H86" s="1076">
        <f t="shared" si="52"/>
        <v>0</v>
      </c>
      <c r="I86" s="1734">
        <f>+K86+F86+E86</f>
        <v>376259</v>
      </c>
      <c r="J86" s="2134">
        <f t="shared" si="49"/>
        <v>100</v>
      </c>
      <c r="K86" s="308">
        <f t="shared" ref="K86" si="53">+K87</f>
        <v>0</v>
      </c>
      <c r="L86" s="1076">
        <v>0</v>
      </c>
      <c r="M86" s="309">
        <f t="shared" si="51"/>
        <v>0</v>
      </c>
      <c r="N86" s="3225"/>
    </row>
    <row r="87" spans="1:14" ht="13.5" customHeight="1" x14ac:dyDescent="0.2">
      <c r="A87" s="3093"/>
      <c r="B87" s="279" t="s">
        <v>8</v>
      </c>
      <c r="C87" s="3100"/>
      <c r="D87" s="1701">
        <f>+E87+F87+G87+H87</f>
        <v>376259</v>
      </c>
      <c r="E87" s="1702">
        <f>42599+139001+95911</f>
        <v>277511</v>
      </c>
      <c r="F87" s="292">
        <v>98748</v>
      </c>
      <c r="G87" s="293">
        <v>0</v>
      </c>
      <c r="H87" s="1077">
        <v>0</v>
      </c>
      <c r="I87" s="2194">
        <f>+K87+F87+E87</f>
        <v>376259</v>
      </c>
      <c r="J87" s="2146">
        <f t="shared" si="49"/>
        <v>100</v>
      </c>
      <c r="K87" s="293">
        <v>0</v>
      </c>
      <c r="L87" s="2164">
        <v>0</v>
      </c>
      <c r="M87" s="1127">
        <f t="shared" si="51"/>
        <v>0</v>
      </c>
      <c r="N87" s="3225"/>
    </row>
    <row r="88" spans="1:14" ht="12.75" customHeight="1" x14ac:dyDescent="0.2">
      <c r="A88" s="3093"/>
      <c r="B88" s="2004" t="s">
        <v>13</v>
      </c>
      <c r="C88" s="3100"/>
      <c r="D88" s="282">
        <f t="shared" ref="D88:H88" si="54">+D89</f>
        <v>2132122</v>
      </c>
      <c r="E88" s="283">
        <f t="shared" si="54"/>
        <v>1572554</v>
      </c>
      <c r="F88" s="283">
        <f t="shared" si="54"/>
        <v>559568</v>
      </c>
      <c r="G88" s="284">
        <f t="shared" si="54"/>
        <v>0</v>
      </c>
      <c r="H88" s="1078">
        <f t="shared" si="54"/>
        <v>0</v>
      </c>
      <c r="I88" s="1734">
        <f>+K88+F88+E88</f>
        <v>2132122</v>
      </c>
      <c r="J88" s="2134">
        <f t="shared" si="49"/>
        <v>100</v>
      </c>
      <c r="K88" s="284">
        <f t="shared" ref="K88" si="55">+K89</f>
        <v>0</v>
      </c>
      <c r="L88" s="1076">
        <v>0</v>
      </c>
      <c r="M88" s="285">
        <f t="shared" si="51"/>
        <v>0</v>
      </c>
      <c r="N88" s="3225"/>
    </row>
    <row r="89" spans="1:14" ht="13.5" customHeight="1" x14ac:dyDescent="0.2">
      <c r="A89" s="3093"/>
      <c r="B89" s="279" t="s">
        <v>15</v>
      </c>
      <c r="C89" s="3100"/>
      <c r="D89" s="1701">
        <f>+E89+F89+G89+H89</f>
        <v>2132122</v>
      </c>
      <c r="E89" s="1702">
        <f>241392+787671+543491</f>
        <v>1572554</v>
      </c>
      <c r="F89" s="292">
        <v>559568</v>
      </c>
      <c r="G89" s="293">
        <v>0</v>
      </c>
      <c r="H89" s="1077">
        <v>0</v>
      </c>
      <c r="I89" s="2194">
        <f>+K89+F89+E89</f>
        <v>2132122</v>
      </c>
      <c r="J89" s="2146">
        <f t="shared" si="49"/>
        <v>100</v>
      </c>
      <c r="K89" s="293">
        <v>0</v>
      </c>
      <c r="L89" s="2164">
        <v>0</v>
      </c>
      <c r="M89" s="1127">
        <f t="shared" si="51"/>
        <v>0</v>
      </c>
      <c r="N89" s="3225"/>
    </row>
    <row r="90" spans="1:14" ht="13.5" customHeight="1" x14ac:dyDescent="0.2">
      <c r="A90" s="3104"/>
      <c r="B90" s="312" t="s">
        <v>17</v>
      </c>
      <c r="C90" s="237"/>
      <c r="D90" s="302">
        <f t="shared" ref="D90:I90" si="56">+D91+D93</f>
        <v>2508381</v>
      </c>
      <c r="E90" s="304">
        <f t="shared" si="56"/>
        <v>1901430</v>
      </c>
      <c r="F90" s="304">
        <f t="shared" si="56"/>
        <v>606951</v>
      </c>
      <c r="G90" s="303">
        <f t="shared" si="56"/>
        <v>0</v>
      </c>
      <c r="H90" s="1075">
        <f t="shared" si="56"/>
        <v>0</v>
      </c>
      <c r="I90" s="302">
        <f t="shared" si="56"/>
        <v>2508381</v>
      </c>
      <c r="J90" s="2119">
        <f t="shared" si="49"/>
        <v>100</v>
      </c>
      <c r="K90" s="303">
        <f t="shared" ref="K90" si="57">+K91+K93</f>
        <v>0</v>
      </c>
      <c r="L90" s="2155">
        <v>0</v>
      </c>
      <c r="M90" s="306">
        <f t="shared" si="51"/>
        <v>0</v>
      </c>
      <c r="N90" s="3226"/>
    </row>
    <row r="91" spans="1:14" ht="13.5" customHeight="1" x14ac:dyDescent="0.2">
      <c r="A91" s="3104"/>
      <c r="B91" s="1994" t="s">
        <v>18</v>
      </c>
      <c r="C91" s="3122" t="s">
        <v>129</v>
      </c>
      <c r="D91" s="282">
        <f t="shared" ref="D91:K91" si="58">+D92</f>
        <v>376259</v>
      </c>
      <c r="E91" s="283">
        <f t="shared" si="58"/>
        <v>277511</v>
      </c>
      <c r="F91" s="283">
        <f t="shared" si="58"/>
        <v>98748</v>
      </c>
      <c r="G91" s="284">
        <f t="shared" si="58"/>
        <v>0</v>
      </c>
      <c r="H91" s="1078">
        <f t="shared" si="58"/>
        <v>0</v>
      </c>
      <c r="I91" s="282">
        <f t="shared" si="58"/>
        <v>376259</v>
      </c>
      <c r="J91" s="2134">
        <f t="shared" si="49"/>
        <v>100</v>
      </c>
      <c r="K91" s="284">
        <f t="shared" si="58"/>
        <v>0</v>
      </c>
      <c r="L91" s="1076">
        <v>0</v>
      </c>
      <c r="M91" s="285">
        <f t="shared" si="51"/>
        <v>0</v>
      </c>
      <c r="N91" s="3226"/>
    </row>
    <row r="92" spans="1:14" ht="13.5" customHeight="1" x14ac:dyDescent="0.2">
      <c r="A92" s="3104"/>
      <c r="B92" s="279" t="s">
        <v>8</v>
      </c>
      <c r="C92" s="3100"/>
      <c r="D92" s="1701">
        <f>+E92+F92+G92+H92</f>
        <v>376259</v>
      </c>
      <c r="E92" s="1702">
        <f>42599+139001+95911</f>
        <v>277511</v>
      </c>
      <c r="F92" s="292">
        <v>98748</v>
      </c>
      <c r="G92" s="293">
        <v>0</v>
      </c>
      <c r="H92" s="1077">
        <v>0</v>
      </c>
      <c r="I92" s="1701">
        <f>+K92+F92+E92</f>
        <v>376259</v>
      </c>
      <c r="J92" s="2146">
        <f t="shared" si="49"/>
        <v>100</v>
      </c>
      <c r="K92" s="293">
        <v>0</v>
      </c>
      <c r="L92" s="2164">
        <v>0</v>
      </c>
      <c r="M92" s="1127">
        <f t="shared" si="51"/>
        <v>0</v>
      </c>
      <c r="N92" s="3226"/>
    </row>
    <row r="93" spans="1:14" ht="12" customHeight="1" thickBot="1" x14ac:dyDescent="0.25">
      <c r="A93" s="3103"/>
      <c r="B93" s="2004" t="s">
        <v>13</v>
      </c>
      <c r="C93" s="3126"/>
      <c r="D93" s="282">
        <f t="shared" ref="D93:K93" si="59">+D94</f>
        <v>2132122</v>
      </c>
      <c r="E93" s="283">
        <f t="shared" si="59"/>
        <v>1623919</v>
      </c>
      <c r="F93" s="283">
        <f t="shared" si="59"/>
        <v>508203</v>
      </c>
      <c r="G93" s="284">
        <f t="shared" si="59"/>
        <v>0</v>
      </c>
      <c r="H93" s="1078">
        <f t="shared" si="59"/>
        <v>0</v>
      </c>
      <c r="I93" s="282">
        <f t="shared" si="59"/>
        <v>2132122</v>
      </c>
      <c r="J93" s="2134">
        <f t="shared" si="49"/>
        <v>100</v>
      </c>
      <c r="K93" s="284">
        <f t="shared" si="59"/>
        <v>0</v>
      </c>
      <c r="L93" s="1076">
        <v>0</v>
      </c>
      <c r="M93" s="285">
        <f t="shared" si="51"/>
        <v>0</v>
      </c>
      <c r="N93" s="3227"/>
    </row>
    <row r="94" spans="1:14" ht="13.5" customHeight="1" thickBot="1" x14ac:dyDescent="0.25">
      <c r="A94" s="3097"/>
      <c r="B94" s="287" t="s">
        <v>15</v>
      </c>
      <c r="C94" s="3266"/>
      <c r="D94" s="1711">
        <f>+E94+F94+G94+H94</f>
        <v>2132122</v>
      </c>
      <c r="E94" s="1712">
        <f>241392+787671+594856</f>
        <v>1623919</v>
      </c>
      <c r="F94" s="2167">
        <v>508203</v>
      </c>
      <c r="G94" s="318">
        <v>0</v>
      </c>
      <c r="H94" s="1079">
        <v>0</v>
      </c>
      <c r="I94" s="289">
        <f>+K94+F94+E94</f>
        <v>2132122</v>
      </c>
      <c r="J94" s="2195">
        <f t="shared" si="49"/>
        <v>100</v>
      </c>
      <c r="K94" s="318">
        <v>0</v>
      </c>
      <c r="L94" s="2196">
        <v>0</v>
      </c>
      <c r="M94" s="1128">
        <f t="shared" si="51"/>
        <v>0</v>
      </c>
      <c r="N94" s="3265"/>
    </row>
    <row r="95" spans="1:14" ht="29.25" customHeight="1" x14ac:dyDescent="0.2">
      <c r="A95" s="3092" t="s">
        <v>46</v>
      </c>
      <c r="B95" s="2122" t="s">
        <v>131</v>
      </c>
      <c r="C95" s="2123" t="s">
        <v>198</v>
      </c>
      <c r="D95" s="278"/>
      <c r="E95" s="276"/>
      <c r="F95" s="276"/>
      <c r="G95" s="276"/>
      <c r="H95" s="305"/>
      <c r="I95" s="278"/>
      <c r="J95" s="276"/>
      <c r="K95" s="276"/>
      <c r="L95" s="305"/>
      <c r="M95" s="277"/>
      <c r="N95" s="3224" t="s">
        <v>119</v>
      </c>
    </row>
    <row r="96" spans="1:14" ht="13.5" customHeight="1" x14ac:dyDescent="0.2">
      <c r="A96" s="3093"/>
      <c r="B96" s="312" t="s">
        <v>3</v>
      </c>
      <c r="C96" s="237"/>
      <c r="D96" s="2142">
        <f t="shared" ref="D96:I96" si="60">+D97+D100</f>
        <v>10877760</v>
      </c>
      <c r="E96" s="2143">
        <f t="shared" si="60"/>
        <v>6884473</v>
      </c>
      <c r="F96" s="2143">
        <f>+F97+F100</f>
        <v>1709269</v>
      </c>
      <c r="G96" s="2143">
        <f t="shared" si="60"/>
        <v>2284018</v>
      </c>
      <c r="H96" s="2168">
        <f t="shared" si="60"/>
        <v>0</v>
      </c>
      <c r="I96" s="2142">
        <f t="shared" si="60"/>
        <v>9892951</v>
      </c>
      <c r="J96" s="2119">
        <f t="shared" ref="J96:J106" si="61">I96/D96*100</f>
        <v>90.946582752331366</v>
      </c>
      <c r="K96" s="2143">
        <f>+K97+K100</f>
        <v>1299208</v>
      </c>
      <c r="L96" s="2169">
        <f>K96/G96*100</f>
        <v>56.882563972788304</v>
      </c>
      <c r="M96" s="2170">
        <f>+K96-G96*0.5</f>
        <v>157199</v>
      </c>
      <c r="N96" s="3225"/>
    </row>
    <row r="97" spans="1:14" ht="13.5" customHeight="1" x14ac:dyDescent="0.2">
      <c r="A97" s="3093"/>
      <c r="B97" s="1994" t="s">
        <v>18</v>
      </c>
      <c r="C97" s="3039" t="s">
        <v>130</v>
      </c>
      <c r="D97" s="1734">
        <f t="shared" ref="D97:I97" si="62">+D98+D99</f>
        <v>1631666</v>
      </c>
      <c r="E97" s="1706">
        <f t="shared" si="62"/>
        <v>1032674</v>
      </c>
      <c r="F97" s="1706">
        <f>+F98+F99</f>
        <v>256392</v>
      </c>
      <c r="G97" s="1706">
        <f t="shared" si="62"/>
        <v>342600</v>
      </c>
      <c r="H97" s="1818">
        <f t="shared" si="62"/>
        <v>0</v>
      </c>
      <c r="I97" s="1734">
        <f t="shared" si="62"/>
        <v>1483948</v>
      </c>
      <c r="J97" s="2134">
        <f t="shared" si="61"/>
        <v>90.946799161102817</v>
      </c>
      <c r="K97" s="1706">
        <f>+K98+K99-1</f>
        <v>194881</v>
      </c>
      <c r="L97" s="2197">
        <f>K97/G97*100</f>
        <v>56.882953882078226</v>
      </c>
      <c r="M97" s="1425">
        <f t="shared" ref="M97:M106" si="63">+K97-G97*0.5</f>
        <v>23581</v>
      </c>
      <c r="N97" s="3225"/>
    </row>
    <row r="98" spans="1:14" ht="13.5" customHeight="1" x14ac:dyDescent="0.2">
      <c r="A98" s="3093"/>
      <c r="B98" s="279" t="s">
        <v>5</v>
      </c>
      <c r="C98" s="3100"/>
      <c r="D98" s="1701">
        <f>+E98+F98+G98+H98</f>
        <v>815833</v>
      </c>
      <c r="E98" s="1702">
        <f>236517+198691+81129</f>
        <v>516337</v>
      </c>
      <c r="F98" s="292">
        <v>128196</v>
      </c>
      <c r="G98" s="292">
        <v>171300</v>
      </c>
      <c r="H98" s="2174">
        <v>0</v>
      </c>
      <c r="I98" s="1730">
        <f>K98+E98+F98</f>
        <v>741974</v>
      </c>
      <c r="J98" s="2146">
        <f t="shared" si="61"/>
        <v>90.946799161102817</v>
      </c>
      <c r="K98" s="1702">
        <v>97441</v>
      </c>
      <c r="L98" s="2198">
        <f>K98/G98*100</f>
        <v>56.883245767659076</v>
      </c>
      <c r="M98" s="1424">
        <f t="shared" si="63"/>
        <v>11791</v>
      </c>
      <c r="N98" s="3225"/>
    </row>
    <row r="99" spans="1:14" ht="13.5" customHeight="1" x14ac:dyDescent="0.2">
      <c r="A99" s="3093"/>
      <c r="B99" s="279" t="s">
        <v>8</v>
      </c>
      <c r="C99" s="3100"/>
      <c r="D99" s="1701">
        <f>+E99+F99+G99+H99</f>
        <v>815833</v>
      </c>
      <c r="E99" s="1702">
        <f>236517+198691+81129</f>
        <v>516337</v>
      </c>
      <c r="F99" s="292">
        <v>128196</v>
      </c>
      <c r="G99" s="292">
        <v>171300</v>
      </c>
      <c r="H99" s="2174">
        <v>0</v>
      </c>
      <c r="I99" s="1730">
        <f>K99+E99+F99</f>
        <v>741974</v>
      </c>
      <c r="J99" s="2146">
        <f t="shared" si="61"/>
        <v>90.946799161102817</v>
      </c>
      <c r="K99" s="1702">
        <v>97441</v>
      </c>
      <c r="L99" s="2199">
        <f>K99/G99*100</f>
        <v>56.883245767659076</v>
      </c>
      <c r="M99" s="1424">
        <f t="shared" si="63"/>
        <v>11791</v>
      </c>
      <c r="N99" s="3225"/>
    </row>
    <row r="100" spans="1:14" ht="12.75" customHeight="1" x14ac:dyDescent="0.2">
      <c r="A100" s="3093"/>
      <c r="B100" s="2004" t="s">
        <v>13</v>
      </c>
      <c r="C100" s="3100"/>
      <c r="D100" s="282">
        <f t="shared" ref="D100:I100" si="64">+D101</f>
        <v>9246094</v>
      </c>
      <c r="E100" s="283">
        <f t="shared" si="64"/>
        <v>5851799</v>
      </c>
      <c r="F100" s="283">
        <f>+F101</f>
        <v>1452877</v>
      </c>
      <c r="G100" s="283">
        <f t="shared" si="64"/>
        <v>1941418</v>
      </c>
      <c r="H100" s="1819">
        <f t="shared" si="64"/>
        <v>0</v>
      </c>
      <c r="I100" s="282">
        <f t="shared" si="64"/>
        <v>8409003</v>
      </c>
      <c r="J100" s="2134">
        <f t="shared" si="61"/>
        <v>90.946544562493088</v>
      </c>
      <c r="K100" s="283">
        <f>+K101</f>
        <v>1104327</v>
      </c>
      <c r="L100" s="2134">
        <f t="shared" ref="L100:L101" si="65">K100/G100*100</f>
        <v>56.882495165904515</v>
      </c>
      <c r="M100" s="1426">
        <f t="shared" si="63"/>
        <v>133618</v>
      </c>
      <c r="N100" s="3225"/>
    </row>
    <row r="101" spans="1:14" ht="13.5" customHeight="1" x14ac:dyDescent="0.2">
      <c r="A101" s="3093"/>
      <c r="B101" s="279" t="s">
        <v>15</v>
      </c>
      <c r="C101" s="3100"/>
      <c r="D101" s="1701">
        <f>+E101+F101+G101+H101</f>
        <v>9246094</v>
      </c>
      <c r="E101" s="1702">
        <f>2680513+2251831+919455</f>
        <v>5851799</v>
      </c>
      <c r="F101" s="292">
        <v>1452877</v>
      </c>
      <c r="G101" s="292">
        <v>1941418</v>
      </c>
      <c r="H101" s="2174">
        <v>0</v>
      </c>
      <c r="I101" s="1730">
        <f>K101+E101+F101</f>
        <v>8409003</v>
      </c>
      <c r="J101" s="2146">
        <f t="shared" si="61"/>
        <v>90.946544562493088</v>
      </c>
      <c r="K101" s="1702">
        <v>1104327</v>
      </c>
      <c r="L101" s="2146">
        <f t="shared" si="65"/>
        <v>56.882495165904515</v>
      </c>
      <c r="M101" s="1424">
        <f t="shared" si="63"/>
        <v>133618</v>
      </c>
      <c r="N101" s="3225"/>
    </row>
    <row r="102" spans="1:14" ht="13.5" customHeight="1" x14ac:dyDescent="0.2">
      <c r="A102" s="3104"/>
      <c r="B102" s="312" t="s">
        <v>17</v>
      </c>
      <c r="C102" s="237"/>
      <c r="D102" s="302">
        <f t="shared" ref="D102:I102" si="66">+D103+D105</f>
        <v>10061927</v>
      </c>
      <c r="E102" s="304">
        <f t="shared" si="66"/>
        <v>6429462</v>
      </c>
      <c r="F102" s="304">
        <f t="shared" si="66"/>
        <v>1940864</v>
      </c>
      <c r="G102" s="304">
        <f t="shared" si="66"/>
        <v>1691601</v>
      </c>
      <c r="H102" s="1180">
        <f t="shared" si="66"/>
        <v>0</v>
      </c>
      <c r="I102" s="302">
        <f t="shared" si="66"/>
        <v>9506929</v>
      </c>
      <c r="J102" s="2119">
        <f t="shared" si="61"/>
        <v>94.484177831940144</v>
      </c>
      <c r="K102" s="304">
        <f>+K103+K105</f>
        <v>1136603</v>
      </c>
      <c r="L102" s="2119">
        <f>K102/G102*100</f>
        <v>67.190962880726602</v>
      </c>
      <c r="M102" s="1185">
        <f t="shared" si="63"/>
        <v>290802.5</v>
      </c>
      <c r="N102" s="3226"/>
    </row>
    <row r="103" spans="1:14" ht="13.5" customHeight="1" x14ac:dyDescent="0.2">
      <c r="A103" s="3104"/>
      <c r="B103" s="1994" t="s">
        <v>18</v>
      </c>
      <c r="C103" s="3122" t="s">
        <v>123</v>
      </c>
      <c r="D103" s="282">
        <f t="shared" ref="D103:I103" si="67">+D104</f>
        <v>815833</v>
      </c>
      <c r="E103" s="283">
        <f t="shared" si="67"/>
        <v>516337</v>
      </c>
      <c r="F103" s="283">
        <f t="shared" si="67"/>
        <v>128196</v>
      </c>
      <c r="G103" s="283">
        <f t="shared" si="67"/>
        <v>171300</v>
      </c>
      <c r="H103" s="1819">
        <f t="shared" si="67"/>
        <v>0</v>
      </c>
      <c r="I103" s="282">
        <f t="shared" si="67"/>
        <v>770834</v>
      </c>
      <c r="J103" s="2134">
        <f t="shared" si="61"/>
        <v>94.484287838319844</v>
      </c>
      <c r="K103" s="283">
        <f>+K104</f>
        <v>126301</v>
      </c>
      <c r="L103" s="2134">
        <f>K103/G103*100</f>
        <v>73.730881494454167</v>
      </c>
      <c r="M103" s="1426">
        <f t="shared" si="63"/>
        <v>40651</v>
      </c>
      <c r="N103" s="3226"/>
    </row>
    <row r="104" spans="1:14" ht="13.5" customHeight="1" x14ac:dyDescent="0.2">
      <c r="A104" s="3104"/>
      <c r="B104" s="279" t="s">
        <v>8</v>
      </c>
      <c r="C104" s="3100"/>
      <c r="D104" s="1701">
        <f>+E104+F104+G104+H104</f>
        <v>815833</v>
      </c>
      <c r="E104" s="1702">
        <f>236517+198691+81129</f>
        <v>516337</v>
      </c>
      <c r="F104" s="292">
        <v>128196</v>
      </c>
      <c r="G104" s="292">
        <v>171300</v>
      </c>
      <c r="H104" s="2174">
        <v>0</v>
      </c>
      <c r="I104" s="1701">
        <f>K104+E104+F104</f>
        <v>770834</v>
      </c>
      <c r="J104" s="2146">
        <f t="shared" si="61"/>
        <v>94.484287838319844</v>
      </c>
      <c r="K104" s="2144">
        <v>126301</v>
      </c>
      <c r="L104" s="2146">
        <f>K104/G104*100</f>
        <v>73.730881494454167</v>
      </c>
      <c r="M104" s="2145">
        <f t="shared" si="63"/>
        <v>40651</v>
      </c>
      <c r="N104" s="3226"/>
    </row>
    <row r="105" spans="1:14" ht="12" customHeight="1" x14ac:dyDescent="0.2">
      <c r="A105" s="3104"/>
      <c r="B105" s="2004" t="s">
        <v>13</v>
      </c>
      <c r="C105" s="3125"/>
      <c r="D105" s="282">
        <f t="shared" ref="D105:I105" si="68">+D106</f>
        <v>9246094</v>
      </c>
      <c r="E105" s="283">
        <f t="shared" si="68"/>
        <v>5913125</v>
      </c>
      <c r="F105" s="283">
        <f t="shared" si="68"/>
        <v>1812668</v>
      </c>
      <c r="G105" s="283">
        <f t="shared" si="68"/>
        <v>1520301</v>
      </c>
      <c r="H105" s="1819">
        <f t="shared" si="68"/>
        <v>0</v>
      </c>
      <c r="I105" s="282">
        <f t="shared" si="68"/>
        <v>8736095</v>
      </c>
      <c r="J105" s="2134">
        <f t="shared" si="61"/>
        <v>94.484168125480878</v>
      </c>
      <c r="K105" s="283">
        <f>+K106</f>
        <v>1010302</v>
      </c>
      <c r="L105" s="2134">
        <f>K105/G105*100</f>
        <v>66.454077186030929</v>
      </c>
      <c r="M105" s="1426">
        <f t="shared" si="63"/>
        <v>250151.5</v>
      </c>
      <c r="N105" s="3226"/>
    </row>
    <row r="106" spans="1:14" ht="13.5" customHeight="1" thickBot="1" x14ac:dyDescent="0.25">
      <c r="A106" s="3103"/>
      <c r="B106" s="287" t="s">
        <v>15</v>
      </c>
      <c r="C106" s="3126"/>
      <c r="D106" s="1711">
        <f>+E106+F106+G106+H106</f>
        <v>9246094</v>
      </c>
      <c r="E106" s="1712">
        <f>2680513+2251831+980781</f>
        <v>5913125</v>
      </c>
      <c r="F106" s="2167">
        <v>1812668</v>
      </c>
      <c r="G106" s="2167">
        <v>1520301</v>
      </c>
      <c r="H106" s="1202">
        <v>0</v>
      </c>
      <c r="I106" s="289">
        <f>K106+E106+F106</f>
        <v>8736095</v>
      </c>
      <c r="J106" s="2136">
        <f t="shared" si="61"/>
        <v>94.484168125480878</v>
      </c>
      <c r="K106" s="1712">
        <v>1010302</v>
      </c>
      <c r="L106" s="2136">
        <f>K106/G106*100</f>
        <v>66.454077186030929</v>
      </c>
      <c r="M106" s="1428">
        <f t="shared" si="63"/>
        <v>250151.5</v>
      </c>
      <c r="N106" s="3227"/>
    </row>
    <row r="107" spans="1:14" ht="26.25" customHeight="1" x14ac:dyDescent="0.2">
      <c r="A107" s="3092" t="s">
        <v>47</v>
      </c>
      <c r="B107" s="2122" t="s">
        <v>132</v>
      </c>
      <c r="C107" s="2123" t="s">
        <v>198</v>
      </c>
      <c r="D107" s="278"/>
      <c r="E107" s="276"/>
      <c r="F107" s="276"/>
      <c r="G107" s="276"/>
      <c r="H107" s="305"/>
      <c r="I107" s="278"/>
      <c r="J107" s="276"/>
      <c r="K107" s="276"/>
      <c r="L107" s="276"/>
      <c r="M107" s="277"/>
      <c r="N107" s="3224" t="s">
        <v>119</v>
      </c>
    </row>
    <row r="108" spans="1:14" ht="13.5" customHeight="1" x14ac:dyDescent="0.2">
      <c r="A108" s="3093"/>
      <c r="B108" s="312" t="s">
        <v>3</v>
      </c>
      <c r="C108" s="237"/>
      <c r="D108" s="2142">
        <f t="shared" ref="D108:I108" si="69">+D109+D112</f>
        <v>4914650</v>
      </c>
      <c r="E108" s="2143">
        <f t="shared" si="69"/>
        <v>2761307</v>
      </c>
      <c r="F108" s="2143">
        <f t="shared" si="69"/>
        <v>1217110</v>
      </c>
      <c r="G108" s="2143">
        <f t="shared" si="69"/>
        <v>936233</v>
      </c>
      <c r="H108" s="2168">
        <f t="shared" si="69"/>
        <v>0</v>
      </c>
      <c r="I108" s="2142">
        <f t="shared" si="69"/>
        <v>4677632</v>
      </c>
      <c r="J108" s="2119">
        <f>I108/D108*100</f>
        <v>95.177316797737376</v>
      </c>
      <c r="K108" s="2143">
        <f>+K109+K112</f>
        <v>699215</v>
      </c>
      <c r="L108" s="2119">
        <f>K108/G108*100</f>
        <v>74.683866088890255</v>
      </c>
      <c r="M108" s="2200">
        <f>+K108-G108*0.5</f>
        <v>231098.5</v>
      </c>
      <c r="N108" s="3225"/>
    </row>
    <row r="109" spans="1:14" ht="13.5" customHeight="1" x14ac:dyDescent="0.2">
      <c r="A109" s="3093"/>
      <c r="B109" s="1994" t="s">
        <v>18</v>
      </c>
      <c r="C109" s="3039" t="s">
        <v>120</v>
      </c>
      <c r="D109" s="1734">
        <f t="shared" ref="D109:I109" si="70">+D110+D111</f>
        <v>737202</v>
      </c>
      <c r="E109" s="1706">
        <f t="shared" si="70"/>
        <v>414199</v>
      </c>
      <c r="F109" s="1706">
        <f t="shared" si="70"/>
        <v>182567</v>
      </c>
      <c r="G109" s="1706">
        <f t="shared" si="70"/>
        <v>140436</v>
      </c>
      <c r="H109" s="1818">
        <f t="shared" si="70"/>
        <v>0</v>
      </c>
      <c r="I109" s="1734">
        <f t="shared" si="70"/>
        <v>701648</v>
      </c>
      <c r="J109" s="2134">
        <f t="shared" ref="J109:J113" si="71">I109/D109*100</f>
        <v>95.177169893733335</v>
      </c>
      <c r="K109" s="1706">
        <f>+K110+K111</f>
        <v>104882</v>
      </c>
      <c r="L109" s="2134">
        <f t="shared" ref="L109:L113" si="72">K109/G109*100</f>
        <v>74.683129681847959</v>
      </c>
      <c r="M109" s="2201">
        <f t="shared" ref="M109:M118" si="73">+K109-G109*0.5</f>
        <v>34664</v>
      </c>
      <c r="N109" s="3225"/>
    </row>
    <row r="110" spans="1:14" ht="11.25" customHeight="1" x14ac:dyDescent="0.2">
      <c r="A110" s="3093"/>
      <c r="B110" s="279" t="s">
        <v>5</v>
      </c>
      <c r="C110" s="3100"/>
      <c r="D110" s="1701">
        <f>+E110+F110+G110+H110</f>
        <v>73722</v>
      </c>
      <c r="E110" s="1702">
        <f>4370+18806+18245</f>
        <v>41421</v>
      </c>
      <c r="F110" s="292">
        <v>18257</v>
      </c>
      <c r="G110" s="292">
        <v>14044</v>
      </c>
      <c r="H110" s="2202">
        <v>0</v>
      </c>
      <c r="I110" s="1730">
        <f>K110+E110+F110</f>
        <v>70166</v>
      </c>
      <c r="J110" s="2146">
        <f t="shared" si="71"/>
        <v>95.176473779875749</v>
      </c>
      <c r="K110" s="1702">
        <v>10488</v>
      </c>
      <c r="L110" s="2146">
        <f t="shared" si="72"/>
        <v>74.679578467673025</v>
      </c>
      <c r="M110" s="2203">
        <f t="shared" si="73"/>
        <v>3466</v>
      </c>
      <c r="N110" s="3225"/>
    </row>
    <row r="111" spans="1:14" x14ac:dyDescent="0.2">
      <c r="A111" s="3093"/>
      <c r="B111" s="279" t="s">
        <v>8</v>
      </c>
      <c r="C111" s="3100"/>
      <c r="D111" s="1701">
        <f>+E111+F111+G111+H111</f>
        <v>663480</v>
      </c>
      <c r="E111" s="1702">
        <f>39327+169256+164195</f>
        <v>372778</v>
      </c>
      <c r="F111" s="292">
        <v>164310</v>
      </c>
      <c r="G111" s="292">
        <v>126392</v>
      </c>
      <c r="H111" s="2174">
        <v>0</v>
      </c>
      <c r="I111" s="1730">
        <f>K111+E111+F111</f>
        <v>631482</v>
      </c>
      <c r="J111" s="2146">
        <f t="shared" si="71"/>
        <v>95.177247241815877</v>
      </c>
      <c r="K111" s="1702">
        <v>94394</v>
      </c>
      <c r="L111" s="2146">
        <f t="shared" si="72"/>
        <v>74.683524273688207</v>
      </c>
      <c r="M111" s="2203">
        <f t="shared" si="73"/>
        <v>31198</v>
      </c>
      <c r="N111" s="3225"/>
    </row>
    <row r="112" spans="1:14" ht="12.75" customHeight="1" x14ac:dyDescent="0.2">
      <c r="A112" s="3093"/>
      <c r="B112" s="2004" t="s">
        <v>13</v>
      </c>
      <c r="C112" s="3100"/>
      <c r="D112" s="282">
        <f t="shared" ref="D112:I112" si="74">+D113</f>
        <v>4177448</v>
      </c>
      <c r="E112" s="283">
        <f t="shared" si="74"/>
        <v>2347108</v>
      </c>
      <c r="F112" s="283">
        <f t="shared" si="74"/>
        <v>1034543</v>
      </c>
      <c r="G112" s="283">
        <f t="shared" si="74"/>
        <v>795797</v>
      </c>
      <c r="H112" s="1819">
        <f t="shared" si="74"/>
        <v>0</v>
      </c>
      <c r="I112" s="282">
        <f t="shared" si="74"/>
        <v>3975984</v>
      </c>
      <c r="J112" s="2134">
        <f t="shared" si="71"/>
        <v>95.177342722159551</v>
      </c>
      <c r="K112" s="283">
        <f>+K113</f>
        <v>594333</v>
      </c>
      <c r="L112" s="2134">
        <f t="shared" si="72"/>
        <v>74.683996044217309</v>
      </c>
      <c r="M112" s="1708">
        <f t="shared" si="73"/>
        <v>196434.5</v>
      </c>
      <c r="N112" s="3225"/>
    </row>
    <row r="113" spans="1:14" x14ac:dyDescent="0.2">
      <c r="A113" s="3093"/>
      <c r="B113" s="279" t="s">
        <v>15</v>
      </c>
      <c r="C113" s="3100"/>
      <c r="D113" s="1701">
        <f>+E113+F113+G113+H113</f>
        <v>4177448</v>
      </c>
      <c r="E113" s="1702">
        <f>247610+1065685+1033813</f>
        <v>2347108</v>
      </c>
      <c r="F113" s="292">
        <v>1034543</v>
      </c>
      <c r="G113" s="292">
        <v>795797</v>
      </c>
      <c r="H113" s="2174">
        <v>0</v>
      </c>
      <c r="I113" s="1730">
        <f>K113+E113+F113</f>
        <v>3975984</v>
      </c>
      <c r="J113" s="2146">
        <f t="shared" si="71"/>
        <v>95.177342722159551</v>
      </c>
      <c r="K113" s="1702">
        <v>594333</v>
      </c>
      <c r="L113" s="2146">
        <f t="shared" si="72"/>
        <v>74.683996044217309</v>
      </c>
      <c r="M113" s="2203">
        <f t="shared" si="73"/>
        <v>196434.5</v>
      </c>
      <c r="N113" s="3225"/>
    </row>
    <row r="114" spans="1:14" ht="13.5" customHeight="1" x14ac:dyDescent="0.2">
      <c r="A114" s="3104"/>
      <c r="B114" s="312" t="s">
        <v>17</v>
      </c>
      <c r="C114" s="237"/>
      <c r="D114" s="302">
        <f t="shared" ref="D114:I114" si="75">+D115+D117</f>
        <v>4840928</v>
      </c>
      <c r="E114" s="304">
        <f t="shared" si="75"/>
        <v>2725567</v>
      </c>
      <c r="F114" s="304">
        <f t="shared" si="75"/>
        <v>1231632</v>
      </c>
      <c r="G114" s="304">
        <f t="shared" si="75"/>
        <v>883729</v>
      </c>
      <c r="H114" s="1180">
        <f t="shared" si="75"/>
        <v>0</v>
      </c>
      <c r="I114" s="302">
        <f t="shared" si="75"/>
        <v>4840928</v>
      </c>
      <c r="J114" s="2119">
        <f>I114/D114*100</f>
        <v>100</v>
      </c>
      <c r="K114" s="304">
        <f>+K115+K117</f>
        <v>883729</v>
      </c>
      <c r="L114" s="2119">
        <f>K114/G114*100</f>
        <v>100</v>
      </c>
      <c r="M114" s="1695">
        <f t="shared" si="73"/>
        <v>441864.5</v>
      </c>
      <c r="N114" s="3226"/>
    </row>
    <row r="115" spans="1:14" ht="11.25" customHeight="1" x14ac:dyDescent="0.2">
      <c r="A115" s="3104"/>
      <c r="B115" s="1994" t="s">
        <v>18</v>
      </c>
      <c r="C115" s="3122" t="s">
        <v>129</v>
      </c>
      <c r="D115" s="282">
        <f t="shared" ref="D115:I115" si="76">+D116</f>
        <v>663480</v>
      </c>
      <c r="E115" s="283">
        <f>+E116</f>
        <v>372778</v>
      </c>
      <c r="F115" s="283">
        <f t="shared" si="76"/>
        <v>164310</v>
      </c>
      <c r="G115" s="283">
        <f t="shared" si="76"/>
        <v>126392</v>
      </c>
      <c r="H115" s="1819">
        <f t="shared" si="76"/>
        <v>0</v>
      </c>
      <c r="I115" s="282">
        <f t="shared" si="76"/>
        <v>663480</v>
      </c>
      <c r="J115" s="2134">
        <f t="shared" ref="J115:J118" si="77">I115/D115*100</f>
        <v>100</v>
      </c>
      <c r="K115" s="283">
        <f>+K116</f>
        <v>126392</v>
      </c>
      <c r="L115" s="2134">
        <f t="shared" ref="L115:L118" si="78">K115/G115*100</f>
        <v>100</v>
      </c>
      <c r="M115" s="1708">
        <f t="shared" si="73"/>
        <v>63196</v>
      </c>
      <c r="N115" s="3226"/>
    </row>
    <row r="116" spans="1:14" ht="11.25" customHeight="1" x14ac:dyDescent="0.2">
      <c r="A116" s="3104"/>
      <c r="B116" s="279" t="s">
        <v>8</v>
      </c>
      <c r="C116" s="3100"/>
      <c r="D116" s="1701">
        <f>+E116+F116+G116+H116</f>
        <v>663480</v>
      </c>
      <c r="E116" s="1702">
        <f>39327+169256+164195</f>
        <v>372778</v>
      </c>
      <c r="F116" s="2144">
        <v>164310</v>
      </c>
      <c r="G116" s="2144">
        <v>126392</v>
      </c>
      <c r="H116" s="2204">
        <v>0</v>
      </c>
      <c r="I116" s="1701">
        <f>K116+E116+F116</f>
        <v>663480</v>
      </c>
      <c r="J116" s="2146">
        <f t="shared" si="77"/>
        <v>100</v>
      </c>
      <c r="K116" s="2144">
        <v>126392</v>
      </c>
      <c r="L116" s="2146">
        <f t="shared" si="78"/>
        <v>100</v>
      </c>
      <c r="M116" s="2205">
        <f t="shared" si="73"/>
        <v>63196</v>
      </c>
      <c r="N116" s="3226"/>
    </row>
    <row r="117" spans="1:14" ht="12" customHeight="1" x14ac:dyDescent="0.2">
      <c r="A117" s="3104"/>
      <c r="B117" s="2004" t="s">
        <v>13</v>
      </c>
      <c r="C117" s="3125"/>
      <c r="D117" s="282">
        <f t="shared" ref="D117:I117" si="79">+D118</f>
        <v>4177448</v>
      </c>
      <c r="E117" s="283">
        <f t="shared" si="79"/>
        <v>2352789</v>
      </c>
      <c r="F117" s="283">
        <f t="shared" si="79"/>
        <v>1067322</v>
      </c>
      <c r="G117" s="283">
        <f t="shared" si="79"/>
        <v>757337</v>
      </c>
      <c r="H117" s="1819">
        <f t="shared" si="79"/>
        <v>0</v>
      </c>
      <c r="I117" s="282">
        <f t="shared" si="79"/>
        <v>4177448</v>
      </c>
      <c r="J117" s="2134">
        <f t="shared" si="77"/>
        <v>100</v>
      </c>
      <c r="K117" s="283">
        <f>+K118</f>
        <v>757337</v>
      </c>
      <c r="L117" s="2134">
        <f t="shared" si="78"/>
        <v>100</v>
      </c>
      <c r="M117" s="1708">
        <f t="shared" si="73"/>
        <v>378668.5</v>
      </c>
      <c r="N117" s="3226"/>
    </row>
    <row r="118" spans="1:14" ht="11.25" customHeight="1" thickBot="1" x14ac:dyDescent="0.25">
      <c r="A118" s="3103"/>
      <c r="B118" s="287" t="s">
        <v>15</v>
      </c>
      <c r="C118" s="3126"/>
      <c r="D118" s="1711">
        <f>+E118+F118+G118+H118</f>
        <v>4177448</v>
      </c>
      <c r="E118" s="1712">
        <f>247610+1084861+1020318</f>
        <v>2352789</v>
      </c>
      <c r="F118" s="1712">
        <v>1067322</v>
      </c>
      <c r="G118" s="1712">
        <v>757337</v>
      </c>
      <c r="H118" s="1770">
        <v>0</v>
      </c>
      <c r="I118" s="289">
        <f>K118+E118+F118</f>
        <v>4177448</v>
      </c>
      <c r="J118" s="2136">
        <f t="shared" si="77"/>
        <v>100</v>
      </c>
      <c r="K118" s="1712">
        <v>757337</v>
      </c>
      <c r="L118" s="2136">
        <f t="shared" si="78"/>
        <v>100</v>
      </c>
      <c r="M118" s="1713">
        <f t="shared" si="73"/>
        <v>378668.5</v>
      </c>
      <c r="N118" s="3227"/>
    </row>
    <row r="119" spans="1:14" ht="37.5" customHeight="1" x14ac:dyDescent="0.2">
      <c r="A119" s="3092" t="s">
        <v>49</v>
      </c>
      <c r="B119" s="2122" t="s">
        <v>324</v>
      </c>
      <c r="C119" s="2123" t="s">
        <v>198</v>
      </c>
      <c r="D119" s="278"/>
      <c r="E119" s="276"/>
      <c r="F119" s="276"/>
      <c r="G119" s="276"/>
      <c r="H119" s="305"/>
      <c r="I119" s="278"/>
      <c r="J119" s="276"/>
      <c r="K119" s="276"/>
      <c r="L119" s="276"/>
      <c r="M119" s="277"/>
      <c r="N119" s="3224" t="s">
        <v>119</v>
      </c>
    </row>
    <row r="120" spans="1:14" ht="13.5" customHeight="1" x14ac:dyDescent="0.2">
      <c r="A120" s="3093"/>
      <c r="B120" s="312" t="s">
        <v>3</v>
      </c>
      <c r="C120" s="237"/>
      <c r="D120" s="2142">
        <f t="shared" ref="D120:I120" si="80">+D121+D124</f>
        <v>2599022</v>
      </c>
      <c r="E120" s="307">
        <f t="shared" ref="E120:F120" si="81">+E121+E123</f>
        <v>0</v>
      </c>
      <c r="F120" s="307">
        <f t="shared" si="81"/>
        <v>0</v>
      </c>
      <c r="G120" s="2206">
        <f t="shared" si="80"/>
        <v>408155</v>
      </c>
      <c r="H120" s="2168">
        <f t="shared" si="80"/>
        <v>2190867</v>
      </c>
      <c r="I120" s="2142">
        <f t="shared" si="80"/>
        <v>0</v>
      </c>
      <c r="J120" s="2119">
        <f>I120/D120*100</f>
        <v>0</v>
      </c>
      <c r="K120" s="2143">
        <f>+K121+K124</f>
        <v>0</v>
      </c>
      <c r="L120" s="2119">
        <f>K120/G120*100</f>
        <v>0</v>
      </c>
      <c r="M120" s="2200">
        <f>+K120-G120*0.5</f>
        <v>-204077.5</v>
      </c>
      <c r="N120" s="3225"/>
    </row>
    <row r="121" spans="1:14" ht="13.5" customHeight="1" x14ac:dyDescent="0.2">
      <c r="A121" s="3093"/>
      <c r="B121" s="1994" t="s">
        <v>18</v>
      </c>
      <c r="C121" s="3039" t="s">
        <v>120</v>
      </c>
      <c r="D121" s="1734">
        <f t="shared" ref="D121:I121" si="82">+D122+D123</f>
        <v>389857</v>
      </c>
      <c r="E121" s="308">
        <f t="shared" ref="E121:F121" si="83">+E122</f>
        <v>0</v>
      </c>
      <c r="F121" s="308">
        <f t="shared" si="83"/>
        <v>0</v>
      </c>
      <c r="G121" s="2207">
        <f t="shared" si="82"/>
        <v>61224</v>
      </c>
      <c r="H121" s="1818">
        <f t="shared" si="82"/>
        <v>328633</v>
      </c>
      <c r="I121" s="1734">
        <f t="shared" si="82"/>
        <v>0</v>
      </c>
      <c r="J121" s="2128">
        <f t="shared" ref="J121:J125" si="84">I121/D121*100</f>
        <v>0</v>
      </c>
      <c r="K121" s="1706">
        <f>+K122+K123</f>
        <v>0</v>
      </c>
      <c r="L121" s="2134">
        <f t="shared" ref="L121:L125" si="85">K121/G121*100</f>
        <v>0</v>
      </c>
      <c r="M121" s="2201">
        <f t="shared" ref="M121:M130" si="86">+K121-G121*0.5</f>
        <v>-30612</v>
      </c>
      <c r="N121" s="3225"/>
    </row>
    <row r="122" spans="1:14" ht="13.5" customHeight="1" x14ac:dyDescent="0.2">
      <c r="A122" s="3093"/>
      <c r="B122" s="279" t="s">
        <v>5</v>
      </c>
      <c r="C122" s="3039"/>
      <c r="D122" s="1701">
        <f>+E122+F122+G122+H122</f>
        <v>38988</v>
      </c>
      <c r="E122" s="293">
        <v>0</v>
      </c>
      <c r="F122" s="280">
        <v>0</v>
      </c>
      <c r="G122" s="2208">
        <v>6123</v>
      </c>
      <c r="H122" s="2202">
        <f>19185+13680</f>
        <v>32865</v>
      </c>
      <c r="I122" s="1730">
        <f>K122+E122+F122</f>
        <v>0</v>
      </c>
      <c r="J122" s="2199">
        <f t="shared" si="84"/>
        <v>0</v>
      </c>
      <c r="K122" s="1702">
        <v>0</v>
      </c>
      <c r="L122" s="2146">
        <f t="shared" si="85"/>
        <v>0</v>
      </c>
      <c r="M122" s="2203">
        <f t="shared" si="86"/>
        <v>-3061.5</v>
      </c>
      <c r="N122" s="3225"/>
    </row>
    <row r="123" spans="1:14" ht="13.5" customHeight="1" x14ac:dyDescent="0.2">
      <c r="A123" s="3093"/>
      <c r="B123" s="279" t="s">
        <v>8</v>
      </c>
      <c r="C123" s="3039"/>
      <c r="D123" s="1701">
        <f>+E123+F123+G123+H123</f>
        <v>350869</v>
      </c>
      <c r="E123" s="284">
        <f t="shared" ref="E123:F123" si="87">+E124</f>
        <v>0</v>
      </c>
      <c r="F123" s="284">
        <f t="shared" si="87"/>
        <v>0</v>
      </c>
      <c r="G123" s="2208">
        <v>55101</v>
      </c>
      <c r="H123" s="2174">
        <f>172654+123114</f>
        <v>295768</v>
      </c>
      <c r="I123" s="1730">
        <f>K123+E123+F123</f>
        <v>0</v>
      </c>
      <c r="J123" s="2199">
        <f t="shared" si="84"/>
        <v>0</v>
      </c>
      <c r="K123" s="1702">
        <v>0</v>
      </c>
      <c r="L123" s="2146">
        <f t="shared" si="85"/>
        <v>0</v>
      </c>
      <c r="M123" s="2203">
        <f t="shared" si="86"/>
        <v>-27550.5</v>
      </c>
      <c r="N123" s="3225"/>
    </row>
    <row r="124" spans="1:14" ht="13.5" customHeight="1" x14ac:dyDescent="0.2">
      <c r="A124" s="3093"/>
      <c r="B124" s="2004" t="s">
        <v>13</v>
      </c>
      <c r="C124" s="3039"/>
      <c r="D124" s="282">
        <f t="shared" ref="D124:I124" si="88">+D125</f>
        <v>2209165</v>
      </c>
      <c r="E124" s="293">
        <v>0</v>
      </c>
      <c r="F124" s="280">
        <v>0</v>
      </c>
      <c r="G124" s="1239">
        <f t="shared" si="88"/>
        <v>346931</v>
      </c>
      <c r="H124" s="1819">
        <f t="shared" si="88"/>
        <v>1862234</v>
      </c>
      <c r="I124" s="282">
        <f t="shared" si="88"/>
        <v>0</v>
      </c>
      <c r="J124" s="2128">
        <f t="shared" si="84"/>
        <v>0</v>
      </c>
      <c r="K124" s="283">
        <f>+K125</f>
        <v>0</v>
      </c>
      <c r="L124" s="2134">
        <f t="shared" si="85"/>
        <v>0</v>
      </c>
      <c r="M124" s="1708">
        <f t="shared" si="86"/>
        <v>-173465.5</v>
      </c>
      <c r="N124" s="3225"/>
    </row>
    <row r="125" spans="1:14" ht="13.5" customHeight="1" x14ac:dyDescent="0.2">
      <c r="A125" s="3093"/>
      <c r="B125" s="279" t="s">
        <v>15</v>
      </c>
      <c r="C125" s="3039"/>
      <c r="D125" s="1701">
        <f>+E125+F125+G125+H125</f>
        <v>2209165</v>
      </c>
      <c r="E125" s="293">
        <v>0</v>
      </c>
      <c r="F125" s="280">
        <v>0</v>
      </c>
      <c r="G125" s="2208">
        <v>346931</v>
      </c>
      <c r="H125" s="2174">
        <f>1087072+775162</f>
        <v>1862234</v>
      </c>
      <c r="I125" s="1730">
        <f>K125+E125+F125</f>
        <v>0</v>
      </c>
      <c r="J125" s="2199">
        <f t="shared" si="84"/>
        <v>0</v>
      </c>
      <c r="K125" s="1702">
        <v>0</v>
      </c>
      <c r="L125" s="2146">
        <f t="shared" si="85"/>
        <v>0</v>
      </c>
      <c r="M125" s="2203">
        <f t="shared" si="86"/>
        <v>-173465.5</v>
      </c>
      <c r="N125" s="3225"/>
    </row>
    <row r="126" spans="1:14" ht="13.5" customHeight="1" x14ac:dyDescent="0.2">
      <c r="A126" s="3093"/>
      <c r="B126" s="312" t="s">
        <v>17</v>
      </c>
      <c r="C126" s="237"/>
      <c r="D126" s="302">
        <f t="shared" ref="D126:I126" si="89">+D127+D129</f>
        <v>2560034</v>
      </c>
      <c r="E126" s="303">
        <f t="shared" si="89"/>
        <v>0</v>
      </c>
      <c r="F126" s="303">
        <f t="shared" si="89"/>
        <v>0</v>
      </c>
      <c r="G126" s="304">
        <f t="shared" si="89"/>
        <v>402032</v>
      </c>
      <c r="H126" s="1180">
        <f t="shared" si="89"/>
        <v>2158002</v>
      </c>
      <c r="I126" s="302">
        <f t="shared" si="89"/>
        <v>0</v>
      </c>
      <c r="J126" s="2119">
        <f>I126/D126*100</f>
        <v>0</v>
      </c>
      <c r="K126" s="304">
        <f>+K127+K129</f>
        <v>0</v>
      </c>
      <c r="L126" s="2119">
        <f>K126/G126*100</f>
        <v>0</v>
      </c>
      <c r="M126" s="1695">
        <f t="shared" si="86"/>
        <v>-201016</v>
      </c>
      <c r="N126" s="3225"/>
    </row>
    <row r="127" spans="1:14" ht="13.5" customHeight="1" x14ac:dyDescent="0.2">
      <c r="A127" s="3093"/>
      <c r="B127" s="1994" t="s">
        <v>18</v>
      </c>
      <c r="C127" s="3122" t="s">
        <v>129</v>
      </c>
      <c r="D127" s="282">
        <f t="shared" ref="D127:I127" si="90">+D128</f>
        <v>350869</v>
      </c>
      <c r="E127" s="284">
        <f t="shared" si="90"/>
        <v>0</v>
      </c>
      <c r="F127" s="284">
        <f t="shared" si="90"/>
        <v>0</v>
      </c>
      <c r="G127" s="283">
        <f t="shared" si="90"/>
        <v>55101</v>
      </c>
      <c r="H127" s="1819">
        <f t="shared" si="90"/>
        <v>295768</v>
      </c>
      <c r="I127" s="282">
        <f t="shared" si="90"/>
        <v>0</v>
      </c>
      <c r="J127" s="2128">
        <f t="shared" ref="J127:J130" si="91">I127/D127*100</f>
        <v>0</v>
      </c>
      <c r="K127" s="283">
        <f>+K128</f>
        <v>0</v>
      </c>
      <c r="L127" s="2134">
        <f t="shared" ref="L127:L130" si="92">K127/G127*100</f>
        <v>0</v>
      </c>
      <c r="M127" s="1708">
        <f t="shared" si="86"/>
        <v>-27550.5</v>
      </c>
      <c r="N127" s="3225"/>
    </row>
    <row r="128" spans="1:14" ht="13.5" customHeight="1" x14ac:dyDescent="0.2">
      <c r="A128" s="3093"/>
      <c r="B128" s="279" t="s">
        <v>8</v>
      </c>
      <c r="C128" s="3122"/>
      <c r="D128" s="1701">
        <f>+E128+F128+G128+H128</f>
        <v>350869</v>
      </c>
      <c r="E128" s="293">
        <v>0</v>
      </c>
      <c r="F128" s="293">
        <v>0</v>
      </c>
      <c r="G128" s="2144">
        <v>55101</v>
      </c>
      <c r="H128" s="2204">
        <f>172654+123114</f>
        <v>295768</v>
      </c>
      <c r="I128" s="1701">
        <f>K128+E128+F128</f>
        <v>0</v>
      </c>
      <c r="J128" s="2199">
        <f t="shared" si="91"/>
        <v>0</v>
      </c>
      <c r="K128" s="2144">
        <v>0</v>
      </c>
      <c r="L128" s="2146">
        <f t="shared" si="92"/>
        <v>0</v>
      </c>
      <c r="M128" s="2205">
        <f t="shared" si="86"/>
        <v>-27550.5</v>
      </c>
      <c r="N128" s="3225"/>
    </row>
    <row r="129" spans="1:19" ht="13.5" customHeight="1" x14ac:dyDescent="0.2">
      <c r="A129" s="3093"/>
      <c r="B129" s="2004" t="s">
        <v>13</v>
      </c>
      <c r="C129" s="3122"/>
      <c r="D129" s="282">
        <f t="shared" ref="D129:I129" si="93">+D130</f>
        <v>2209165</v>
      </c>
      <c r="E129" s="284">
        <f t="shared" si="93"/>
        <v>0</v>
      </c>
      <c r="F129" s="284">
        <f t="shared" si="93"/>
        <v>0</v>
      </c>
      <c r="G129" s="283">
        <f t="shared" si="93"/>
        <v>346931</v>
      </c>
      <c r="H129" s="1819">
        <f t="shared" si="93"/>
        <v>1862234</v>
      </c>
      <c r="I129" s="282">
        <f t="shared" si="93"/>
        <v>0</v>
      </c>
      <c r="J129" s="2128">
        <f t="shared" si="91"/>
        <v>0</v>
      </c>
      <c r="K129" s="283">
        <f>+K130</f>
        <v>0</v>
      </c>
      <c r="L129" s="2134">
        <f t="shared" si="92"/>
        <v>0</v>
      </c>
      <c r="M129" s="1708">
        <f t="shared" si="86"/>
        <v>-173465.5</v>
      </c>
      <c r="N129" s="3225"/>
    </row>
    <row r="130" spans="1:19" ht="13.5" customHeight="1" thickBot="1" x14ac:dyDescent="0.25">
      <c r="A130" s="3114"/>
      <c r="B130" s="287" t="s">
        <v>15</v>
      </c>
      <c r="C130" s="3243"/>
      <c r="D130" s="1711">
        <f>+E130+F130+G130+H130</f>
        <v>2209165</v>
      </c>
      <c r="E130" s="318">
        <v>0</v>
      </c>
      <c r="F130" s="318">
        <v>0</v>
      </c>
      <c r="G130" s="1712">
        <v>346931</v>
      </c>
      <c r="H130" s="1770">
        <f>1087072+775162</f>
        <v>1862234</v>
      </c>
      <c r="I130" s="289">
        <f>K130+E130+F130</f>
        <v>0</v>
      </c>
      <c r="J130" s="2195">
        <f t="shared" si="91"/>
        <v>0</v>
      </c>
      <c r="K130" s="1712">
        <v>0</v>
      </c>
      <c r="L130" s="2136">
        <f t="shared" si="92"/>
        <v>0</v>
      </c>
      <c r="M130" s="1713">
        <f t="shared" si="86"/>
        <v>-173465.5</v>
      </c>
      <c r="N130" s="3233"/>
    </row>
    <row r="131" spans="1:19" ht="27.75" customHeight="1" x14ac:dyDescent="0.2">
      <c r="A131" s="3092" t="s">
        <v>51</v>
      </c>
      <c r="B131" s="2122" t="s">
        <v>269</v>
      </c>
      <c r="C131" s="2123" t="s">
        <v>198</v>
      </c>
      <c r="D131" s="278"/>
      <c r="E131" s="276"/>
      <c r="F131" s="276"/>
      <c r="G131" s="276"/>
      <c r="H131" s="305"/>
      <c r="I131" s="278"/>
      <c r="J131" s="276"/>
      <c r="K131" s="276"/>
      <c r="L131" s="276"/>
      <c r="M131" s="277"/>
      <c r="N131" s="3224" t="s">
        <v>119</v>
      </c>
      <c r="O131" s="221"/>
      <c r="P131" s="221"/>
      <c r="Q131" s="221"/>
      <c r="R131" s="221"/>
      <c r="S131" s="221"/>
    </row>
    <row r="132" spans="1:19" ht="13.5" customHeight="1" x14ac:dyDescent="0.2">
      <c r="A132" s="3093"/>
      <c r="B132" s="312" t="s">
        <v>3</v>
      </c>
      <c r="C132" s="237"/>
      <c r="D132" s="2142">
        <f t="shared" ref="D132:I132" si="94">+D133+D136</f>
        <v>5944352</v>
      </c>
      <c r="E132" s="2143">
        <f t="shared" si="94"/>
        <v>3435215</v>
      </c>
      <c r="F132" s="2143">
        <f t="shared" si="94"/>
        <v>914517</v>
      </c>
      <c r="G132" s="2143">
        <f t="shared" si="94"/>
        <v>957000</v>
      </c>
      <c r="H132" s="2168">
        <f t="shared" si="94"/>
        <v>637620</v>
      </c>
      <c r="I132" s="2142">
        <f t="shared" si="94"/>
        <v>4828232</v>
      </c>
      <c r="J132" s="2119">
        <f>I132/D132*100</f>
        <v>81.223857537373291</v>
      </c>
      <c r="K132" s="2143">
        <f>+K133+K136</f>
        <v>478500</v>
      </c>
      <c r="L132" s="2119">
        <f>K132/G132*100</f>
        <v>50</v>
      </c>
      <c r="M132" s="2170">
        <f>+K132-G132*0.5</f>
        <v>0</v>
      </c>
      <c r="N132" s="3225"/>
    </row>
    <row r="133" spans="1:19" ht="12.75" customHeight="1" x14ac:dyDescent="0.2">
      <c r="A133" s="3093"/>
      <c r="B133" s="1994" t="s">
        <v>18</v>
      </c>
      <c r="C133" s="3039" t="s">
        <v>134</v>
      </c>
      <c r="D133" s="1734">
        <f t="shared" ref="D133:I133" si="95">+D134+D135</f>
        <v>891655</v>
      </c>
      <c r="E133" s="1706">
        <f t="shared" si="95"/>
        <v>515284</v>
      </c>
      <c r="F133" s="1706">
        <f t="shared" si="95"/>
        <v>137178</v>
      </c>
      <c r="G133" s="1706">
        <f t="shared" si="95"/>
        <v>143550</v>
      </c>
      <c r="H133" s="1818">
        <f t="shared" si="95"/>
        <v>95643</v>
      </c>
      <c r="I133" s="1734">
        <f t="shared" si="95"/>
        <v>724237</v>
      </c>
      <c r="J133" s="2134">
        <f t="shared" ref="J133:J142" si="96">I133/D133*100</f>
        <v>81.223903864162708</v>
      </c>
      <c r="K133" s="1706">
        <f>+K134+K135</f>
        <v>71775</v>
      </c>
      <c r="L133" s="2134">
        <f t="shared" ref="L133:L142" si="97">K133/G133*100</f>
        <v>50</v>
      </c>
      <c r="M133" s="1425">
        <f t="shared" ref="M133:M142" si="98">+K133-G133*0.5</f>
        <v>0</v>
      </c>
      <c r="N133" s="3225"/>
    </row>
    <row r="134" spans="1:19" ht="13.5" hidden="1" customHeight="1" x14ac:dyDescent="0.2">
      <c r="A134" s="3093"/>
      <c r="B134" s="279" t="s">
        <v>5</v>
      </c>
      <c r="C134" s="3100"/>
      <c r="D134" s="1701">
        <f>+E134+F134+G134+H134</f>
        <v>0</v>
      </c>
      <c r="E134" s="1702">
        <v>0</v>
      </c>
      <c r="F134" s="292"/>
      <c r="G134" s="292"/>
      <c r="H134" s="2174"/>
      <c r="I134" s="1730"/>
      <c r="J134" s="2146" t="e">
        <f t="shared" si="96"/>
        <v>#DIV/0!</v>
      </c>
      <c r="K134" s="1702"/>
      <c r="L134" s="2146" t="e">
        <f t="shared" si="97"/>
        <v>#DIV/0!</v>
      </c>
      <c r="M134" s="1424">
        <f t="shared" si="98"/>
        <v>0</v>
      </c>
      <c r="N134" s="3225"/>
    </row>
    <row r="135" spans="1:19" ht="13.5" customHeight="1" x14ac:dyDescent="0.2">
      <c r="A135" s="3093"/>
      <c r="B135" s="279" t="s">
        <v>8</v>
      </c>
      <c r="C135" s="3100"/>
      <c r="D135" s="1701">
        <f>+E135+F135+G135+H135</f>
        <v>891655</v>
      </c>
      <c r="E135" s="1702">
        <f>201703+175332+138249</f>
        <v>515284</v>
      </c>
      <c r="F135" s="292">
        <v>137178</v>
      </c>
      <c r="G135" s="292">
        <v>143550</v>
      </c>
      <c r="H135" s="2174">
        <v>95643</v>
      </c>
      <c r="I135" s="1730">
        <f>K135+E135+F135</f>
        <v>724237</v>
      </c>
      <c r="J135" s="2146">
        <f t="shared" si="96"/>
        <v>81.223903864162708</v>
      </c>
      <c r="K135" s="1702">
        <v>71775</v>
      </c>
      <c r="L135" s="2146">
        <f t="shared" si="97"/>
        <v>50</v>
      </c>
      <c r="M135" s="1424">
        <f t="shared" si="98"/>
        <v>0</v>
      </c>
      <c r="N135" s="3225"/>
    </row>
    <row r="136" spans="1:19" ht="12.75" customHeight="1" x14ac:dyDescent="0.2">
      <c r="A136" s="3093"/>
      <c r="B136" s="2004" t="s">
        <v>13</v>
      </c>
      <c r="C136" s="3100"/>
      <c r="D136" s="282">
        <f t="shared" ref="D136:I136" si="99">+D137</f>
        <v>5052697</v>
      </c>
      <c r="E136" s="283">
        <f t="shared" si="99"/>
        <v>2919931</v>
      </c>
      <c r="F136" s="283">
        <f t="shared" si="99"/>
        <v>777339</v>
      </c>
      <c r="G136" s="283">
        <f t="shared" si="99"/>
        <v>813450</v>
      </c>
      <c r="H136" s="1819">
        <f t="shared" si="99"/>
        <v>541977</v>
      </c>
      <c r="I136" s="282">
        <f t="shared" si="99"/>
        <v>4103995</v>
      </c>
      <c r="J136" s="2134">
        <f t="shared" si="96"/>
        <v>81.223849362033789</v>
      </c>
      <c r="K136" s="283">
        <f>+K137</f>
        <v>406725</v>
      </c>
      <c r="L136" s="2134">
        <f t="shared" si="97"/>
        <v>50</v>
      </c>
      <c r="M136" s="1426">
        <f t="shared" si="98"/>
        <v>0</v>
      </c>
      <c r="N136" s="3225"/>
    </row>
    <row r="137" spans="1:19" ht="12" customHeight="1" x14ac:dyDescent="0.2">
      <c r="A137" s="3093"/>
      <c r="B137" s="279" t="s">
        <v>15</v>
      </c>
      <c r="C137" s="3100"/>
      <c r="D137" s="1701">
        <f>+E137+F137+G137+H137</f>
        <v>5052697</v>
      </c>
      <c r="E137" s="1702">
        <f>1142978+993543+783410</f>
        <v>2919931</v>
      </c>
      <c r="F137" s="292">
        <v>777339</v>
      </c>
      <c r="G137" s="292">
        <v>813450</v>
      </c>
      <c r="H137" s="2174">
        <v>541977</v>
      </c>
      <c r="I137" s="1730">
        <f>K137+E137+F137</f>
        <v>4103995</v>
      </c>
      <c r="J137" s="2146">
        <f t="shared" si="96"/>
        <v>81.223849362033789</v>
      </c>
      <c r="K137" s="1702">
        <v>406725</v>
      </c>
      <c r="L137" s="2146">
        <f t="shared" si="97"/>
        <v>50</v>
      </c>
      <c r="M137" s="1424">
        <f t="shared" si="98"/>
        <v>0</v>
      </c>
      <c r="N137" s="3225"/>
    </row>
    <row r="138" spans="1:19" ht="13.5" customHeight="1" x14ac:dyDescent="0.2">
      <c r="A138" s="3104"/>
      <c r="B138" s="312" t="s">
        <v>17</v>
      </c>
      <c r="C138" s="237"/>
      <c r="D138" s="302">
        <f t="shared" ref="D138:I138" si="100">+D139+D141</f>
        <v>5944352</v>
      </c>
      <c r="E138" s="304">
        <f t="shared" si="100"/>
        <v>3435215</v>
      </c>
      <c r="F138" s="304">
        <f t="shared" si="100"/>
        <v>914517</v>
      </c>
      <c r="G138" s="304">
        <f t="shared" si="100"/>
        <v>957000</v>
      </c>
      <c r="H138" s="1180">
        <f t="shared" si="100"/>
        <v>637620</v>
      </c>
      <c r="I138" s="302">
        <f t="shared" si="100"/>
        <v>4828232</v>
      </c>
      <c r="J138" s="2119">
        <f t="shared" si="96"/>
        <v>81.223857537373291</v>
      </c>
      <c r="K138" s="304">
        <f>+K139+K141</f>
        <v>478500</v>
      </c>
      <c r="L138" s="2119">
        <f t="shared" si="97"/>
        <v>50</v>
      </c>
      <c r="M138" s="1185">
        <f t="shared" si="98"/>
        <v>0</v>
      </c>
      <c r="N138" s="3225"/>
    </row>
    <row r="139" spans="1:19" ht="13.5" customHeight="1" thickBot="1" x14ac:dyDescent="0.25">
      <c r="A139" s="3103"/>
      <c r="B139" s="1994" t="s">
        <v>18</v>
      </c>
      <c r="C139" s="3234" t="s">
        <v>135</v>
      </c>
      <c r="D139" s="282">
        <f t="shared" ref="D139:I139" si="101">+D140</f>
        <v>891655</v>
      </c>
      <c r="E139" s="283">
        <f t="shared" si="101"/>
        <v>515284</v>
      </c>
      <c r="F139" s="283">
        <f t="shared" si="101"/>
        <v>137178</v>
      </c>
      <c r="G139" s="283">
        <f t="shared" si="101"/>
        <v>143550</v>
      </c>
      <c r="H139" s="1819">
        <f t="shared" si="101"/>
        <v>95643</v>
      </c>
      <c r="I139" s="282">
        <f t="shared" si="101"/>
        <v>724237</v>
      </c>
      <c r="J139" s="2134">
        <f t="shared" si="96"/>
        <v>81.223903864162708</v>
      </c>
      <c r="K139" s="283">
        <f>+K140</f>
        <v>71775</v>
      </c>
      <c r="L139" s="2134">
        <f t="shared" si="97"/>
        <v>50</v>
      </c>
      <c r="M139" s="1426">
        <f t="shared" si="98"/>
        <v>0</v>
      </c>
      <c r="N139" s="3233"/>
    </row>
    <row r="140" spans="1:19" ht="13.5" customHeight="1" x14ac:dyDescent="0.2">
      <c r="A140" s="3102"/>
      <c r="B140" s="279" t="s">
        <v>8</v>
      </c>
      <c r="C140" s="3235"/>
      <c r="D140" s="1701">
        <f>+E140+F140+G140+H140</f>
        <v>891655</v>
      </c>
      <c r="E140" s="1702">
        <f>201703+175332+138249</f>
        <v>515284</v>
      </c>
      <c r="F140" s="292">
        <v>137178</v>
      </c>
      <c r="G140" s="292">
        <v>143550</v>
      </c>
      <c r="H140" s="2174">
        <v>95643</v>
      </c>
      <c r="I140" s="1701">
        <f>K140+E140+F140</f>
        <v>724237</v>
      </c>
      <c r="J140" s="2146">
        <f t="shared" si="96"/>
        <v>81.223903864162708</v>
      </c>
      <c r="K140" s="2144">
        <v>71775</v>
      </c>
      <c r="L140" s="2146">
        <f t="shared" si="97"/>
        <v>50</v>
      </c>
      <c r="M140" s="2145">
        <f t="shared" si="98"/>
        <v>0</v>
      </c>
      <c r="N140" s="3224"/>
    </row>
    <row r="141" spans="1:19" ht="12" customHeight="1" x14ac:dyDescent="0.2">
      <c r="A141" s="3104"/>
      <c r="B141" s="2004" t="s">
        <v>13</v>
      </c>
      <c r="C141" s="3125"/>
      <c r="D141" s="282">
        <f t="shared" ref="D141:I141" si="102">+D142</f>
        <v>5052697</v>
      </c>
      <c r="E141" s="283">
        <f t="shared" si="102"/>
        <v>2919931</v>
      </c>
      <c r="F141" s="283">
        <f t="shared" si="102"/>
        <v>777339</v>
      </c>
      <c r="G141" s="283">
        <f t="shared" si="102"/>
        <v>813450</v>
      </c>
      <c r="H141" s="1819">
        <f t="shared" si="102"/>
        <v>541977</v>
      </c>
      <c r="I141" s="282">
        <f t="shared" si="102"/>
        <v>4103995</v>
      </c>
      <c r="J141" s="2134">
        <f t="shared" si="96"/>
        <v>81.223849362033789</v>
      </c>
      <c r="K141" s="283">
        <f>+K142</f>
        <v>406725</v>
      </c>
      <c r="L141" s="2134">
        <f t="shared" si="97"/>
        <v>50</v>
      </c>
      <c r="M141" s="1426">
        <f t="shared" si="98"/>
        <v>0</v>
      </c>
      <c r="N141" s="3225"/>
    </row>
    <row r="142" spans="1:19" ht="13.5" customHeight="1" thickBot="1" x14ac:dyDescent="0.25">
      <c r="A142" s="3103"/>
      <c r="B142" s="287" t="s">
        <v>15</v>
      </c>
      <c r="C142" s="3126"/>
      <c r="D142" s="1711">
        <f>+E142+F142+G142+H142</f>
        <v>5052697</v>
      </c>
      <c r="E142" s="1712">
        <f>1142978+993543+783410</f>
        <v>2919931</v>
      </c>
      <c r="F142" s="2167">
        <v>777339</v>
      </c>
      <c r="G142" s="2167">
        <v>813450</v>
      </c>
      <c r="H142" s="1202">
        <v>541977</v>
      </c>
      <c r="I142" s="289">
        <f>K142+E142+F142</f>
        <v>4103995</v>
      </c>
      <c r="J142" s="2136">
        <f t="shared" si="96"/>
        <v>81.223849362033789</v>
      </c>
      <c r="K142" s="1712">
        <v>406725</v>
      </c>
      <c r="L142" s="2136">
        <f t="shared" si="97"/>
        <v>50</v>
      </c>
      <c r="M142" s="1428">
        <f t="shared" si="98"/>
        <v>0</v>
      </c>
      <c r="N142" s="3233"/>
    </row>
    <row r="143" spans="1:19" ht="27" customHeight="1" x14ac:dyDescent="0.2">
      <c r="A143" s="3092" t="s">
        <v>53</v>
      </c>
      <c r="B143" s="2122" t="s">
        <v>268</v>
      </c>
      <c r="C143" s="2123" t="s">
        <v>198</v>
      </c>
      <c r="D143" s="278"/>
      <c r="E143" s="276"/>
      <c r="F143" s="276"/>
      <c r="G143" s="276"/>
      <c r="H143" s="305"/>
      <c r="I143" s="278"/>
      <c r="J143" s="276"/>
      <c r="K143" s="276"/>
      <c r="L143" s="276"/>
      <c r="M143" s="277"/>
      <c r="N143" s="3224" t="s">
        <v>119</v>
      </c>
    </row>
    <row r="144" spans="1:19" ht="12" customHeight="1" x14ac:dyDescent="0.2">
      <c r="A144" s="3093"/>
      <c r="B144" s="312" t="s">
        <v>3</v>
      </c>
      <c r="C144" s="237"/>
      <c r="D144" s="2142">
        <f t="shared" ref="D144:I144" si="103">+D145+D148</f>
        <v>63516406</v>
      </c>
      <c r="E144" s="2143">
        <f t="shared" si="103"/>
        <v>27320640</v>
      </c>
      <c r="F144" s="2143">
        <f t="shared" si="103"/>
        <v>8426857</v>
      </c>
      <c r="G144" s="2143">
        <f t="shared" si="103"/>
        <v>9788882</v>
      </c>
      <c r="H144" s="2168">
        <f t="shared" si="103"/>
        <v>17980027</v>
      </c>
      <c r="I144" s="2142">
        <f t="shared" si="103"/>
        <v>40136030</v>
      </c>
      <c r="J144" s="2119">
        <f>I144/D144*100</f>
        <v>63.190020543668666</v>
      </c>
      <c r="K144" s="2143">
        <f>+K145+K148</f>
        <v>4388533</v>
      </c>
      <c r="L144" s="2119">
        <f>K144/G144*100</f>
        <v>44.831810210808548</v>
      </c>
      <c r="M144" s="2200">
        <f>+K144-G144*0.5</f>
        <v>-505908</v>
      </c>
      <c r="N144" s="3225"/>
    </row>
    <row r="145" spans="1:14" ht="13.5" customHeight="1" x14ac:dyDescent="0.2">
      <c r="A145" s="3093"/>
      <c r="B145" s="1994" t="s">
        <v>18</v>
      </c>
      <c r="C145" s="3039" t="s">
        <v>134</v>
      </c>
      <c r="D145" s="1734">
        <f t="shared" ref="D145:I145" si="104">+D146+D147</f>
        <v>9527459</v>
      </c>
      <c r="E145" s="1706">
        <f t="shared" si="104"/>
        <v>4098094</v>
      </c>
      <c r="F145" s="1706">
        <f t="shared" si="104"/>
        <v>1264029</v>
      </c>
      <c r="G145" s="1706">
        <f t="shared" si="104"/>
        <v>1468332</v>
      </c>
      <c r="H145" s="1818">
        <f t="shared" si="104"/>
        <v>2697004</v>
      </c>
      <c r="I145" s="1734">
        <f t="shared" si="104"/>
        <v>6020403</v>
      </c>
      <c r="J145" s="2128">
        <f t="shared" ref="J145:J154" si="105">I145/D145*100</f>
        <v>63.190017401281921</v>
      </c>
      <c r="K145" s="1706">
        <f>+K146+K147</f>
        <v>658280</v>
      </c>
      <c r="L145" s="2128">
        <f t="shared" ref="L145:L146" si="106">K145/G145*100</f>
        <v>44.831822775775507</v>
      </c>
      <c r="M145" s="2201">
        <f t="shared" ref="M145:M154" si="107">+K145-G145*0.5</f>
        <v>-75886</v>
      </c>
      <c r="N145" s="3225"/>
    </row>
    <row r="146" spans="1:14" ht="12" customHeight="1" x14ac:dyDescent="0.2">
      <c r="A146" s="3093"/>
      <c r="B146" s="279" t="s">
        <v>5</v>
      </c>
      <c r="C146" s="3100"/>
      <c r="D146" s="1701">
        <f>+E146+F146+G146+H146</f>
        <v>9513881</v>
      </c>
      <c r="E146" s="1702">
        <f>1658516+1157208+1268792</f>
        <v>4084516</v>
      </c>
      <c r="F146" s="292">
        <v>1264029</v>
      </c>
      <c r="G146" s="292">
        <v>1468332</v>
      </c>
      <c r="H146" s="2174">
        <f>1471416+1225588</f>
        <v>2697004</v>
      </c>
      <c r="I146" s="1730">
        <f>E146+F146+K146</f>
        <v>6006825</v>
      </c>
      <c r="J146" s="2199">
        <f t="shared" si="105"/>
        <v>63.137483010350884</v>
      </c>
      <c r="K146" s="1702">
        <v>658280</v>
      </c>
      <c r="L146" s="2199">
        <f t="shared" si="106"/>
        <v>44.831822775775507</v>
      </c>
      <c r="M146" s="2203">
        <f t="shared" si="107"/>
        <v>-75886</v>
      </c>
      <c r="N146" s="3225"/>
    </row>
    <row r="147" spans="1:14" ht="12.75" customHeight="1" x14ac:dyDescent="0.2">
      <c r="A147" s="3093"/>
      <c r="B147" s="279" t="s">
        <v>8</v>
      </c>
      <c r="C147" s="3100"/>
      <c r="D147" s="1701">
        <f>+E147+F147+G147+H147</f>
        <v>13578</v>
      </c>
      <c r="E147" s="292">
        <f>10500-6809+9887</f>
        <v>13578</v>
      </c>
      <c r="F147" s="293">
        <v>0</v>
      </c>
      <c r="G147" s="293">
        <v>0</v>
      </c>
      <c r="H147" s="900">
        <v>0</v>
      </c>
      <c r="I147" s="1701">
        <f>K147+E147+F147</f>
        <v>13578</v>
      </c>
      <c r="J147" s="2199">
        <f t="shared" si="105"/>
        <v>100</v>
      </c>
      <c r="K147" s="280">
        <v>0</v>
      </c>
      <c r="L147" s="2209">
        <v>0</v>
      </c>
      <c r="M147" s="2205">
        <f t="shared" si="107"/>
        <v>0</v>
      </c>
      <c r="N147" s="3225"/>
    </row>
    <row r="148" spans="1:14" ht="12.75" customHeight="1" x14ac:dyDescent="0.2">
      <c r="A148" s="3093"/>
      <c r="B148" s="2004" t="s">
        <v>13</v>
      </c>
      <c r="C148" s="3100"/>
      <c r="D148" s="282">
        <f t="shared" ref="D148:I148" si="108">+D149</f>
        <v>53988947</v>
      </c>
      <c r="E148" s="283">
        <f t="shared" si="108"/>
        <v>23222546</v>
      </c>
      <c r="F148" s="283">
        <f t="shared" si="108"/>
        <v>7162828</v>
      </c>
      <c r="G148" s="283">
        <f t="shared" si="108"/>
        <v>8320550</v>
      </c>
      <c r="H148" s="1819">
        <f t="shared" si="108"/>
        <v>15283023</v>
      </c>
      <c r="I148" s="282">
        <f t="shared" si="108"/>
        <v>34115627</v>
      </c>
      <c r="J148" s="2128">
        <f t="shared" si="105"/>
        <v>63.190021098207382</v>
      </c>
      <c r="K148" s="283">
        <f>+K149</f>
        <v>3730253</v>
      </c>
      <c r="L148" s="2128">
        <f>K148/G148*100</f>
        <v>44.831807993461972</v>
      </c>
      <c r="M148" s="1708">
        <f t="shared" si="107"/>
        <v>-430022</v>
      </c>
      <c r="N148" s="3225"/>
    </row>
    <row r="149" spans="1:14" ht="12.75" customHeight="1" x14ac:dyDescent="0.2">
      <c r="A149" s="3093"/>
      <c r="B149" s="279" t="s">
        <v>15</v>
      </c>
      <c r="C149" s="3100"/>
      <c r="D149" s="1701">
        <f>+E149+F149+G149+H149</f>
        <v>53988947</v>
      </c>
      <c r="E149" s="1702">
        <f>9398267+6578429+7245850</f>
        <v>23222546</v>
      </c>
      <c r="F149" s="292">
        <v>7162828</v>
      </c>
      <c r="G149" s="292">
        <v>8320550</v>
      </c>
      <c r="H149" s="2174">
        <f>8338023+6945000</f>
        <v>15283023</v>
      </c>
      <c r="I149" s="1730">
        <f>E149+F149+K149</f>
        <v>34115627</v>
      </c>
      <c r="J149" s="2199">
        <f t="shared" si="105"/>
        <v>63.190021098207382</v>
      </c>
      <c r="K149" s="1702">
        <v>3730253</v>
      </c>
      <c r="L149" s="2199">
        <f t="shared" ref="L149:L150" si="109">K149/G149*100</f>
        <v>44.831807993461972</v>
      </c>
      <c r="M149" s="2203">
        <f t="shared" si="107"/>
        <v>-430022</v>
      </c>
      <c r="N149" s="3225"/>
    </row>
    <row r="150" spans="1:14" ht="11.25" customHeight="1" x14ac:dyDescent="0.2">
      <c r="A150" s="3104"/>
      <c r="B150" s="312" t="s">
        <v>17</v>
      </c>
      <c r="C150" s="237"/>
      <c r="D150" s="302">
        <f t="shared" ref="D150:I150" si="110">+D151+D153</f>
        <v>54002525</v>
      </c>
      <c r="E150" s="304">
        <f>+E151+E153</f>
        <v>23236124</v>
      </c>
      <c r="F150" s="304">
        <f>+F151+F153</f>
        <v>7162828</v>
      </c>
      <c r="G150" s="304">
        <f t="shared" si="110"/>
        <v>8320550</v>
      </c>
      <c r="H150" s="1180">
        <f t="shared" si="110"/>
        <v>15283023</v>
      </c>
      <c r="I150" s="302">
        <f t="shared" si="110"/>
        <v>34257837</v>
      </c>
      <c r="J150" s="2119">
        <f t="shared" si="105"/>
        <v>63.43747259966085</v>
      </c>
      <c r="K150" s="304">
        <f>+K151+K153</f>
        <v>3858885</v>
      </c>
      <c r="L150" s="2119">
        <f t="shared" si="109"/>
        <v>46.377763489192418</v>
      </c>
      <c r="M150" s="1695">
        <f t="shared" si="107"/>
        <v>-301390</v>
      </c>
      <c r="N150" s="3236"/>
    </row>
    <row r="151" spans="1:14" ht="12.75" customHeight="1" thickBot="1" x14ac:dyDescent="0.25">
      <c r="A151" s="3103"/>
      <c r="B151" s="1994" t="s">
        <v>18</v>
      </c>
      <c r="C151" s="3234" t="s">
        <v>135</v>
      </c>
      <c r="D151" s="282">
        <f t="shared" ref="D151:I151" si="111">+D152</f>
        <v>13578</v>
      </c>
      <c r="E151" s="283">
        <f t="shared" si="111"/>
        <v>13578</v>
      </c>
      <c r="F151" s="284">
        <f t="shared" si="111"/>
        <v>0</v>
      </c>
      <c r="G151" s="284">
        <f t="shared" si="111"/>
        <v>0</v>
      </c>
      <c r="H151" s="1078">
        <f t="shared" si="111"/>
        <v>0</v>
      </c>
      <c r="I151" s="282">
        <f t="shared" si="111"/>
        <v>13578</v>
      </c>
      <c r="J151" s="2128">
        <f t="shared" si="105"/>
        <v>100</v>
      </c>
      <c r="K151" s="284">
        <f>+K152</f>
        <v>0</v>
      </c>
      <c r="L151" s="360">
        <v>0</v>
      </c>
      <c r="M151" s="1426">
        <f t="shared" si="107"/>
        <v>0</v>
      </c>
      <c r="N151" s="3237"/>
    </row>
    <row r="152" spans="1:14" ht="12.75" customHeight="1" x14ac:dyDescent="0.2">
      <c r="A152" s="3238"/>
      <c r="B152" s="2210" t="s">
        <v>8</v>
      </c>
      <c r="C152" s="3240"/>
      <c r="D152" s="2181">
        <f>+E152+F152+G152+H152</f>
        <v>13578</v>
      </c>
      <c r="E152" s="2211">
        <f>10500-6809+9887</f>
        <v>13578</v>
      </c>
      <c r="F152" s="2212">
        <v>0</v>
      </c>
      <c r="G152" s="2212">
        <v>0</v>
      </c>
      <c r="H152" s="2213">
        <v>0</v>
      </c>
      <c r="I152" s="2181">
        <f>K152+E152+F152</f>
        <v>13578</v>
      </c>
      <c r="J152" s="2214">
        <f t="shared" si="105"/>
        <v>100</v>
      </c>
      <c r="K152" s="2212">
        <v>0</v>
      </c>
      <c r="L152" s="2215">
        <v>0</v>
      </c>
      <c r="M152" s="2216">
        <f t="shared" si="107"/>
        <v>0</v>
      </c>
      <c r="N152" s="3239"/>
    </row>
    <row r="153" spans="1:14" ht="12.75" customHeight="1" x14ac:dyDescent="0.2">
      <c r="A153" s="3104"/>
      <c r="B153" s="2004" t="s">
        <v>13</v>
      </c>
      <c r="C153" s="3125"/>
      <c r="D153" s="282">
        <f t="shared" ref="D153:I153" si="112">+D154</f>
        <v>53988947</v>
      </c>
      <c r="E153" s="283">
        <f t="shared" si="112"/>
        <v>23222546</v>
      </c>
      <c r="F153" s="283">
        <f t="shared" si="112"/>
        <v>7162828</v>
      </c>
      <c r="G153" s="283">
        <f t="shared" si="112"/>
        <v>8320550</v>
      </c>
      <c r="H153" s="1819">
        <f t="shared" si="112"/>
        <v>15283023</v>
      </c>
      <c r="I153" s="282">
        <f t="shared" si="112"/>
        <v>34244259</v>
      </c>
      <c r="J153" s="2128">
        <f t="shared" si="105"/>
        <v>63.428277273124067</v>
      </c>
      <c r="K153" s="283">
        <f>+K154</f>
        <v>3858885</v>
      </c>
      <c r="L153" s="2128">
        <f>K153/G153*100</f>
        <v>46.377763489192418</v>
      </c>
      <c r="M153" s="1708">
        <f t="shared" si="107"/>
        <v>-301390</v>
      </c>
      <c r="N153" s="3236"/>
    </row>
    <row r="154" spans="1:14" ht="12" customHeight="1" thickBot="1" x14ac:dyDescent="0.25">
      <c r="A154" s="3103"/>
      <c r="B154" s="287" t="s">
        <v>15</v>
      </c>
      <c r="C154" s="3126"/>
      <c r="D154" s="1711">
        <f>+E154+F154+G154+H154</f>
        <v>53988947</v>
      </c>
      <c r="E154" s="1712">
        <f>9398267+6578429+7245850</f>
        <v>23222546</v>
      </c>
      <c r="F154" s="2167">
        <v>7162828</v>
      </c>
      <c r="G154" s="2167">
        <v>8320550</v>
      </c>
      <c r="H154" s="1202">
        <f>8338023+6945000</f>
        <v>15283023</v>
      </c>
      <c r="I154" s="289">
        <f>E154+F154+K154</f>
        <v>34244259</v>
      </c>
      <c r="J154" s="2195">
        <f t="shared" si="105"/>
        <v>63.428277273124067</v>
      </c>
      <c r="K154" s="1712">
        <v>3858885</v>
      </c>
      <c r="L154" s="2195">
        <f>K154/G154*100</f>
        <v>46.377763489192418</v>
      </c>
      <c r="M154" s="1713">
        <f t="shared" si="107"/>
        <v>-301390</v>
      </c>
      <c r="N154" s="3237"/>
    </row>
    <row r="155" spans="1:14" ht="27.75" customHeight="1" x14ac:dyDescent="0.2">
      <c r="A155" s="3092" t="s">
        <v>55</v>
      </c>
      <c r="B155" s="2122" t="s">
        <v>255</v>
      </c>
      <c r="C155" s="2123" t="s">
        <v>193</v>
      </c>
      <c r="D155" s="278"/>
      <c r="E155" s="276"/>
      <c r="F155" s="276"/>
      <c r="G155" s="276"/>
      <c r="H155" s="305"/>
      <c r="I155" s="278"/>
      <c r="J155" s="276"/>
      <c r="K155" s="276"/>
      <c r="L155" s="276"/>
      <c r="M155" s="277"/>
      <c r="N155" s="3224" t="s">
        <v>119</v>
      </c>
    </row>
    <row r="156" spans="1:14" ht="13.5" customHeight="1" x14ac:dyDescent="0.2">
      <c r="A156" s="3093"/>
      <c r="B156" s="312" t="s">
        <v>3</v>
      </c>
      <c r="C156" s="237"/>
      <c r="D156" s="2142">
        <f t="shared" ref="D156:I156" si="113">+D157+D160</f>
        <v>179506</v>
      </c>
      <c r="E156" s="2143">
        <f t="shared" si="113"/>
        <v>126565</v>
      </c>
      <c r="F156" s="2143">
        <f t="shared" si="113"/>
        <v>0</v>
      </c>
      <c r="G156" s="2143">
        <f t="shared" si="113"/>
        <v>52941</v>
      </c>
      <c r="H156" s="2217">
        <f>+H157+H160</f>
        <v>0</v>
      </c>
      <c r="I156" s="2142">
        <f t="shared" si="113"/>
        <v>126565</v>
      </c>
      <c r="J156" s="2119">
        <f>I156/D156*100</f>
        <v>70.507392510556755</v>
      </c>
      <c r="K156" s="320">
        <f>K157+K160</f>
        <v>0</v>
      </c>
      <c r="L156" s="2119">
        <f>K156/G156*100</f>
        <v>0</v>
      </c>
      <c r="M156" s="2120">
        <f>+K156-G156*0.5</f>
        <v>-26470.5</v>
      </c>
      <c r="N156" s="3225"/>
    </row>
    <row r="157" spans="1:14" ht="13.5" customHeight="1" x14ac:dyDescent="0.2">
      <c r="A157" s="3093"/>
      <c r="B157" s="1994" t="s">
        <v>18</v>
      </c>
      <c r="C157" s="3039" t="s">
        <v>134</v>
      </c>
      <c r="D157" s="1734">
        <f t="shared" ref="D157:I157" si="114">+D158+D159</f>
        <v>26926</v>
      </c>
      <c r="E157" s="1706">
        <f t="shared" si="114"/>
        <v>18985</v>
      </c>
      <c r="F157" s="1706">
        <f t="shared" si="114"/>
        <v>0</v>
      </c>
      <c r="G157" s="1706">
        <f t="shared" si="114"/>
        <v>7941</v>
      </c>
      <c r="H157" s="900">
        <f>+H158+H159</f>
        <v>0</v>
      </c>
      <c r="I157" s="1734">
        <f t="shared" si="114"/>
        <v>18985</v>
      </c>
      <c r="J157" s="2134">
        <f t="shared" ref="J157:J166" si="115">I157/D157*100</f>
        <v>70.508059125009282</v>
      </c>
      <c r="K157" s="1706">
        <f>K158</f>
        <v>0</v>
      </c>
      <c r="L157" s="2128">
        <f t="shared" ref="L157:L166" si="116">K157/G157*100</f>
        <v>0</v>
      </c>
      <c r="M157" s="2129">
        <f t="shared" ref="M157:M166" si="117">+K157-G157*0.5</f>
        <v>-3970.5</v>
      </c>
      <c r="N157" s="3225"/>
    </row>
    <row r="158" spans="1:14" ht="13.5" customHeight="1" x14ac:dyDescent="0.2">
      <c r="A158" s="3093"/>
      <c r="B158" s="279" t="s">
        <v>5</v>
      </c>
      <c r="C158" s="3100"/>
      <c r="D158" s="1701">
        <f>+E158+F158+G158+H158</f>
        <v>26926</v>
      </c>
      <c r="E158" s="292">
        <f>10841+2247+5897</f>
        <v>18985</v>
      </c>
      <c r="F158" s="292">
        <v>0</v>
      </c>
      <c r="G158" s="292">
        <v>7941</v>
      </c>
      <c r="H158" s="900">
        <v>0</v>
      </c>
      <c r="I158" s="1701">
        <f>K158+E158+F158</f>
        <v>18985</v>
      </c>
      <c r="J158" s="2146">
        <f t="shared" si="115"/>
        <v>70.508059125009282</v>
      </c>
      <c r="K158" s="1702">
        <v>0</v>
      </c>
      <c r="L158" s="2199">
        <f t="shared" si="116"/>
        <v>0</v>
      </c>
      <c r="M158" s="2218">
        <f t="shared" si="117"/>
        <v>-3970.5</v>
      </c>
      <c r="N158" s="3225"/>
    </row>
    <row r="159" spans="1:14" ht="13.5" hidden="1" customHeight="1" x14ac:dyDescent="0.2">
      <c r="A159" s="3093"/>
      <c r="B159" s="279" t="s">
        <v>8</v>
      </c>
      <c r="C159" s="3100"/>
      <c r="D159" s="1701">
        <f>+E159+F159+G159+H159</f>
        <v>0</v>
      </c>
      <c r="E159" s="292"/>
      <c r="F159" s="292"/>
      <c r="G159" s="293">
        <v>0</v>
      </c>
      <c r="H159" s="900">
        <v>0</v>
      </c>
      <c r="I159" s="1701">
        <f>K159+E159+F159</f>
        <v>0</v>
      </c>
      <c r="J159" s="2146" t="e">
        <f t="shared" si="115"/>
        <v>#DIV/0!</v>
      </c>
      <c r="K159" s="922"/>
      <c r="L159" s="2199" t="e">
        <f t="shared" si="116"/>
        <v>#DIV/0!</v>
      </c>
      <c r="M159" s="2218">
        <f t="shared" si="117"/>
        <v>0</v>
      </c>
      <c r="N159" s="3225"/>
    </row>
    <row r="160" spans="1:14" ht="12.75" customHeight="1" x14ac:dyDescent="0.2">
      <c r="A160" s="3093"/>
      <c r="B160" s="2004" t="s">
        <v>13</v>
      </c>
      <c r="C160" s="3100"/>
      <c r="D160" s="282">
        <f t="shared" ref="D160:I160" si="118">+D161</f>
        <v>152580</v>
      </c>
      <c r="E160" s="283">
        <f t="shared" si="118"/>
        <v>107580</v>
      </c>
      <c r="F160" s="283">
        <f t="shared" si="118"/>
        <v>0</v>
      </c>
      <c r="G160" s="283">
        <f t="shared" si="118"/>
        <v>45000</v>
      </c>
      <c r="H160" s="2219">
        <f t="shared" si="118"/>
        <v>0</v>
      </c>
      <c r="I160" s="282">
        <f t="shared" si="118"/>
        <v>107580</v>
      </c>
      <c r="J160" s="2134">
        <f t="shared" si="115"/>
        <v>70.507274872198195</v>
      </c>
      <c r="K160" s="1706">
        <f>K161</f>
        <v>0</v>
      </c>
      <c r="L160" s="2128">
        <f t="shared" si="116"/>
        <v>0</v>
      </c>
      <c r="M160" s="2129">
        <f t="shared" si="117"/>
        <v>-22500</v>
      </c>
      <c r="N160" s="3225"/>
    </row>
    <row r="161" spans="1:14" ht="13.5" customHeight="1" x14ac:dyDescent="0.2">
      <c r="A161" s="3093"/>
      <c r="B161" s="279" t="s">
        <v>15</v>
      </c>
      <c r="C161" s="3100"/>
      <c r="D161" s="1701">
        <f>+E161+F161+G161+H161</f>
        <v>152580</v>
      </c>
      <c r="E161" s="292">
        <f>61432+12734+33414</f>
        <v>107580</v>
      </c>
      <c r="F161" s="292">
        <v>0</v>
      </c>
      <c r="G161" s="292">
        <v>45000</v>
      </c>
      <c r="H161" s="900">
        <v>0</v>
      </c>
      <c r="I161" s="1701">
        <f>K161+E161+F161</f>
        <v>107580</v>
      </c>
      <c r="J161" s="2146">
        <f t="shared" si="115"/>
        <v>70.507274872198195</v>
      </c>
      <c r="K161" s="1702">
        <v>0</v>
      </c>
      <c r="L161" s="2199">
        <f t="shared" si="116"/>
        <v>0</v>
      </c>
      <c r="M161" s="2218">
        <f t="shared" si="117"/>
        <v>-22500</v>
      </c>
      <c r="N161" s="3225"/>
    </row>
    <row r="162" spans="1:14" ht="13.5" customHeight="1" x14ac:dyDescent="0.2">
      <c r="A162" s="3104"/>
      <c r="B162" s="312" t="s">
        <v>17</v>
      </c>
      <c r="C162" s="237"/>
      <c r="D162" s="302">
        <f t="shared" ref="D162:I162" si="119">+D163+D165</f>
        <v>152580</v>
      </c>
      <c r="E162" s="304">
        <f t="shared" si="119"/>
        <v>107580</v>
      </c>
      <c r="F162" s="304">
        <f t="shared" si="119"/>
        <v>0</v>
      </c>
      <c r="G162" s="304">
        <f t="shared" si="119"/>
        <v>45000</v>
      </c>
      <c r="H162" s="2220">
        <f t="shared" si="119"/>
        <v>0</v>
      </c>
      <c r="I162" s="302">
        <f t="shared" si="119"/>
        <v>107580</v>
      </c>
      <c r="J162" s="2119">
        <f t="shared" si="115"/>
        <v>70.507274872198195</v>
      </c>
      <c r="K162" s="320">
        <f>K165</f>
        <v>0</v>
      </c>
      <c r="L162" s="2119">
        <f t="shared" si="116"/>
        <v>0</v>
      </c>
      <c r="M162" s="2120">
        <f t="shared" si="117"/>
        <v>-22500</v>
      </c>
      <c r="N162" s="3236"/>
    </row>
    <row r="163" spans="1:14" ht="13.5" hidden="1" customHeight="1" x14ac:dyDescent="0.2">
      <c r="A163" s="3104"/>
      <c r="B163" s="1994" t="s">
        <v>18</v>
      </c>
      <c r="C163" s="3122" t="s">
        <v>123</v>
      </c>
      <c r="D163" s="282">
        <f t="shared" ref="D163:I163" si="120">+D164</f>
        <v>0</v>
      </c>
      <c r="E163" s="283">
        <f t="shared" si="120"/>
        <v>0</v>
      </c>
      <c r="F163" s="283">
        <f t="shared" si="120"/>
        <v>0</v>
      </c>
      <c r="G163" s="283">
        <f t="shared" si="120"/>
        <v>0</v>
      </c>
      <c r="H163" s="2219">
        <f>+H164</f>
        <v>0</v>
      </c>
      <c r="I163" s="282">
        <f t="shared" si="120"/>
        <v>0</v>
      </c>
      <c r="J163" s="2134" t="e">
        <f t="shared" si="115"/>
        <v>#DIV/0!</v>
      </c>
      <c r="K163" s="284"/>
      <c r="L163" s="2128" t="e">
        <f t="shared" si="116"/>
        <v>#DIV/0!</v>
      </c>
      <c r="M163" s="2129">
        <f t="shared" si="117"/>
        <v>0</v>
      </c>
      <c r="N163" s="3236"/>
    </row>
    <row r="164" spans="1:14" ht="13.5" hidden="1" customHeight="1" x14ac:dyDescent="0.2">
      <c r="A164" s="3104"/>
      <c r="B164" s="279" t="s">
        <v>8</v>
      </c>
      <c r="C164" s="3100"/>
      <c r="D164" s="1701">
        <f>+E164+F164+G164+H164</f>
        <v>0</v>
      </c>
      <c r="E164" s="2144"/>
      <c r="F164" s="2144"/>
      <c r="G164" s="2144">
        <v>0</v>
      </c>
      <c r="H164" s="2219">
        <v>0</v>
      </c>
      <c r="I164" s="1701">
        <f>K164+E164+F164</f>
        <v>0</v>
      </c>
      <c r="J164" s="2146" t="e">
        <f t="shared" si="115"/>
        <v>#DIV/0!</v>
      </c>
      <c r="K164" s="300"/>
      <c r="L164" s="2199" t="e">
        <f t="shared" si="116"/>
        <v>#DIV/0!</v>
      </c>
      <c r="M164" s="2218">
        <f t="shared" si="117"/>
        <v>0</v>
      </c>
      <c r="N164" s="3236"/>
    </row>
    <row r="165" spans="1:14" ht="12" customHeight="1" x14ac:dyDescent="0.2">
      <c r="A165" s="3104"/>
      <c r="B165" s="2004" t="s">
        <v>13</v>
      </c>
      <c r="C165" s="3125"/>
      <c r="D165" s="282">
        <f t="shared" ref="D165:I165" si="121">+D166</f>
        <v>152580</v>
      </c>
      <c r="E165" s="283">
        <f t="shared" si="121"/>
        <v>107580</v>
      </c>
      <c r="F165" s="283">
        <f t="shared" si="121"/>
        <v>0</v>
      </c>
      <c r="G165" s="283">
        <f t="shared" si="121"/>
        <v>45000</v>
      </c>
      <c r="H165" s="2219">
        <f>+H166</f>
        <v>0</v>
      </c>
      <c r="I165" s="282">
        <f t="shared" si="121"/>
        <v>107580</v>
      </c>
      <c r="J165" s="2134">
        <f t="shared" si="115"/>
        <v>70.507274872198195</v>
      </c>
      <c r="K165" s="1706">
        <f>K166</f>
        <v>0</v>
      </c>
      <c r="L165" s="2128">
        <f t="shared" si="116"/>
        <v>0</v>
      </c>
      <c r="M165" s="2129">
        <f t="shared" si="117"/>
        <v>-22500</v>
      </c>
      <c r="N165" s="3236"/>
    </row>
    <row r="166" spans="1:14" ht="13.5" customHeight="1" thickBot="1" x14ac:dyDescent="0.25">
      <c r="A166" s="3103"/>
      <c r="B166" s="287" t="s">
        <v>15</v>
      </c>
      <c r="C166" s="3126"/>
      <c r="D166" s="1711">
        <f>+E166+F166+G166+H166</f>
        <v>152580</v>
      </c>
      <c r="E166" s="2167">
        <f>61432+12734+33414</f>
        <v>107580</v>
      </c>
      <c r="F166" s="2167">
        <v>0</v>
      </c>
      <c r="G166" s="2167">
        <v>45000</v>
      </c>
      <c r="H166" s="901">
        <v>0</v>
      </c>
      <c r="I166" s="1711">
        <f>K166+E166+F166</f>
        <v>107580</v>
      </c>
      <c r="J166" s="2136">
        <f t="shared" si="115"/>
        <v>70.507274872198195</v>
      </c>
      <c r="K166" s="1712">
        <v>0</v>
      </c>
      <c r="L166" s="2195">
        <f t="shared" si="116"/>
        <v>0</v>
      </c>
      <c r="M166" s="2221">
        <f t="shared" si="117"/>
        <v>-22500</v>
      </c>
      <c r="N166" s="3237"/>
    </row>
    <row r="167" spans="1:14" ht="45" customHeight="1" x14ac:dyDescent="0.2">
      <c r="A167" s="3092" t="s">
        <v>57</v>
      </c>
      <c r="B167" s="2122" t="s">
        <v>136</v>
      </c>
      <c r="C167" s="2123" t="s">
        <v>198</v>
      </c>
      <c r="D167" s="278"/>
      <c r="E167" s="276"/>
      <c r="F167" s="276"/>
      <c r="G167" s="276"/>
      <c r="H167" s="305"/>
      <c r="I167" s="278"/>
      <c r="J167" s="276"/>
      <c r="K167" s="276"/>
      <c r="L167" s="276"/>
      <c r="M167" s="277"/>
      <c r="N167" s="3224" t="s">
        <v>137</v>
      </c>
    </row>
    <row r="168" spans="1:14" ht="13.5" customHeight="1" x14ac:dyDescent="0.2">
      <c r="A168" s="3093"/>
      <c r="B168" s="236" t="s">
        <v>3</v>
      </c>
      <c r="C168" s="237"/>
      <c r="D168" s="2142">
        <f t="shared" ref="D168:I168" si="122">+D169+D172</f>
        <v>1319989.3999999999</v>
      </c>
      <c r="E168" s="2143">
        <f t="shared" si="122"/>
        <v>304733</v>
      </c>
      <c r="F168" s="2143">
        <f t="shared" si="122"/>
        <v>250256.4</v>
      </c>
      <c r="G168" s="2143">
        <f t="shared" si="122"/>
        <v>366012</v>
      </c>
      <c r="H168" s="2168">
        <f t="shared" si="122"/>
        <v>398988</v>
      </c>
      <c r="I168" s="2142">
        <f t="shared" si="122"/>
        <v>670127.58000000007</v>
      </c>
      <c r="J168" s="2119">
        <f t="shared" ref="J168:J169" si="123">I168/D168*100</f>
        <v>50.767648588693227</v>
      </c>
      <c r="K168" s="2143">
        <f>+K169+K172</f>
        <v>115138.18000000001</v>
      </c>
      <c r="L168" s="2169">
        <f>+K168/G168*100</f>
        <v>31.457487732642647</v>
      </c>
      <c r="M168" s="2170">
        <f>+K168-G168*0.5</f>
        <v>-67867.819999999992</v>
      </c>
      <c r="N168" s="3225"/>
    </row>
    <row r="169" spans="1:14" ht="13.5" customHeight="1" x14ac:dyDescent="0.2">
      <c r="A169" s="3093"/>
      <c r="B169" s="301" t="s">
        <v>18</v>
      </c>
      <c r="C169" s="3039" t="s">
        <v>138</v>
      </c>
      <c r="D169" s="1734">
        <f t="shared" ref="D169:H169" si="124">+D170+D171</f>
        <v>197999.46</v>
      </c>
      <c r="E169" s="1706">
        <f t="shared" si="124"/>
        <v>45710</v>
      </c>
      <c r="F169" s="1706">
        <f t="shared" si="124"/>
        <v>37538.46</v>
      </c>
      <c r="G169" s="1706">
        <f t="shared" si="124"/>
        <v>54902</v>
      </c>
      <c r="H169" s="1818">
        <f t="shared" si="124"/>
        <v>59849</v>
      </c>
      <c r="I169" s="1734">
        <f>K169+E169+F169</f>
        <v>100519.20000000001</v>
      </c>
      <c r="J169" s="2134">
        <f t="shared" si="123"/>
        <v>50.767411183848687</v>
      </c>
      <c r="K169" s="1706">
        <f>+K170+K171</f>
        <v>17270.740000000002</v>
      </c>
      <c r="L169" s="2172">
        <f>+K169/G169*100</f>
        <v>31.457396816145135</v>
      </c>
      <c r="M169" s="1425">
        <f t="shared" ref="M169:M202" si="125">+K169-G169*0.5</f>
        <v>-10180.259999999998</v>
      </c>
      <c r="N169" s="3225"/>
    </row>
    <row r="170" spans="1:14" ht="13.5" hidden="1" customHeight="1" x14ac:dyDescent="0.2">
      <c r="A170" s="3093"/>
      <c r="B170" s="279" t="s">
        <v>5</v>
      </c>
      <c r="C170" s="3100"/>
      <c r="D170" s="1701">
        <f>+E170+F170+G170+H170</f>
        <v>0</v>
      </c>
      <c r="E170" s="292"/>
      <c r="F170" s="292"/>
      <c r="G170" s="292"/>
      <c r="H170" s="2174"/>
      <c r="I170" s="1730">
        <f t="shared" ref="I170:I177" si="126">K170+E170+F170</f>
        <v>0</v>
      </c>
      <c r="J170" s="1523" t="e">
        <f>I170/#REF!*100</f>
        <v>#REF!</v>
      </c>
      <c r="K170" s="1523"/>
      <c r="L170" s="1523" t="e">
        <f>K170/#REF!*100</f>
        <v>#REF!</v>
      </c>
      <c r="M170" s="1424">
        <f t="shared" si="125"/>
        <v>0</v>
      </c>
      <c r="N170" s="3225"/>
    </row>
    <row r="171" spans="1:14" ht="13.5" customHeight="1" x14ac:dyDescent="0.2">
      <c r="A171" s="3093"/>
      <c r="B171" s="279" t="s">
        <v>8</v>
      </c>
      <c r="C171" s="3100"/>
      <c r="D171" s="1701">
        <f>+E171+F171+G171+H171</f>
        <v>197999.46</v>
      </c>
      <c r="E171" s="292">
        <f>19739+25971</f>
        <v>45710</v>
      </c>
      <c r="F171" s="292">
        <v>37538.46</v>
      </c>
      <c r="G171" s="292">
        <v>54902</v>
      </c>
      <c r="H171" s="2174">
        <f>45513+14336</f>
        <v>59849</v>
      </c>
      <c r="I171" s="1730">
        <f>K171+E171+F171</f>
        <v>100519.20000000001</v>
      </c>
      <c r="J171" s="2146">
        <f>I171/D171*100</f>
        <v>50.767411183848687</v>
      </c>
      <c r="K171" s="1702">
        <v>17270.740000000002</v>
      </c>
      <c r="L171" s="2173">
        <f t="shared" ref="L171:L178" si="127">+K171/G171*100</f>
        <v>31.457396816145135</v>
      </c>
      <c r="M171" s="1424">
        <f t="shared" si="125"/>
        <v>-10180.259999999998</v>
      </c>
      <c r="N171" s="3225"/>
    </row>
    <row r="172" spans="1:14" ht="12.75" customHeight="1" thickBot="1" x14ac:dyDescent="0.25">
      <c r="A172" s="3094"/>
      <c r="B172" s="281" t="s">
        <v>13</v>
      </c>
      <c r="C172" s="3136"/>
      <c r="D172" s="282">
        <f t="shared" ref="D172:H172" si="128">+D173</f>
        <v>1121989.94</v>
      </c>
      <c r="E172" s="283">
        <f t="shared" si="128"/>
        <v>259023</v>
      </c>
      <c r="F172" s="283">
        <f t="shared" si="128"/>
        <v>212717.94</v>
      </c>
      <c r="G172" s="283">
        <f t="shared" si="128"/>
        <v>311110</v>
      </c>
      <c r="H172" s="1819">
        <f t="shared" si="128"/>
        <v>339139</v>
      </c>
      <c r="I172" s="282">
        <f t="shared" si="126"/>
        <v>569608.38</v>
      </c>
      <c r="J172" s="2134">
        <f t="shared" ref="J172:J177" si="129">I172/D172*100</f>
        <v>50.767690483927161</v>
      </c>
      <c r="K172" s="2222">
        <f>+K173</f>
        <v>97867.44</v>
      </c>
      <c r="L172" s="2172">
        <f t="shared" si="127"/>
        <v>31.457503776799207</v>
      </c>
      <c r="M172" s="1426">
        <f t="shared" si="125"/>
        <v>-57687.56</v>
      </c>
      <c r="N172" s="3241"/>
    </row>
    <row r="173" spans="1:14" ht="13.5" customHeight="1" x14ac:dyDescent="0.2">
      <c r="A173" s="3092"/>
      <c r="B173" s="279" t="s">
        <v>15</v>
      </c>
      <c r="C173" s="3242"/>
      <c r="D173" s="1701">
        <f>+E173+F173+G173+H173</f>
        <v>1121989.94</v>
      </c>
      <c r="E173" s="292">
        <f>111854+147169</f>
        <v>259023</v>
      </c>
      <c r="F173" s="292">
        <v>212717.94</v>
      </c>
      <c r="G173" s="292">
        <v>311110</v>
      </c>
      <c r="H173" s="2174">
        <f>257905+81234</f>
        <v>339139</v>
      </c>
      <c r="I173" s="1730">
        <f t="shared" si="126"/>
        <v>569608.38</v>
      </c>
      <c r="J173" s="2146">
        <f t="shared" si="129"/>
        <v>50.767690483927161</v>
      </c>
      <c r="K173" s="1702">
        <v>97867.44</v>
      </c>
      <c r="L173" s="2173">
        <f t="shared" si="127"/>
        <v>31.457503776799207</v>
      </c>
      <c r="M173" s="1424">
        <f t="shared" si="125"/>
        <v>-57687.56</v>
      </c>
      <c r="N173" s="3224"/>
    </row>
    <row r="174" spans="1:14" ht="13.5" customHeight="1" x14ac:dyDescent="0.2">
      <c r="A174" s="3104"/>
      <c r="B174" s="236" t="s">
        <v>17</v>
      </c>
      <c r="C174" s="237"/>
      <c r="D174" s="302">
        <f t="shared" ref="D174:I174" si="130">+D175+D177</f>
        <v>1319989</v>
      </c>
      <c r="E174" s="304">
        <f t="shared" si="130"/>
        <v>302399</v>
      </c>
      <c r="F174" s="304">
        <f t="shared" si="130"/>
        <v>250256</v>
      </c>
      <c r="G174" s="304">
        <f t="shared" si="130"/>
        <v>366012</v>
      </c>
      <c r="H174" s="1180">
        <f t="shared" si="130"/>
        <v>401322</v>
      </c>
      <c r="I174" s="302">
        <f t="shared" si="130"/>
        <v>793161</v>
      </c>
      <c r="J174" s="2119">
        <f t="shared" si="129"/>
        <v>60.088455282581897</v>
      </c>
      <c r="K174" s="304">
        <f>+K175+K177</f>
        <v>240506</v>
      </c>
      <c r="L174" s="2169">
        <f t="shared" si="127"/>
        <v>65.709867436040355</v>
      </c>
      <c r="M174" s="1185">
        <f t="shared" si="125"/>
        <v>57500</v>
      </c>
      <c r="N174" s="3236"/>
    </row>
    <row r="175" spans="1:14" ht="13.5" customHeight="1" x14ac:dyDescent="0.2">
      <c r="A175" s="3104"/>
      <c r="B175" s="301" t="s">
        <v>18</v>
      </c>
      <c r="C175" s="3122" t="s">
        <v>139</v>
      </c>
      <c r="D175" s="282">
        <f t="shared" ref="D175:H175" si="131">+D176</f>
        <v>197999</v>
      </c>
      <c r="E175" s="283">
        <f t="shared" si="131"/>
        <v>45360</v>
      </c>
      <c r="F175" s="283">
        <f t="shared" si="131"/>
        <v>37538</v>
      </c>
      <c r="G175" s="283">
        <f t="shared" si="131"/>
        <v>54902</v>
      </c>
      <c r="H175" s="1819">
        <f t="shared" si="131"/>
        <v>60199</v>
      </c>
      <c r="I175" s="282">
        <f t="shared" si="126"/>
        <v>118973.9</v>
      </c>
      <c r="J175" s="2134">
        <f t="shared" si="129"/>
        <v>60.088131758241204</v>
      </c>
      <c r="K175" s="283">
        <f>+K176</f>
        <v>36075.9</v>
      </c>
      <c r="L175" s="2172">
        <f t="shared" si="127"/>
        <v>65.709628064551381</v>
      </c>
      <c r="M175" s="1426">
        <f t="shared" si="125"/>
        <v>8624.9000000000015</v>
      </c>
      <c r="N175" s="3236"/>
    </row>
    <row r="176" spans="1:14" ht="13.5" customHeight="1" x14ac:dyDescent="0.2">
      <c r="A176" s="3104"/>
      <c r="B176" s="279" t="s">
        <v>8</v>
      </c>
      <c r="C176" s="3100"/>
      <c r="D176" s="1701">
        <f>+E176+F176+G176+H176</f>
        <v>197999</v>
      </c>
      <c r="E176" s="292">
        <f>19739+25621</f>
        <v>45360</v>
      </c>
      <c r="F176" s="292">
        <v>37538</v>
      </c>
      <c r="G176" s="292">
        <v>54902</v>
      </c>
      <c r="H176" s="2174">
        <f>45513+14686</f>
        <v>60199</v>
      </c>
      <c r="I176" s="1701">
        <f t="shared" si="126"/>
        <v>118973.9</v>
      </c>
      <c r="J176" s="2146">
        <f t="shared" si="129"/>
        <v>60.088131758241204</v>
      </c>
      <c r="K176" s="292">
        <v>36075.9</v>
      </c>
      <c r="L176" s="2173">
        <f t="shared" si="127"/>
        <v>65.709628064551381</v>
      </c>
      <c r="M176" s="2145">
        <f t="shared" si="125"/>
        <v>8624.9000000000015</v>
      </c>
      <c r="N176" s="3236"/>
    </row>
    <row r="177" spans="1:14" ht="12" customHeight="1" x14ac:dyDescent="0.2">
      <c r="A177" s="3104"/>
      <c r="B177" s="281" t="s">
        <v>13</v>
      </c>
      <c r="C177" s="3125"/>
      <c r="D177" s="282">
        <f t="shared" ref="D177:H177" si="132">+D178</f>
        <v>1121990</v>
      </c>
      <c r="E177" s="283">
        <f t="shared" si="132"/>
        <v>257039</v>
      </c>
      <c r="F177" s="283">
        <f t="shared" si="132"/>
        <v>212718</v>
      </c>
      <c r="G177" s="283">
        <f t="shared" si="132"/>
        <v>311110</v>
      </c>
      <c r="H177" s="1819">
        <f t="shared" si="132"/>
        <v>341123</v>
      </c>
      <c r="I177" s="282">
        <f t="shared" si="126"/>
        <v>674187.1</v>
      </c>
      <c r="J177" s="2134">
        <f t="shared" si="129"/>
        <v>60.088512375333117</v>
      </c>
      <c r="K177" s="283">
        <f>+K178</f>
        <v>204430.1</v>
      </c>
      <c r="L177" s="2172">
        <f t="shared" si="127"/>
        <v>65.709909678248863</v>
      </c>
      <c r="M177" s="1426">
        <f t="shared" si="125"/>
        <v>48875.100000000006</v>
      </c>
      <c r="N177" s="3236"/>
    </row>
    <row r="178" spans="1:14" ht="13.5" thickBot="1" x14ac:dyDescent="0.25">
      <c r="A178" s="3103"/>
      <c r="B178" s="287" t="s">
        <v>15</v>
      </c>
      <c r="C178" s="3126"/>
      <c r="D178" s="1711">
        <f>+E178+F178+G178+H178</f>
        <v>1121990</v>
      </c>
      <c r="E178" s="2167">
        <f>111854+145185</f>
        <v>257039</v>
      </c>
      <c r="F178" s="2167">
        <v>212718</v>
      </c>
      <c r="G178" s="2167">
        <v>311110</v>
      </c>
      <c r="H178" s="1202">
        <f>257905+83218</f>
        <v>341123</v>
      </c>
      <c r="I178" s="289">
        <f>K178+E178+F178</f>
        <v>674187.1</v>
      </c>
      <c r="J178" s="2136">
        <f t="shared" ref="J178" si="133">I178/D178*100</f>
        <v>60.088512375333117</v>
      </c>
      <c r="K178" s="2167">
        <v>204430.1</v>
      </c>
      <c r="L178" s="2190">
        <f t="shared" si="127"/>
        <v>65.709909678248863</v>
      </c>
      <c r="M178" s="1428">
        <f t="shared" si="125"/>
        <v>48875.100000000006</v>
      </c>
      <c r="N178" s="3237"/>
    </row>
    <row r="179" spans="1:14" ht="53.25" customHeight="1" x14ac:dyDescent="0.2">
      <c r="A179" s="3092" t="s">
        <v>58</v>
      </c>
      <c r="B179" s="2122" t="s">
        <v>140</v>
      </c>
      <c r="C179" s="2123" t="s">
        <v>198</v>
      </c>
      <c r="D179" s="2223"/>
      <c r="E179" s="276"/>
      <c r="F179" s="276"/>
      <c r="G179" s="276"/>
      <c r="H179" s="305"/>
      <c r="I179" s="278"/>
      <c r="J179" s="276"/>
      <c r="K179" s="276"/>
      <c r="L179" s="305"/>
      <c r="M179" s="277"/>
      <c r="N179" s="3224" t="s">
        <v>137</v>
      </c>
    </row>
    <row r="180" spans="1:14" ht="13.5" customHeight="1" x14ac:dyDescent="0.2">
      <c r="A180" s="3093"/>
      <c r="B180" s="236" t="s">
        <v>3</v>
      </c>
      <c r="C180" s="237"/>
      <c r="D180" s="1179">
        <f t="shared" ref="D180:H180" si="134">+D181+D184</f>
        <v>7460883</v>
      </c>
      <c r="E180" s="304">
        <f t="shared" si="134"/>
        <v>0</v>
      </c>
      <c r="F180" s="304">
        <f t="shared" ref="F180" si="135">+F181+F184</f>
        <v>1460883</v>
      </c>
      <c r="G180" s="304">
        <f t="shared" si="134"/>
        <v>1500000</v>
      </c>
      <c r="H180" s="2125">
        <f t="shared" si="134"/>
        <v>4500000</v>
      </c>
      <c r="I180" s="302">
        <f>+I181+I184</f>
        <v>1480883</v>
      </c>
      <c r="J180" s="2119">
        <f t="shared" ref="J180" si="136">I180/D180*100</f>
        <v>19.848629177002238</v>
      </c>
      <c r="K180" s="1238">
        <f>+K181+K184</f>
        <v>20000</v>
      </c>
      <c r="L180" s="2169">
        <f>+K180/G180*100</f>
        <v>1.3333333333333335</v>
      </c>
      <c r="M180" s="1185">
        <f t="shared" si="125"/>
        <v>-730000</v>
      </c>
      <c r="N180" s="3225"/>
    </row>
    <row r="181" spans="1:14" ht="13.5" hidden="1" customHeight="1" x14ac:dyDescent="0.25">
      <c r="A181" s="3114"/>
      <c r="B181" s="2224" t="s">
        <v>18</v>
      </c>
      <c r="C181" s="3116" t="s">
        <v>138</v>
      </c>
      <c r="D181" s="2225">
        <f t="shared" ref="D181:H181" si="137">+D182+D183</f>
        <v>0</v>
      </c>
      <c r="E181" s="2226">
        <f t="shared" si="137"/>
        <v>0</v>
      </c>
      <c r="F181" s="2226">
        <f t="shared" ref="F181" si="138">+F182+F183</f>
        <v>0</v>
      </c>
      <c r="G181" s="2226">
        <f t="shared" si="137"/>
        <v>0</v>
      </c>
      <c r="H181" s="2227">
        <f t="shared" si="137"/>
        <v>0</v>
      </c>
      <c r="I181" s="2228">
        <f>+I183</f>
        <v>0</v>
      </c>
      <c r="J181" s="2229" t="e">
        <f>I181/#REF!*100</f>
        <v>#REF!</v>
      </c>
      <c r="K181" s="2230">
        <f>+K182+K183</f>
        <v>0</v>
      </c>
      <c r="L181" s="2231" t="e">
        <f>K181/#REF!*100</f>
        <v>#REF!</v>
      </c>
      <c r="M181" s="2232">
        <f t="shared" si="125"/>
        <v>0</v>
      </c>
      <c r="N181" s="3233"/>
    </row>
    <row r="182" spans="1:14" ht="13.5" hidden="1" customHeight="1" x14ac:dyDescent="0.2">
      <c r="A182" s="3092"/>
      <c r="B182" s="2233" t="s">
        <v>5</v>
      </c>
      <c r="C182" s="3242"/>
      <c r="D182" s="2234">
        <f>+E182+F182+G182+H182</f>
        <v>0</v>
      </c>
      <c r="E182" s="2235"/>
      <c r="F182" s="2235"/>
      <c r="G182" s="2235"/>
      <c r="H182" s="2236"/>
      <c r="I182" s="2237">
        <f>K182+E182+F182</f>
        <v>0</v>
      </c>
      <c r="J182" s="2238" t="e">
        <f>I182/#REF!*100</f>
        <v>#REF!</v>
      </c>
      <c r="K182" s="2239"/>
      <c r="L182" s="2240" t="e">
        <f>K182/#REF!*100</f>
        <v>#REF!</v>
      </c>
      <c r="M182" s="2241">
        <f t="shared" si="125"/>
        <v>0</v>
      </c>
      <c r="N182" s="3224"/>
    </row>
    <row r="183" spans="1:14" ht="13.5" hidden="1" customHeight="1" x14ac:dyDescent="0.2">
      <c r="A183" s="3093"/>
      <c r="B183" s="279" t="s">
        <v>8</v>
      </c>
      <c r="C183" s="3100"/>
      <c r="D183" s="1179">
        <f>+E183+F183+G183+H183</f>
        <v>0</v>
      </c>
      <c r="E183" s="304">
        <v>0</v>
      </c>
      <c r="F183" s="304">
        <v>0</v>
      </c>
      <c r="G183" s="304">
        <v>0</v>
      </c>
      <c r="H183" s="2125">
        <v>0</v>
      </c>
      <c r="I183" s="302">
        <v>0</v>
      </c>
      <c r="J183" s="2242" t="e">
        <f>I183/#REF!*100</f>
        <v>#REF!</v>
      </c>
      <c r="K183" s="1238">
        <v>0</v>
      </c>
      <c r="L183" s="2243" t="e">
        <f>K183/#REF!*100</f>
        <v>#REF!</v>
      </c>
      <c r="M183" s="1185">
        <f t="shared" si="125"/>
        <v>0</v>
      </c>
      <c r="N183" s="3225"/>
    </row>
    <row r="184" spans="1:14" ht="12.75" customHeight="1" x14ac:dyDescent="0.2">
      <c r="A184" s="3093"/>
      <c r="B184" s="281" t="s">
        <v>13</v>
      </c>
      <c r="C184" s="3100"/>
      <c r="D184" s="1828">
        <f t="shared" ref="D184:H184" si="139">+D185</f>
        <v>7460883</v>
      </c>
      <c r="E184" s="283">
        <f t="shared" si="139"/>
        <v>0</v>
      </c>
      <c r="F184" s="283">
        <f t="shared" si="139"/>
        <v>1460883</v>
      </c>
      <c r="G184" s="283">
        <f t="shared" si="139"/>
        <v>1500000</v>
      </c>
      <c r="H184" s="2244">
        <f t="shared" si="139"/>
        <v>4500000</v>
      </c>
      <c r="I184" s="282">
        <f>+I185</f>
        <v>1480883</v>
      </c>
      <c r="J184" s="2134">
        <f t="shared" ref="J184:J186" si="140">I184/D184*100</f>
        <v>19.848629177002238</v>
      </c>
      <c r="K184" s="1239">
        <f>+K185</f>
        <v>20000</v>
      </c>
      <c r="L184" s="2172">
        <f>+K184/G184*100</f>
        <v>1.3333333333333335</v>
      </c>
      <c r="M184" s="1426">
        <f t="shared" si="125"/>
        <v>-730000</v>
      </c>
      <c r="N184" s="3225"/>
    </row>
    <row r="185" spans="1:14" ht="13.5" customHeight="1" x14ac:dyDescent="0.2">
      <c r="A185" s="3093"/>
      <c r="B185" s="279" t="s">
        <v>15</v>
      </c>
      <c r="C185" s="3100"/>
      <c r="D185" s="2245">
        <f>+E185+F185+G185+H185</f>
        <v>7460883</v>
      </c>
      <c r="E185" s="2144">
        <v>0</v>
      </c>
      <c r="F185" s="2144">
        <v>1460883</v>
      </c>
      <c r="G185" s="2144">
        <v>1500000</v>
      </c>
      <c r="H185" s="2246">
        <v>4500000</v>
      </c>
      <c r="I185" s="1701">
        <f>K185+E185+F185</f>
        <v>1480883</v>
      </c>
      <c r="J185" s="2146">
        <f t="shared" si="140"/>
        <v>19.848629177002238</v>
      </c>
      <c r="K185" s="2247">
        <v>20000</v>
      </c>
      <c r="L185" s="2173">
        <f>+K185/G185*100</f>
        <v>1.3333333333333335</v>
      </c>
      <c r="M185" s="2145">
        <f t="shared" si="125"/>
        <v>-730000</v>
      </c>
      <c r="N185" s="3225"/>
    </row>
    <row r="186" spans="1:14" ht="13.5" customHeight="1" x14ac:dyDescent="0.2">
      <c r="A186" s="3104"/>
      <c r="B186" s="236" t="s">
        <v>17</v>
      </c>
      <c r="C186" s="237"/>
      <c r="D186" s="302">
        <f t="shared" ref="D186:H186" si="141">+D187+D189</f>
        <v>7460883</v>
      </c>
      <c r="E186" s="303">
        <f t="shared" si="141"/>
        <v>0</v>
      </c>
      <c r="F186" s="304">
        <f t="shared" ref="F186" si="142">+F187+F189</f>
        <v>1440142</v>
      </c>
      <c r="G186" s="304">
        <f t="shared" si="141"/>
        <v>1500000</v>
      </c>
      <c r="H186" s="2125">
        <f t="shared" si="141"/>
        <v>4520741</v>
      </c>
      <c r="I186" s="302">
        <f t="shared" ref="I186:I190" si="143">K186+E186+F186</f>
        <v>1440142</v>
      </c>
      <c r="J186" s="2119">
        <f t="shared" si="140"/>
        <v>19.302567805982214</v>
      </c>
      <c r="K186" s="1238">
        <f>+K187+K189</f>
        <v>0</v>
      </c>
      <c r="L186" s="2169">
        <f>+K186/G186*100</f>
        <v>0</v>
      </c>
      <c r="M186" s="1185">
        <f t="shared" si="125"/>
        <v>-750000</v>
      </c>
      <c r="N186" s="3236"/>
    </row>
    <row r="187" spans="1:14" ht="13.5" hidden="1" customHeight="1" x14ac:dyDescent="0.2">
      <c r="A187" s="3104"/>
      <c r="B187" s="301" t="s">
        <v>18</v>
      </c>
      <c r="C187" s="3122" t="s">
        <v>139</v>
      </c>
      <c r="D187" s="2248">
        <f t="shared" ref="D187:H187" si="144">+D188</f>
        <v>0</v>
      </c>
      <c r="E187" s="284">
        <f t="shared" si="144"/>
        <v>0</v>
      </c>
      <c r="F187" s="2242">
        <f t="shared" si="144"/>
        <v>0</v>
      </c>
      <c r="G187" s="2242">
        <f t="shared" si="144"/>
        <v>0</v>
      </c>
      <c r="H187" s="1523">
        <f t="shared" si="144"/>
        <v>0</v>
      </c>
      <c r="I187" s="2248">
        <f t="shared" si="143"/>
        <v>0</v>
      </c>
      <c r="J187" s="2242" t="e">
        <f>I187/#REF!*100</f>
        <v>#REF!</v>
      </c>
      <c r="K187" s="2249">
        <f>+K188</f>
        <v>0</v>
      </c>
      <c r="L187" s="2243" t="e">
        <f>K187/#REF!*100</f>
        <v>#REF!</v>
      </c>
      <c r="M187" s="2250">
        <f t="shared" si="125"/>
        <v>0</v>
      </c>
      <c r="N187" s="3236"/>
    </row>
    <row r="188" spans="1:14" ht="13.5" hidden="1" customHeight="1" x14ac:dyDescent="0.2">
      <c r="A188" s="3104"/>
      <c r="B188" s="279" t="s">
        <v>8</v>
      </c>
      <c r="C188" s="3100"/>
      <c r="D188" s="2248">
        <f>+E188+F188+G188+H188</f>
        <v>0</v>
      </c>
      <c r="E188" s="293"/>
      <c r="F188" s="2242"/>
      <c r="G188" s="2242"/>
      <c r="H188" s="1523">
        <v>0</v>
      </c>
      <c r="I188" s="2248">
        <f t="shared" si="143"/>
        <v>0</v>
      </c>
      <c r="J188" s="2242" t="e">
        <f>I188/#REF!*100</f>
        <v>#REF!</v>
      </c>
      <c r="K188" s="2249">
        <v>0</v>
      </c>
      <c r="L188" s="2243" t="e">
        <f>K188/#REF!*100</f>
        <v>#REF!</v>
      </c>
      <c r="M188" s="2250">
        <f t="shared" si="125"/>
        <v>0</v>
      </c>
      <c r="N188" s="3236"/>
    </row>
    <row r="189" spans="1:14" ht="12" customHeight="1" x14ac:dyDescent="0.2">
      <c r="A189" s="3104"/>
      <c r="B189" s="281" t="s">
        <v>13</v>
      </c>
      <c r="C189" s="3125"/>
      <c r="D189" s="282">
        <f t="shared" ref="D189:H189" si="145">+D190</f>
        <v>7460883</v>
      </c>
      <c r="E189" s="284">
        <f t="shared" si="145"/>
        <v>0</v>
      </c>
      <c r="F189" s="283">
        <f t="shared" si="145"/>
        <v>1440142</v>
      </c>
      <c r="G189" s="283">
        <f t="shared" si="145"/>
        <v>1500000</v>
      </c>
      <c r="H189" s="2244">
        <f t="shared" si="145"/>
        <v>4520741</v>
      </c>
      <c r="I189" s="282">
        <f t="shared" si="143"/>
        <v>1440142</v>
      </c>
      <c r="J189" s="2134">
        <f t="shared" ref="J189:J190" si="146">I189/D189*100</f>
        <v>19.302567805982214</v>
      </c>
      <c r="K189" s="1239">
        <f>+K190</f>
        <v>0</v>
      </c>
      <c r="L189" s="2172">
        <f>+K189/G189*100</f>
        <v>0</v>
      </c>
      <c r="M189" s="1426">
        <f t="shared" si="125"/>
        <v>-750000</v>
      </c>
      <c r="N189" s="3236"/>
    </row>
    <row r="190" spans="1:14" ht="11.25" customHeight="1" thickBot="1" x14ac:dyDescent="0.25">
      <c r="A190" s="3103"/>
      <c r="B190" s="287" t="s">
        <v>15</v>
      </c>
      <c r="C190" s="3126"/>
      <c r="D190" s="1711">
        <f>+E190+F190+G190+H190</f>
        <v>7460883</v>
      </c>
      <c r="E190" s="2167"/>
      <c r="F190" s="2251">
        <v>1440142</v>
      </c>
      <c r="G190" s="2251">
        <v>1500000</v>
      </c>
      <c r="H190" s="2252">
        <v>4520741</v>
      </c>
      <c r="I190" s="1711">
        <f t="shared" si="143"/>
        <v>1440142</v>
      </c>
      <c r="J190" s="2136">
        <f t="shared" si="146"/>
        <v>19.302567805982214</v>
      </c>
      <c r="K190" s="2253">
        <v>0</v>
      </c>
      <c r="L190" s="2190">
        <f>+K190/G190*100</f>
        <v>0</v>
      </c>
      <c r="M190" s="2254">
        <f t="shared" si="125"/>
        <v>-750000</v>
      </c>
      <c r="N190" s="3237"/>
    </row>
    <row r="191" spans="1:14" ht="24.75" customHeight="1" x14ac:dyDescent="0.2">
      <c r="A191" s="3092" t="s">
        <v>60</v>
      </c>
      <c r="B191" s="2122" t="s">
        <v>141</v>
      </c>
      <c r="C191" s="2123" t="s">
        <v>198</v>
      </c>
      <c r="D191" s="278"/>
      <c r="E191" s="276"/>
      <c r="F191" s="305"/>
      <c r="G191" s="276"/>
      <c r="H191" s="2124"/>
      <c r="I191" s="278"/>
      <c r="J191" s="276"/>
      <c r="K191" s="276"/>
      <c r="L191" s="305"/>
      <c r="M191" s="277"/>
      <c r="N191" s="3224" t="s">
        <v>137</v>
      </c>
    </row>
    <row r="192" spans="1:14" ht="13.5" customHeight="1" x14ac:dyDescent="0.2">
      <c r="A192" s="3093"/>
      <c r="B192" s="236" t="s">
        <v>3</v>
      </c>
      <c r="C192" s="237"/>
      <c r="D192" s="302">
        <f t="shared" ref="D192:I192" si="147">+D193+D196</f>
        <v>919301</v>
      </c>
      <c r="E192" s="307">
        <f t="shared" si="147"/>
        <v>0</v>
      </c>
      <c r="F192" s="304">
        <f t="shared" ref="F192" si="148">+F193+F196</f>
        <v>219301</v>
      </c>
      <c r="G192" s="304">
        <f t="shared" si="147"/>
        <v>450000</v>
      </c>
      <c r="H192" s="2125">
        <f t="shared" si="147"/>
        <v>250000</v>
      </c>
      <c r="I192" s="302">
        <f t="shared" si="147"/>
        <v>276231</v>
      </c>
      <c r="J192" s="2119">
        <f t="shared" ref="J192" si="149">I192/D192*100</f>
        <v>30.047938596825198</v>
      </c>
      <c r="K192" s="304">
        <f>+K193+K196</f>
        <v>56930</v>
      </c>
      <c r="L192" s="2169">
        <f>+K192/G192*100</f>
        <v>12.65111111111111</v>
      </c>
      <c r="M192" s="1185">
        <f t="shared" si="125"/>
        <v>-168070</v>
      </c>
      <c r="N192" s="3225"/>
    </row>
    <row r="193" spans="1:14" ht="13.5" hidden="1" customHeight="1" x14ac:dyDescent="0.2">
      <c r="A193" s="3093"/>
      <c r="B193" s="301" t="s">
        <v>18</v>
      </c>
      <c r="C193" s="3039" t="s">
        <v>138</v>
      </c>
      <c r="D193" s="1523">
        <f t="shared" ref="D193:H193" si="150">+D194+D195</f>
        <v>0</v>
      </c>
      <c r="E193" s="308">
        <f t="shared" si="150"/>
        <v>0</v>
      </c>
      <c r="F193" s="2242">
        <f t="shared" ref="F193" si="151">+F194+F195</f>
        <v>0</v>
      </c>
      <c r="G193" s="2242">
        <f t="shared" si="150"/>
        <v>0</v>
      </c>
      <c r="H193" s="1523">
        <f t="shared" si="150"/>
        <v>0</v>
      </c>
      <c r="I193" s="2248">
        <f>+I195</f>
        <v>0</v>
      </c>
      <c r="J193" s="2242" t="e">
        <f>I193/#REF!*100</f>
        <v>#REF!</v>
      </c>
      <c r="K193" s="2242">
        <f>+K194+K195</f>
        <v>0</v>
      </c>
      <c r="L193" s="2243" t="e">
        <f>K193/#REF!*100</f>
        <v>#REF!</v>
      </c>
      <c r="M193" s="2250">
        <f t="shared" si="125"/>
        <v>0</v>
      </c>
      <c r="N193" s="3225"/>
    </row>
    <row r="194" spans="1:14" ht="13.5" hidden="1" customHeight="1" x14ac:dyDescent="0.2">
      <c r="A194" s="3093"/>
      <c r="B194" s="279" t="s">
        <v>5</v>
      </c>
      <c r="C194" s="3100"/>
      <c r="D194" s="1523">
        <f>+E194+F194+G194+H194</f>
        <v>0</v>
      </c>
      <c r="E194" s="293"/>
      <c r="F194" s="2242"/>
      <c r="G194" s="2242"/>
      <c r="H194" s="1523"/>
      <c r="I194" s="2248">
        <f>K194+E194+F194</f>
        <v>0</v>
      </c>
      <c r="J194" s="2242" t="e">
        <f>I194/#REF!*100</f>
        <v>#REF!</v>
      </c>
      <c r="K194" s="2242"/>
      <c r="L194" s="2243" t="e">
        <f>K194/#REF!*100</f>
        <v>#REF!</v>
      </c>
      <c r="M194" s="2250">
        <f t="shared" si="125"/>
        <v>0</v>
      </c>
      <c r="N194" s="3225"/>
    </row>
    <row r="195" spans="1:14" ht="13.5" hidden="1" customHeight="1" x14ac:dyDescent="0.2">
      <c r="A195" s="3093"/>
      <c r="B195" s="279" t="s">
        <v>8</v>
      </c>
      <c r="C195" s="3100"/>
      <c r="D195" s="1523">
        <f>+E195+F195+G195+H195</f>
        <v>0</v>
      </c>
      <c r="E195" s="293">
        <v>0</v>
      </c>
      <c r="F195" s="2242">
        <v>0</v>
      </c>
      <c r="G195" s="2242">
        <v>0</v>
      </c>
      <c r="H195" s="1523">
        <v>0</v>
      </c>
      <c r="I195" s="2248">
        <v>0</v>
      </c>
      <c r="J195" s="2242" t="e">
        <f>I195/#REF!*100</f>
        <v>#REF!</v>
      </c>
      <c r="K195" s="2242">
        <v>0</v>
      </c>
      <c r="L195" s="2243" t="e">
        <f>K195/#REF!*100</f>
        <v>#REF!</v>
      </c>
      <c r="M195" s="2250">
        <f t="shared" si="125"/>
        <v>0</v>
      </c>
      <c r="N195" s="3225"/>
    </row>
    <row r="196" spans="1:14" x14ac:dyDescent="0.2">
      <c r="A196" s="3093"/>
      <c r="B196" s="281" t="s">
        <v>13</v>
      </c>
      <c r="C196" s="3100"/>
      <c r="D196" s="282">
        <f t="shared" ref="D196:H196" si="152">+D197</f>
        <v>919301</v>
      </c>
      <c r="E196" s="284">
        <f t="shared" si="152"/>
        <v>0</v>
      </c>
      <c r="F196" s="283">
        <f t="shared" si="152"/>
        <v>219301</v>
      </c>
      <c r="G196" s="283">
        <f t="shared" si="152"/>
        <v>450000</v>
      </c>
      <c r="H196" s="2244">
        <f t="shared" si="152"/>
        <v>250000</v>
      </c>
      <c r="I196" s="282">
        <f>+I197</f>
        <v>276231</v>
      </c>
      <c r="J196" s="2134">
        <f t="shared" ref="J196:J198" si="153">I196/D196*100</f>
        <v>30.047938596825198</v>
      </c>
      <c r="K196" s="283">
        <f>+K197</f>
        <v>56930</v>
      </c>
      <c r="L196" s="2172">
        <f>+K196/G196*100</f>
        <v>12.65111111111111</v>
      </c>
      <c r="M196" s="1426">
        <f t="shared" si="125"/>
        <v>-168070</v>
      </c>
      <c r="N196" s="3225"/>
    </row>
    <row r="197" spans="1:14" x14ac:dyDescent="0.2">
      <c r="A197" s="3093"/>
      <c r="B197" s="279" t="s">
        <v>15</v>
      </c>
      <c r="C197" s="3100"/>
      <c r="D197" s="1701">
        <f>+E197+F197+G197+H197</f>
        <v>919301</v>
      </c>
      <c r="E197" s="293">
        <v>0</v>
      </c>
      <c r="F197" s="2144">
        <v>219301</v>
      </c>
      <c r="G197" s="2144">
        <v>450000</v>
      </c>
      <c r="H197" s="2246">
        <v>250000</v>
      </c>
      <c r="I197" s="1701">
        <f t="shared" ref="I197:I202" si="154">K197+E197+F197</f>
        <v>276231</v>
      </c>
      <c r="J197" s="2146">
        <f t="shared" si="153"/>
        <v>30.047938596825198</v>
      </c>
      <c r="K197" s="2144">
        <v>56930</v>
      </c>
      <c r="L197" s="2173">
        <f>+K197/G197*100</f>
        <v>12.65111111111111</v>
      </c>
      <c r="M197" s="2145">
        <f t="shared" si="125"/>
        <v>-168070</v>
      </c>
      <c r="N197" s="3225"/>
    </row>
    <row r="198" spans="1:14" ht="13.5" customHeight="1" x14ac:dyDescent="0.2">
      <c r="A198" s="3104"/>
      <c r="B198" s="236" t="s">
        <v>17</v>
      </c>
      <c r="C198" s="237"/>
      <c r="D198" s="302">
        <f t="shared" ref="D198:H198" si="155">+D199+D201</f>
        <v>919301</v>
      </c>
      <c r="E198" s="303">
        <f t="shared" si="155"/>
        <v>0</v>
      </c>
      <c r="F198" s="304">
        <f t="shared" ref="F198" si="156">+F199+F201</f>
        <v>0</v>
      </c>
      <c r="G198" s="304">
        <f t="shared" si="155"/>
        <v>450000</v>
      </c>
      <c r="H198" s="2125">
        <f t="shared" si="155"/>
        <v>469301</v>
      </c>
      <c r="I198" s="302">
        <f t="shared" si="154"/>
        <v>0</v>
      </c>
      <c r="J198" s="2255">
        <f t="shared" si="153"/>
        <v>0</v>
      </c>
      <c r="K198" s="304">
        <f>+K199+K201</f>
        <v>0</v>
      </c>
      <c r="L198" s="2256">
        <f>+K198/G198*100</f>
        <v>0</v>
      </c>
      <c r="M198" s="1185">
        <f t="shared" si="125"/>
        <v>-225000</v>
      </c>
      <c r="N198" s="3236"/>
    </row>
    <row r="199" spans="1:14" ht="13.5" hidden="1" customHeight="1" x14ac:dyDescent="0.2">
      <c r="A199" s="3104"/>
      <c r="B199" s="301" t="s">
        <v>18</v>
      </c>
      <c r="C199" s="3122" t="s">
        <v>139</v>
      </c>
      <c r="D199" s="1523">
        <f t="shared" ref="D199:H199" si="157">+D200</f>
        <v>0</v>
      </c>
      <c r="E199" s="284">
        <f t="shared" si="157"/>
        <v>0</v>
      </c>
      <c r="F199" s="2242">
        <f t="shared" si="157"/>
        <v>0</v>
      </c>
      <c r="G199" s="2242">
        <f t="shared" si="157"/>
        <v>0</v>
      </c>
      <c r="H199" s="1523">
        <f t="shared" si="157"/>
        <v>0</v>
      </c>
      <c r="I199" s="2248">
        <f t="shared" si="154"/>
        <v>0</v>
      </c>
      <c r="J199" s="2134" t="e">
        <f>I199/#REF!*100</f>
        <v>#REF!</v>
      </c>
      <c r="K199" s="2242">
        <f>+K200</f>
        <v>0</v>
      </c>
      <c r="L199" s="2172" t="e">
        <f>K199/#REF!*100</f>
        <v>#REF!</v>
      </c>
      <c r="M199" s="2250">
        <f t="shared" si="125"/>
        <v>0</v>
      </c>
      <c r="N199" s="3236"/>
    </row>
    <row r="200" spans="1:14" ht="13.5" hidden="1" customHeight="1" x14ac:dyDescent="0.2">
      <c r="A200" s="3104"/>
      <c r="B200" s="279" t="s">
        <v>8</v>
      </c>
      <c r="C200" s="3100"/>
      <c r="D200" s="1523">
        <f>+E200+F200+G200+H200</f>
        <v>0</v>
      </c>
      <c r="E200" s="293">
        <v>0</v>
      </c>
      <c r="F200" s="2242">
        <v>0</v>
      </c>
      <c r="G200" s="2242">
        <v>0</v>
      </c>
      <c r="H200" s="1523">
        <v>0</v>
      </c>
      <c r="I200" s="2248">
        <f t="shared" si="154"/>
        <v>0</v>
      </c>
      <c r="J200" s="2146" t="e">
        <f>I200/#REF!*100</f>
        <v>#REF!</v>
      </c>
      <c r="K200" s="2242">
        <v>0</v>
      </c>
      <c r="L200" s="2173" t="e">
        <f>K200/#REF!*100</f>
        <v>#REF!</v>
      </c>
      <c r="M200" s="2250">
        <f t="shared" si="125"/>
        <v>0</v>
      </c>
      <c r="N200" s="3236"/>
    </row>
    <row r="201" spans="1:14" x14ac:dyDescent="0.2">
      <c r="A201" s="3104"/>
      <c r="B201" s="281" t="s">
        <v>13</v>
      </c>
      <c r="C201" s="3125"/>
      <c r="D201" s="282">
        <f t="shared" ref="D201:H201" si="158">+D202</f>
        <v>919301</v>
      </c>
      <c r="E201" s="284">
        <f t="shared" si="158"/>
        <v>0</v>
      </c>
      <c r="F201" s="283">
        <f t="shared" si="158"/>
        <v>0</v>
      </c>
      <c r="G201" s="283">
        <f t="shared" si="158"/>
        <v>450000</v>
      </c>
      <c r="H201" s="2244">
        <f t="shared" si="158"/>
        <v>469301</v>
      </c>
      <c r="I201" s="282">
        <f t="shared" si="154"/>
        <v>0</v>
      </c>
      <c r="J201" s="2134">
        <f t="shared" ref="J201:J202" si="159">I201/D201*100</f>
        <v>0</v>
      </c>
      <c r="K201" s="283">
        <f>+K202</f>
        <v>0</v>
      </c>
      <c r="L201" s="2172">
        <f>+K201/G201*100</f>
        <v>0</v>
      </c>
      <c r="M201" s="1426">
        <f t="shared" si="125"/>
        <v>-225000</v>
      </c>
      <c r="N201" s="3236"/>
    </row>
    <row r="202" spans="1:14" ht="13.5" thickBot="1" x14ac:dyDescent="0.25">
      <c r="A202" s="3103"/>
      <c r="B202" s="287" t="s">
        <v>15</v>
      </c>
      <c r="C202" s="3126"/>
      <c r="D202" s="1711">
        <f>+E202+F202+G202+H202</f>
        <v>919301</v>
      </c>
      <c r="E202" s="318">
        <v>0</v>
      </c>
      <c r="F202" s="2251">
        <v>0</v>
      </c>
      <c r="G202" s="2251">
        <v>450000</v>
      </c>
      <c r="H202" s="2252">
        <v>469301</v>
      </c>
      <c r="I202" s="1711">
        <f t="shared" si="154"/>
        <v>0</v>
      </c>
      <c r="J202" s="2136">
        <f t="shared" si="159"/>
        <v>0</v>
      </c>
      <c r="K202" s="2251">
        <v>0</v>
      </c>
      <c r="L202" s="2190">
        <f>+K202/G202*100</f>
        <v>0</v>
      </c>
      <c r="M202" s="2254">
        <f t="shared" si="125"/>
        <v>-225000</v>
      </c>
      <c r="N202" s="3237"/>
    </row>
    <row r="214" spans="1:14" ht="13.5" thickBot="1" x14ac:dyDescent="0.25"/>
    <row r="215" spans="1:14" x14ac:dyDescent="0.2">
      <c r="A215" s="1004"/>
      <c r="B215" s="1005"/>
      <c r="C215" s="1006"/>
      <c r="D215" s="1005"/>
      <c r="E215" s="1005"/>
      <c r="F215" s="1005"/>
      <c r="G215" s="1005"/>
      <c r="H215" s="1005"/>
      <c r="I215" s="1005"/>
      <c r="J215" s="1005"/>
      <c r="K215" s="1005"/>
      <c r="L215" s="1005"/>
      <c r="M215" s="1005"/>
      <c r="N215" s="1007"/>
    </row>
    <row r="216" spans="1:14" x14ac:dyDescent="0.2">
      <c r="A216" s="929"/>
      <c r="B216" s="1523"/>
      <c r="C216" s="200"/>
      <c r="D216" s="1523"/>
      <c r="E216" s="1523"/>
      <c r="F216" s="1523"/>
      <c r="G216" s="1523"/>
      <c r="H216" s="1523"/>
      <c r="I216" s="1523"/>
      <c r="J216" s="1523"/>
      <c r="K216" s="1523"/>
      <c r="L216" s="1523"/>
      <c r="M216" s="1523"/>
      <c r="N216" s="143"/>
    </row>
    <row r="217" spans="1:14" x14ac:dyDescent="0.2">
      <c r="A217" s="929"/>
      <c r="B217" s="1523"/>
      <c r="C217" s="200"/>
      <c r="D217" s="1523"/>
      <c r="E217" s="1523"/>
      <c r="F217" s="1523"/>
      <c r="G217" s="1523"/>
      <c r="H217" s="1523"/>
      <c r="I217" s="1523"/>
      <c r="J217" s="1523"/>
      <c r="K217" s="1523"/>
      <c r="L217" s="1523"/>
      <c r="M217" s="1523"/>
      <c r="N217" s="143"/>
    </row>
    <row r="218" spans="1:14" x14ac:dyDescent="0.2">
      <c r="A218" s="929"/>
      <c r="B218" s="1523"/>
      <c r="C218" s="200"/>
      <c r="D218" s="1523"/>
      <c r="E218" s="1523"/>
      <c r="F218" s="1523"/>
      <c r="G218" s="1523"/>
      <c r="H218" s="1523"/>
      <c r="I218" s="1523"/>
      <c r="J218" s="1523"/>
      <c r="K218" s="1523"/>
      <c r="L218" s="1523"/>
      <c r="M218" s="1523"/>
      <c r="N218" s="143"/>
    </row>
    <row r="219" spans="1:14" x14ac:dyDescent="0.2">
      <c r="A219" s="929"/>
      <c r="B219" s="1523"/>
      <c r="C219" s="200"/>
      <c r="D219" s="1523"/>
      <c r="E219" s="1523"/>
      <c r="F219" s="1523"/>
      <c r="G219" s="1523"/>
      <c r="H219" s="1523"/>
      <c r="I219" s="1523"/>
      <c r="J219" s="1523"/>
      <c r="K219" s="1523"/>
      <c r="L219" s="1523"/>
      <c r="M219" s="1523"/>
      <c r="N219" s="143"/>
    </row>
    <row r="220" spans="1:14" x14ac:dyDescent="0.2">
      <c r="A220" s="929"/>
      <c r="B220" s="1523"/>
      <c r="C220" s="200"/>
      <c r="D220" s="1523"/>
      <c r="E220" s="1523"/>
      <c r="F220" s="1523"/>
      <c r="G220" s="1523"/>
      <c r="H220" s="1523"/>
      <c r="I220" s="1523"/>
      <c r="J220" s="1523"/>
      <c r="K220" s="1523"/>
      <c r="L220" s="1523"/>
      <c r="M220" s="1523"/>
      <c r="N220" s="143"/>
    </row>
    <row r="221" spans="1:14" x14ac:dyDescent="0.2">
      <c r="A221" s="929"/>
      <c r="B221" s="1523"/>
      <c r="C221" s="200"/>
      <c r="D221" s="1523"/>
      <c r="E221" s="1523"/>
      <c r="F221" s="1523"/>
      <c r="G221" s="1523"/>
      <c r="H221" s="1523"/>
      <c r="I221" s="1523"/>
      <c r="J221" s="1523"/>
      <c r="K221" s="1523"/>
      <c r="L221" s="1523"/>
      <c r="M221" s="1523"/>
      <c r="N221" s="143"/>
    </row>
    <row r="222" spans="1:14" x14ac:dyDescent="0.2">
      <c r="A222" s="929"/>
      <c r="B222" s="1523"/>
      <c r="C222" s="200"/>
      <c r="D222" s="1523"/>
      <c r="E222" s="1523"/>
      <c r="F222" s="1523"/>
      <c r="G222" s="1523"/>
      <c r="H222" s="1523"/>
      <c r="I222" s="1523"/>
      <c r="J222" s="1523"/>
      <c r="K222" s="1523"/>
      <c r="L222" s="1523"/>
      <c r="M222" s="1523"/>
      <c r="N222" s="143"/>
    </row>
    <row r="223" spans="1:14" ht="13.5" thickBot="1" x14ac:dyDescent="0.25">
      <c r="A223" s="930"/>
      <c r="B223" s="1008"/>
      <c r="C223" s="705"/>
      <c r="D223" s="1008"/>
      <c r="E223" s="1008"/>
      <c r="F223" s="1008"/>
      <c r="G223" s="1008"/>
      <c r="H223" s="1008"/>
      <c r="I223" s="1008"/>
      <c r="J223" s="1008"/>
      <c r="K223" s="1008"/>
      <c r="L223" s="1008"/>
      <c r="M223" s="1008"/>
      <c r="N223" s="933"/>
    </row>
    <row r="224" spans="1:14" x14ac:dyDescent="0.2">
      <c r="A224" s="1004"/>
      <c r="B224" s="1005"/>
      <c r="C224" s="1006"/>
      <c r="D224" s="1005"/>
      <c r="E224" s="1005"/>
      <c r="F224" s="1005"/>
      <c r="G224" s="1005"/>
      <c r="H224" s="1005"/>
      <c r="I224" s="1005"/>
      <c r="J224" s="1005"/>
      <c r="K224" s="1005"/>
      <c r="L224" s="1005"/>
      <c r="M224" s="1005"/>
      <c r="N224" s="1007"/>
    </row>
    <row r="225" spans="1:14" x14ac:dyDescent="0.2">
      <c r="A225" s="929"/>
      <c r="B225" s="1523"/>
      <c r="C225" s="200"/>
      <c r="D225" s="1523"/>
      <c r="E225" s="1523"/>
      <c r="F225" s="1523"/>
      <c r="G225" s="1523"/>
      <c r="H225" s="1523"/>
      <c r="I225" s="1523"/>
      <c r="J225" s="1523"/>
      <c r="K225" s="1523"/>
      <c r="L225" s="1523"/>
      <c r="M225" s="1523"/>
      <c r="N225" s="143"/>
    </row>
    <row r="226" spans="1:14" x14ac:dyDescent="0.2">
      <c r="A226" s="929"/>
      <c r="B226" s="1523"/>
      <c r="C226" s="200"/>
      <c r="D226" s="1523"/>
      <c r="E226" s="1523"/>
      <c r="F226" s="1523"/>
      <c r="G226" s="1523"/>
      <c r="H226" s="1523"/>
      <c r="I226" s="1523"/>
      <c r="J226" s="1523"/>
      <c r="K226" s="1523"/>
      <c r="L226" s="1523"/>
      <c r="M226" s="1523"/>
      <c r="N226" s="143"/>
    </row>
    <row r="227" spans="1:14" x14ac:dyDescent="0.2">
      <c r="A227" s="929"/>
      <c r="B227" s="1523"/>
      <c r="C227" s="200"/>
      <c r="D227" s="1523"/>
      <c r="E227" s="1523"/>
      <c r="F227" s="1523"/>
      <c r="G227" s="1523"/>
      <c r="H227" s="1523"/>
      <c r="I227" s="1523"/>
      <c r="J227" s="1523"/>
      <c r="K227" s="1523"/>
      <c r="L227" s="1523"/>
      <c r="M227" s="1523"/>
      <c r="N227" s="143"/>
    </row>
    <row r="228" spans="1:14" x14ac:dyDescent="0.2">
      <c r="A228" s="929"/>
      <c r="B228" s="1523"/>
      <c r="C228" s="200"/>
      <c r="D228" s="1523"/>
      <c r="E228" s="1523"/>
      <c r="F228" s="1523"/>
      <c r="G228" s="1523"/>
      <c r="H228" s="1523"/>
      <c r="I228" s="1523"/>
      <c r="J228" s="1523"/>
      <c r="K228" s="1523"/>
      <c r="L228" s="1523"/>
      <c r="M228" s="1523"/>
      <c r="N228" s="143"/>
    </row>
    <row r="229" spans="1:14" x14ac:dyDescent="0.2">
      <c r="A229" s="929"/>
      <c r="B229" s="1523"/>
      <c r="C229" s="200"/>
      <c r="D229" s="1523"/>
      <c r="E229" s="1523"/>
      <c r="F229" s="1523"/>
      <c r="G229" s="1523"/>
      <c r="H229" s="1523"/>
      <c r="I229" s="1523"/>
      <c r="J229" s="1523"/>
      <c r="K229" s="1523"/>
      <c r="L229" s="1523"/>
      <c r="M229" s="1523"/>
      <c r="N229" s="143"/>
    </row>
    <row r="230" spans="1:14" x14ac:dyDescent="0.2">
      <c r="A230" s="929"/>
      <c r="B230" s="1523"/>
      <c r="C230" s="200"/>
      <c r="D230" s="1523"/>
      <c r="E230" s="1523"/>
      <c r="F230" s="1523"/>
      <c r="G230" s="1523"/>
      <c r="H230" s="1523"/>
      <c r="I230" s="1523"/>
      <c r="J230" s="1523"/>
      <c r="K230" s="1523"/>
      <c r="L230" s="1523"/>
      <c r="M230" s="1523"/>
      <c r="N230" s="143"/>
    </row>
    <row r="231" spans="1:14" x14ac:dyDescent="0.2">
      <c r="A231" s="929"/>
      <c r="B231" s="1523"/>
      <c r="C231" s="200"/>
      <c r="D231" s="1523"/>
      <c r="E231" s="1523"/>
      <c r="F231" s="1523"/>
      <c r="G231" s="1523"/>
      <c r="H231" s="1523"/>
      <c r="I231" s="1523"/>
      <c r="J231" s="1523"/>
      <c r="K231" s="1523"/>
      <c r="L231" s="1523"/>
      <c r="M231" s="1523"/>
      <c r="N231" s="143"/>
    </row>
    <row r="232" spans="1:14" x14ac:dyDescent="0.2">
      <c r="A232" s="929"/>
      <c r="B232" s="1523"/>
      <c r="C232" s="200"/>
      <c r="D232" s="1523"/>
      <c r="E232" s="1523"/>
      <c r="F232" s="1523"/>
      <c r="G232" s="1523"/>
      <c r="H232" s="1523"/>
      <c r="I232" s="1523"/>
      <c r="J232" s="1523"/>
      <c r="K232" s="1523"/>
      <c r="L232" s="1523"/>
      <c r="M232" s="1523"/>
      <c r="N232" s="143"/>
    </row>
    <row r="233" spans="1:14" x14ac:dyDescent="0.2">
      <c r="A233" s="929"/>
      <c r="B233" s="1523"/>
      <c r="C233" s="200"/>
      <c r="D233" s="1523"/>
      <c r="E233" s="1523"/>
      <c r="F233" s="1523"/>
      <c r="G233" s="1523"/>
      <c r="H233" s="1523"/>
      <c r="I233" s="1523"/>
      <c r="J233" s="1523"/>
      <c r="K233" s="1523"/>
      <c r="L233" s="1523"/>
      <c r="M233" s="1523"/>
      <c r="N233" s="143"/>
    </row>
    <row r="234" spans="1:14" x14ac:dyDescent="0.2">
      <c r="A234" s="929"/>
      <c r="B234" s="1523"/>
      <c r="C234" s="200"/>
      <c r="D234" s="1523"/>
      <c r="E234" s="1523"/>
      <c r="F234" s="1523"/>
      <c r="G234" s="1523"/>
      <c r="H234" s="1523"/>
      <c r="I234" s="1523"/>
      <c r="J234" s="1523"/>
      <c r="K234" s="1523"/>
      <c r="L234" s="1523"/>
      <c r="M234" s="1523"/>
      <c r="N234" s="143"/>
    </row>
    <row r="235" spans="1:14" ht="13.5" thickBot="1" x14ac:dyDescent="0.25">
      <c r="A235" s="930"/>
      <c r="B235" s="1008"/>
      <c r="C235" s="705"/>
      <c r="D235" s="1008"/>
      <c r="E235" s="1008"/>
      <c r="F235" s="1008"/>
      <c r="G235" s="1008"/>
      <c r="H235" s="1008"/>
      <c r="I235" s="1008"/>
      <c r="J235" s="1008"/>
      <c r="K235" s="1008"/>
      <c r="L235" s="1008"/>
      <c r="M235" s="1008"/>
      <c r="N235" s="933"/>
    </row>
    <row r="256" ht="13.5" thickBot="1" x14ac:dyDescent="0.25"/>
    <row r="257" spans="1:14" x14ac:dyDescent="0.2">
      <c r="A257" s="1004"/>
      <c r="B257" s="1005"/>
      <c r="C257" s="1006"/>
      <c r="D257" s="1005"/>
      <c r="E257" s="1005"/>
      <c r="F257" s="1005"/>
      <c r="G257" s="1005"/>
      <c r="H257" s="1005"/>
      <c r="I257" s="1005"/>
      <c r="J257" s="1005"/>
      <c r="K257" s="1005"/>
      <c r="L257" s="1005"/>
      <c r="M257" s="1005"/>
      <c r="N257" s="1007"/>
    </row>
    <row r="258" spans="1:14" x14ac:dyDescent="0.2">
      <c r="A258" s="929"/>
      <c r="B258" s="1523"/>
      <c r="C258" s="200"/>
      <c r="D258" s="1523"/>
      <c r="E258" s="1523"/>
      <c r="F258" s="1523"/>
      <c r="G258" s="1523"/>
      <c r="H258" s="1523"/>
      <c r="I258" s="1523"/>
      <c r="J258" s="1523"/>
      <c r="K258" s="1523"/>
      <c r="L258" s="1523"/>
      <c r="M258" s="1523"/>
      <c r="N258" s="143"/>
    </row>
    <row r="259" spans="1:14" x14ac:dyDescent="0.2">
      <c r="A259" s="929"/>
      <c r="B259" s="1523"/>
      <c r="C259" s="200"/>
      <c r="D259" s="1523"/>
      <c r="E259" s="1523"/>
      <c r="F259" s="1523"/>
      <c r="G259" s="1523"/>
      <c r="H259" s="1523"/>
      <c r="I259" s="1523"/>
      <c r="J259" s="1523"/>
      <c r="K259" s="1523"/>
      <c r="L259" s="1523"/>
      <c r="M259" s="1523"/>
      <c r="N259" s="143"/>
    </row>
    <row r="260" spans="1:14" x14ac:dyDescent="0.2">
      <c r="A260" s="929"/>
      <c r="B260" s="1523"/>
      <c r="C260" s="200"/>
      <c r="D260" s="1523"/>
      <c r="E260" s="1523"/>
      <c r="F260" s="1523"/>
      <c r="G260" s="1523"/>
      <c r="H260" s="1523"/>
      <c r="I260" s="1523"/>
      <c r="J260" s="1523"/>
      <c r="K260" s="1523"/>
      <c r="L260" s="1523"/>
      <c r="M260" s="1523"/>
      <c r="N260" s="143"/>
    </row>
    <row r="261" spans="1:14" x14ac:dyDescent="0.2">
      <c r="A261" s="929"/>
      <c r="B261" s="1523"/>
      <c r="C261" s="200"/>
      <c r="D261" s="1523"/>
      <c r="E261" s="1523"/>
      <c r="F261" s="1523"/>
      <c r="G261" s="1523"/>
      <c r="H261" s="1523"/>
      <c r="I261" s="1523"/>
      <c r="J261" s="1523"/>
      <c r="K261" s="1523"/>
      <c r="L261" s="1523"/>
      <c r="M261" s="1523"/>
      <c r="N261" s="143"/>
    </row>
    <row r="262" spans="1:14" x14ac:dyDescent="0.2">
      <c r="A262" s="929"/>
      <c r="B262" s="1523"/>
      <c r="C262" s="200"/>
      <c r="D262" s="1523"/>
      <c r="E262" s="1523"/>
      <c r="F262" s="1523"/>
      <c r="G262" s="1523"/>
      <c r="H262" s="1523"/>
      <c r="I262" s="1523"/>
      <c r="J262" s="1523"/>
      <c r="K262" s="1523"/>
      <c r="L262" s="1523"/>
      <c r="M262" s="1523"/>
      <c r="N262" s="143"/>
    </row>
    <row r="263" spans="1:14" x14ac:dyDescent="0.2">
      <c r="A263" s="929"/>
      <c r="B263" s="1523"/>
      <c r="C263" s="200"/>
      <c r="D263" s="1523"/>
      <c r="E263" s="1523"/>
      <c r="F263" s="1523"/>
      <c r="G263" s="1523"/>
      <c r="H263" s="1523"/>
      <c r="I263" s="1523"/>
      <c r="J263" s="1523"/>
      <c r="K263" s="1523"/>
      <c r="L263" s="1523"/>
      <c r="M263" s="1523"/>
      <c r="N263" s="143"/>
    </row>
    <row r="264" spans="1:14" x14ac:dyDescent="0.2">
      <c r="A264" s="929"/>
      <c r="B264" s="1523"/>
      <c r="C264" s="200"/>
      <c r="D264" s="1523"/>
      <c r="E264" s="1523"/>
      <c r="F264" s="1523"/>
      <c r="G264" s="1523"/>
      <c r="H264" s="1523"/>
      <c r="I264" s="1523"/>
      <c r="J264" s="1523"/>
      <c r="K264" s="1523"/>
      <c r="L264" s="1523"/>
      <c r="M264" s="1523"/>
      <c r="N264" s="143"/>
    </row>
    <row r="265" spans="1:14" ht="13.5" thickBot="1" x14ac:dyDescent="0.25">
      <c r="A265" s="930"/>
      <c r="B265" s="1008"/>
      <c r="C265" s="705"/>
      <c r="D265" s="1008"/>
      <c r="E265" s="1008"/>
      <c r="F265" s="1008"/>
      <c r="G265" s="1008"/>
      <c r="H265" s="1008"/>
      <c r="I265" s="1008"/>
      <c r="J265" s="1008"/>
      <c r="K265" s="1008"/>
      <c r="L265" s="1008"/>
      <c r="M265" s="1008"/>
      <c r="N265" s="933"/>
    </row>
    <row r="266" spans="1:14" x14ac:dyDescent="0.2">
      <c r="A266" s="1004"/>
      <c r="B266" s="1005"/>
      <c r="C266" s="1006"/>
      <c r="D266" s="1005"/>
      <c r="E266" s="1005"/>
      <c r="F266" s="1005"/>
      <c r="G266" s="1005"/>
      <c r="H266" s="1005"/>
      <c r="I266" s="1005"/>
      <c r="J266" s="1005"/>
      <c r="K266" s="1005"/>
      <c r="L266" s="1005"/>
      <c r="M266" s="1005"/>
      <c r="N266" s="1007"/>
    </row>
    <row r="267" spans="1:14" x14ac:dyDescent="0.2">
      <c r="A267" s="929"/>
      <c r="B267" s="1523"/>
      <c r="C267" s="200"/>
      <c r="D267" s="1523"/>
      <c r="E267" s="1523"/>
      <c r="F267" s="1523"/>
      <c r="G267" s="1523"/>
      <c r="H267" s="1523"/>
      <c r="I267" s="1523"/>
      <c r="J267" s="1523"/>
      <c r="K267" s="1523"/>
      <c r="L267" s="1523"/>
      <c r="M267" s="1523"/>
      <c r="N267" s="143"/>
    </row>
    <row r="268" spans="1:14" x14ac:dyDescent="0.2">
      <c r="A268" s="929"/>
      <c r="B268" s="1523"/>
      <c r="C268" s="200"/>
      <c r="D268" s="1523"/>
      <c r="E268" s="1523"/>
      <c r="F268" s="1523"/>
      <c r="G268" s="1523"/>
      <c r="H268" s="1523"/>
      <c r="I268" s="1523"/>
      <c r="J268" s="1523"/>
      <c r="K268" s="1523"/>
      <c r="L268" s="1523"/>
      <c r="M268" s="1523"/>
      <c r="N268" s="143"/>
    </row>
    <row r="269" spans="1:14" x14ac:dyDescent="0.2">
      <c r="A269" s="929"/>
      <c r="B269" s="1523"/>
      <c r="C269" s="200"/>
      <c r="D269" s="1523"/>
      <c r="E269" s="1523"/>
      <c r="F269" s="1523"/>
      <c r="G269" s="1523"/>
      <c r="H269" s="1523"/>
      <c r="I269" s="1523"/>
      <c r="J269" s="1523"/>
      <c r="K269" s="1523"/>
      <c r="L269" s="1523"/>
      <c r="M269" s="1523"/>
      <c r="N269" s="143"/>
    </row>
    <row r="270" spans="1:14" x14ac:dyDescent="0.2">
      <c r="A270" s="929"/>
      <c r="B270" s="1523"/>
      <c r="C270" s="200"/>
      <c r="D270" s="1523"/>
      <c r="E270" s="1523"/>
      <c r="F270" s="1523"/>
      <c r="G270" s="1523"/>
      <c r="H270" s="1523"/>
      <c r="I270" s="1523"/>
      <c r="J270" s="1523"/>
      <c r="K270" s="1523"/>
      <c r="L270" s="1523"/>
      <c r="M270" s="1523"/>
      <c r="N270" s="143"/>
    </row>
    <row r="271" spans="1:14" x14ac:dyDescent="0.2">
      <c r="A271" s="929"/>
      <c r="B271" s="1523"/>
      <c r="C271" s="200"/>
      <c r="D271" s="1523"/>
      <c r="E271" s="1523"/>
      <c r="F271" s="1523"/>
      <c r="G271" s="1523"/>
      <c r="H271" s="1523"/>
      <c r="I271" s="1523"/>
      <c r="J271" s="1523"/>
      <c r="K271" s="1523"/>
      <c r="L271" s="1523"/>
      <c r="M271" s="1523"/>
      <c r="N271" s="143"/>
    </row>
    <row r="272" spans="1:14" x14ac:dyDescent="0.2">
      <c r="A272" s="929"/>
      <c r="B272" s="1523"/>
      <c r="C272" s="200"/>
      <c r="D272" s="1523"/>
      <c r="E272" s="1523"/>
      <c r="F272" s="1523"/>
      <c r="G272" s="1523"/>
      <c r="H272" s="1523"/>
      <c r="I272" s="1523"/>
      <c r="J272" s="1523"/>
      <c r="K272" s="1523"/>
      <c r="L272" s="1523"/>
      <c r="M272" s="1523"/>
      <c r="N272" s="143"/>
    </row>
    <row r="273" spans="1:14" x14ac:dyDescent="0.2">
      <c r="A273" s="929"/>
      <c r="B273" s="1523"/>
      <c r="C273" s="200"/>
      <c r="D273" s="1523"/>
      <c r="E273" s="1523"/>
      <c r="F273" s="1523"/>
      <c r="G273" s="1523"/>
      <c r="H273" s="1523"/>
      <c r="I273" s="1523"/>
      <c r="J273" s="1523"/>
      <c r="K273" s="1523"/>
      <c r="L273" s="1523"/>
      <c r="M273" s="1523"/>
      <c r="N273" s="143"/>
    </row>
    <row r="274" spans="1:14" ht="13.5" thickBot="1" x14ac:dyDescent="0.25">
      <c r="A274" s="930"/>
      <c r="B274" s="1008"/>
      <c r="C274" s="705"/>
      <c r="D274" s="1008"/>
      <c r="E274" s="1008"/>
      <c r="F274" s="1008"/>
      <c r="G274" s="1008"/>
      <c r="H274" s="1008"/>
      <c r="I274" s="1008"/>
      <c r="J274" s="1008"/>
      <c r="K274" s="1008"/>
      <c r="L274" s="1008"/>
      <c r="M274" s="1008"/>
      <c r="N274" s="933"/>
    </row>
    <row r="292" spans="1:14" ht="13.5" thickBot="1" x14ac:dyDescent="0.25"/>
    <row r="293" spans="1:14" x14ac:dyDescent="0.2">
      <c r="A293" s="1004"/>
      <c r="B293" s="1005"/>
      <c r="C293" s="1006"/>
      <c r="D293" s="1005"/>
      <c r="E293" s="1005"/>
      <c r="F293" s="1005"/>
      <c r="G293" s="1005"/>
      <c r="H293" s="1005"/>
      <c r="I293" s="1005"/>
      <c r="J293" s="1005"/>
      <c r="K293" s="1005"/>
      <c r="L293" s="1005"/>
      <c r="M293" s="1005"/>
      <c r="N293" s="1007"/>
    </row>
    <row r="294" spans="1:14" x14ac:dyDescent="0.2">
      <c r="A294" s="929"/>
      <c r="B294" s="1523"/>
      <c r="C294" s="200"/>
      <c r="D294" s="1523"/>
      <c r="E294" s="1523"/>
      <c r="F294" s="1523"/>
      <c r="G294" s="1523"/>
      <c r="H294" s="1523"/>
      <c r="I294" s="1523"/>
      <c r="J294" s="1523"/>
      <c r="K294" s="1523"/>
      <c r="L294" s="1523"/>
      <c r="M294" s="1523"/>
      <c r="N294" s="143"/>
    </row>
    <row r="295" spans="1:14" x14ac:dyDescent="0.2">
      <c r="A295" s="929"/>
      <c r="B295" s="1523"/>
      <c r="C295" s="200"/>
      <c r="D295" s="1523"/>
      <c r="E295" s="1523"/>
      <c r="F295" s="1523"/>
      <c r="G295" s="1523"/>
      <c r="H295" s="1523"/>
      <c r="I295" s="1523"/>
      <c r="J295" s="1523"/>
      <c r="K295" s="1523"/>
      <c r="L295" s="1523"/>
      <c r="M295" s="1523"/>
      <c r="N295" s="143"/>
    </row>
    <row r="296" spans="1:14" x14ac:dyDescent="0.2">
      <c r="A296" s="929"/>
      <c r="B296" s="1523"/>
      <c r="C296" s="200"/>
      <c r="D296" s="1523"/>
      <c r="E296" s="1523"/>
      <c r="F296" s="1523"/>
      <c r="G296" s="1523"/>
      <c r="H296" s="1523"/>
      <c r="I296" s="1523"/>
      <c r="J296" s="1523"/>
      <c r="K296" s="1523"/>
      <c r="L296" s="1523"/>
      <c r="M296" s="1523"/>
      <c r="N296" s="143"/>
    </row>
    <row r="297" spans="1:14" x14ac:dyDescent="0.2">
      <c r="A297" s="929"/>
      <c r="B297" s="1523"/>
      <c r="C297" s="200"/>
      <c r="D297" s="1523"/>
      <c r="E297" s="1523"/>
      <c r="F297" s="1523"/>
      <c r="G297" s="1523"/>
      <c r="H297" s="1523"/>
      <c r="I297" s="1523"/>
      <c r="J297" s="1523"/>
      <c r="K297" s="1523"/>
      <c r="L297" s="1523"/>
      <c r="M297" s="1523"/>
      <c r="N297" s="143"/>
    </row>
    <row r="298" spans="1:14" x14ac:dyDescent="0.2">
      <c r="A298" s="929"/>
      <c r="B298" s="1523"/>
      <c r="C298" s="200"/>
      <c r="D298" s="1523"/>
      <c r="E298" s="1523"/>
      <c r="F298" s="1523"/>
      <c r="G298" s="1523"/>
      <c r="H298" s="1523"/>
      <c r="I298" s="1523"/>
      <c r="J298" s="1523"/>
      <c r="K298" s="1523"/>
      <c r="L298" s="1523"/>
      <c r="M298" s="1523"/>
      <c r="N298" s="143"/>
    </row>
    <row r="299" spans="1:14" x14ac:dyDescent="0.2">
      <c r="A299" s="929"/>
      <c r="B299" s="1523"/>
      <c r="C299" s="200"/>
      <c r="D299" s="1523"/>
      <c r="E299" s="1523"/>
      <c r="F299" s="1523"/>
      <c r="G299" s="1523"/>
      <c r="H299" s="1523"/>
      <c r="I299" s="1523"/>
      <c r="J299" s="1523"/>
      <c r="K299" s="1523"/>
      <c r="L299" s="1523"/>
      <c r="M299" s="1523"/>
      <c r="N299" s="143"/>
    </row>
    <row r="300" spans="1:14" x14ac:dyDescent="0.2">
      <c r="A300" s="929"/>
      <c r="B300" s="1523"/>
      <c r="C300" s="200"/>
      <c r="D300" s="1523"/>
      <c r="E300" s="1523"/>
      <c r="F300" s="1523"/>
      <c r="G300" s="1523"/>
      <c r="H300" s="1523"/>
      <c r="I300" s="1523"/>
      <c r="J300" s="1523"/>
      <c r="K300" s="1523"/>
      <c r="L300" s="1523"/>
      <c r="M300" s="1523"/>
      <c r="N300" s="143"/>
    </row>
    <row r="301" spans="1:14" ht="13.5" thickBot="1" x14ac:dyDescent="0.25">
      <c r="A301" s="930"/>
      <c r="B301" s="1008"/>
      <c r="C301" s="705"/>
      <c r="D301" s="1008"/>
      <c r="E301" s="1008"/>
      <c r="F301" s="1008"/>
      <c r="G301" s="1008"/>
      <c r="H301" s="1008"/>
      <c r="I301" s="1008"/>
      <c r="J301" s="1008"/>
      <c r="K301" s="1008"/>
      <c r="L301" s="1008"/>
      <c r="M301" s="1008"/>
      <c r="N301" s="933"/>
    </row>
    <row r="302" spans="1:14" x14ac:dyDescent="0.2">
      <c r="A302" s="1004"/>
      <c r="B302" s="1005"/>
      <c r="C302" s="1006"/>
      <c r="D302" s="1005"/>
      <c r="E302" s="1005"/>
      <c r="F302" s="1005"/>
      <c r="G302" s="1005"/>
      <c r="H302" s="1005"/>
      <c r="I302" s="1005"/>
      <c r="J302" s="1005"/>
      <c r="K302" s="1005"/>
      <c r="L302" s="1005"/>
      <c r="M302" s="1005"/>
      <c r="N302" s="1007"/>
    </row>
    <row r="303" spans="1:14" x14ac:dyDescent="0.2">
      <c r="A303" s="929"/>
      <c r="B303" s="1523"/>
      <c r="C303" s="200"/>
      <c r="D303" s="1523"/>
      <c r="E303" s="1523"/>
      <c r="F303" s="1523"/>
      <c r="G303" s="1523"/>
      <c r="H303" s="1523"/>
      <c r="I303" s="1523"/>
      <c r="J303" s="1523"/>
      <c r="K303" s="1523"/>
      <c r="L303" s="1523"/>
      <c r="M303" s="1523"/>
      <c r="N303" s="143"/>
    </row>
    <row r="304" spans="1:14" x14ac:dyDescent="0.2">
      <c r="A304" s="929"/>
      <c r="B304" s="1523"/>
      <c r="C304" s="200"/>
      <c r="D304" s="1523"/>
      <c r="E304" s="1523"/>
      <c r="F304" s="1523"/>
      <c r="G304" s="1523"/>
      <c r="H304" s="1523"/>
      <c r="I304" s="1523"/>
      <c r="J304" s="1523"/>
      <c r="K304" s="1523"/>
      <c r="L304" s="1523"/>
      <c r="M304" s="1523"/>
      <c r="N304" s="143"/>
    </row>
    <row r="305" spans="1:14" x14ac:dyDescent="0.2">
      <c r="A305" s="929"/>
      <c r="B305" s="1523"/>
      <c r="C305" s="200"/>
      <c r="D305" s="1523"/>
      <c r="E305" s="1523"/>
      <c r="F305" s="1523"/>
      <c r="G305" s="1523"/>
      <c r="H305" s="1523"/>
      <c r="I305" s="1523"/>
      <c r="J305" s="1523"/>
      <c r="K305" s="1523"/>
      <c r="L305" s="1523"/>
      <c r="M305" s="1523"/>
      <c r="N305" s="143"/>
    </row>
    <row r="306" spans="1:14" x14ac:dyDescent="0.2">
      <c r="A306" s="929"/>
      <c r="B306" s="1523"/>
      <c r="C306" s="200"/>
      <c r="D306" s="1523"/>
      <c r="E306" s="1523"/>
      <c r="F306" s="1523"/>
      <c r="G306" s="1523"/>
      <c r="H306" s="1523"/>
      <c r="I306" s="1523"/>
      <c r="J306" s="1523"/>
      <c r="K306" s="1523"/>
      <c r="L306" s="1523"/>
      <c r="M306" s="1523"/>
      <c r="N306" s="143"/>
    </row>
    <row r="307" spans="1:14" x14ac:dyDescent="0.2">
      <c r="A307" s="929"/>
      <c r="B307" s="1523"/>
      <c r="C307" s="200"/>
      <c r="D307" s="1523"/>
      <c r="E307" s="1523"/>
      <c r="F307" s="1523"/>
      <c r="G307" s="1523"/>
      <c r="H307" s="1523"/>
      <c r="I307" s="1523"/>
      <c r="J307" s="1523"/>
      <c r="K307" s="1523"/>
      <c r="L307" s="1523"/>
      <c r="M307" s="1523"/>
      <c r="N307" s="143"/>
    </row>
    <row r="308" spans="1:14" x14ac:dyDescent="0.2">
      <c r="A308" s="929"/>
      <c r="B308" s="1523"/>
      <c r="C308" s="200"/>
      <c r="D308" s="1523"/>
      <c r="E308" s="1523"/>
      <c r="F308" s="1523"/>
      <c r="G308" s="1523"/>
      <c r="H308" s="1523"/>
      <c r="I308" s="1523"/>
      <c r="J308" s="1523"/>
      <c r="K308" s="1523"/>
      <c r="L308" s="1523"/>
      <c r="M308" s="1523"/>
      <c r="N308" s="143"/>
    </row>
    <row r="309" spans="1:14" x14ac:dyDescent="0.2">
      <c r="A309" s="929"/>
      <c r="B309" s="1523"/>
      <c r="C309" s="200"/>
      <c r="D309" s="1523"/>
      <c r="E309" s="1523"/>
      <c r="F309" s="1523"/>
      <c r="G309" s="1523"/>
      <c r="H309" s="1523"/>
      <c r="I309" s="1523"/>
      <c r="J309" s="1523"/>
      <c r="K309" s="1523"/>
      <c r="L309" s="1523"/>
      <c r="M309" s="1523"/>
      <c r="N309" s="143"/>
    </row>
    <row r="310" spans="1:14" ht="13.5" thickBot="1" x14ac:dyDescent="0.25">
      <c r="A310" s="930"/>
      <c r="B310" s="1008"/>
      <c r="C310" s="705"/>
      <c r="D310" s="1008"/>
      <c r="E310" s="1008"/>
      <c r="F310" s="1008"/>
      <c r="G310" s="1008"/>
      <c r="H310" s="1008"/>
      <c r="I310" s="1008"/>
      <c r="J310" s="1008"/>
      <c r="K310" s="1008"/>
      <c r="L310" s="1008"/>
      <c r="M310" s="1008"/>
      <c r="N310" s="933"/>
    </row>
    <row r="328" spans="1:14" ht="13.5" thickBot="1" x14ac:dyDescent="0.25"/>
    <row r="329" spans="1:14" x14ac:dyDescent="0.2">
      <c r="A329" s="1004"/>
      <c r="B329" s="1005"/>
      <c r="C329" s="1006"/>
      <c r="D329" s="1005"/>
      <c r="E329" s="1005"/>
      <c r="F329" s="1005"/>
      <c r="G329" s="1005"/>
      <c r="H329" s="1005"/>
      <c r="I329" s="1005"/>
      <c r="J329" s="1005"/>
      <c r="K329" s="1005"/>
      <c r="L329" s="1005"/>
      <c r="M329" s="1005"/>
      <c r="N329" s="1007"/>
    </row>
    <row r="330" spans="1:14" x14ac:dyDescent="0.2">
      <c r="A330" s="929"/>
      <c r="B330" s="1523"/>
      <c r="C330" s="200"/>
      <c r="D330" s="1523"/>
      <c r="E330" s="1523"/>
      <c r="F330" s="1523"/>
      <c r="G330" s="1523"/>
      <c r="H330" s="1523"/>
      <c r="I330" s="1523"/>
      <c r="J330" s="1523"/>
      <c r="K330" s="1523"/>
      <c r="L330" s="1523"/>
      <c r="M330" s="1523"/>
      <c r="N330" s="143"/>
    </row>
    <row r="331" spans="1:14" x14ac:dyDescent="0.2">
      <c r="A331" s="929"/>
      <c r="B331" s="1523"/>
      <c r="C331" s="200"/>
      <c r="D331" s="1523"/>
      <c r="E331" s="1523"/>
      <c r="F331" s="1523"/>
      <c r="G331" s="1523"/>
      <c r="H331" s="1523"/>
      <c r="I331" s="1523"/>
      <c r="J331" s="1523"/>
      <c r="K331" s="1523"/>
      <c r="L331" s="1523"/>
      <c r="M331" s="1523"/>
      <c r="N331" s="143"/>
    </row>
    <row r="332" spans="1:14" x14ac:dyDescent="0.2">
      <c r="A332" s="929"/>
      <c r="B332" s="1523"/>
      <c r="C332" s="200"/>
      <c r="D332" s="1523"/>
      <c r="E332" s="1523"/>
      <c r="F332" s="1523"/>
      <c r="G332" s="1523"/>
      <c r="H332" s="1523"/>
      <c r="I332" s="1523"/>
      <c r="J332" s="1523"/>
      <c r="K332" s="1523"/>
      <c r="L332" s="1523"/>
      <c r="M332" s="1523"/>
      <c r="N332" s="143"/>
    </row>
    <row r="333" spans="1:14" x14ac:dyDescent="0.2">
      <c r="A333" s="929"/>
      <c r="B333" s="1523"/>
      <c r="C333" s="200"/>
      <c r="D333" s="1523"/>
      <c r="E333" s="1523"/>
      <c r="F333" s="1523"/>
      <c r="G333" s="1523"/>
      <c r="H333" s="1523"/>
      <c r="I333" s="1523"/>
      <c r="J333" s="1523"/>
      <c r="K333" s="1523"/>
      <c r="L333" s="1523"/>
      <c r="M333" s="1523"/>
      <c r="N333" s="143"/>
    </row>
    <row r="334" spans="1:14" x14ac:dyDescent="0.2">
      <c r="A334" s="929"/>
      <c r="B334" s="1523"/>
      <c r="C334" s="200"/>
      <c r="D334" s="1523"/>
      <c r="E334" s="1523"/>
      <c r="F334" s="1523"/>
      <c r="G334" s="1523"/>
      <c r="H334" s="1523"/>
      <c r="I334" s="1523"/>
      <c r="J334" s="1523"/>
      <c r="K334" s="1523"/>
      <c r="L334" s="1523"/>
      <c r="M334" s="1523"/>
      <c r="N334" s="143"/>
    </row>
    <row r="335" spans="1:14" x14ac:dyDescent="0.2">
      <c r="A335" s="929"/>
      <c r="B335" s="1523"/>
      <c r="C335" s="200"/>
      <c r="D335" s="1523"/>
      <c r="E335" s="1523"/>
      <c r="F335" s="1523"/>
      <c r="G335" s="1523"/>
      <c r="H335" s="1523"/>
      <c r="I335" s="1523"/>
      <c r="J335" s="1523"/>
      <c r="K335" s="1523"/>
      <c r="L335" s="1523"/>
      <c r="M335" s="1523"/>
      <c r="N335" s="143"/>
    </row>
    <row r="336" spans="1:14" x14ac:dyDescent="0.2">
      <c r="A336" s="929"/>
      <c r="B336" s="1523"/>
      <c r="C336" s="200"/>
      <c r="D336" s="1523"/>
      <c r="E336" s="1523"/>
      <c r="F336" s="1523"/>
      <c r="G336" s="1523"/>
      <c r="H336" s="1523"/>
      <c r="I336" s="1523"/>
      <c r="J336" s="1523"/>
      <c r="K336" s="1523"/>
      <c r="L336" s="1523"/>
      <c r="M336" s="1523"/>
      <c r="N336" s="143"/>
    </row>
    <row r="337" spans="1:14" ht="13.5" thickBot="1" x14ac:dyDescent="0.25">
      <c r="A337" s="930"/>
      <c r="B337" s="1008"/>
      <c r="C337" s="705"/>
      <c r="D337" s="1008"/>
      <c r="E337" s="1008"/>
      <c r="F337" s="1008"/>
      <c r="G337" s="1008"/>
      <c r="H337" s="1008"/>
      <c r="I337" s="1008"/>
      <c r="J337" s="1008"/>
      <c r="K337" s="1008"/>
      <c r="L337" s="1008"/>
      <c r="M337" s="1008"/>
      <c r="N337" s="933"/>
    </row>
    <row r="338" spans="1:14" x14ac:dyDescent="0.2">
      <c r="A338" s="1004"/>
      <c r="B338" s="1005"/>
      <c r="C338" s="1006"/>
      <c r="D338" s="1005"/>
      <c r="E338" s="1005"/>
      <c r="F338" s="1005"/>
      <c r="G338" s="1005"/>
      <c r="H338" s="1005"/>
      <c r="I338" s="1005"/>
      <c r="J338" s="1005"/>
      <c r="K338" s="1005"/>
      <c r="L338" s="1005"/>
      <c r="M338" s="1005"/>
      <c r="N338" s="1007"/>
    </row>
    <row r="339" spans="1:14" x14ac:dyDescent="0.2">
      <c r="A339" s="929"/>
      <c r="B339" s="1523"/>
      <c r="C339" s="200"/>
      <c r="D339" s="1523"/>
      <c r="E339" s="1523"/>
      <c r="F339" s="1523"/>
      <c r="G339" s="1523"/>
      <c r="H339" s="1523"/>
      <c r="I339" s="1523"/>
      <c r="J339" s="1523"/>
      <c r="K339" s="1523"/>
      <c r="L339" s="1523"/>
      <c r="M339" s="1523"/>
      <c r="N339" s="143"/>
    </row>
    <row r="340" spans="1:14" x14ac:dyDescent="0.2">
      <c r="A340" s="929"/>
      <c r="B340" s="1523"/>
      <c r="C340" s="200"/>
      <c r="D340" s="1523"/>
      <c r="E340" s="1523"/>
      <c r="F340" s="1523"/>
      <c r="G340" s="1523"/>
      <c r="H340" s="1523"/>
      <c r="I340" s="1523"/>
      <c r="J340" s="1523"/>
      <c r="K340" s="1523"/>
      <c r="L340" s="1523"/>
      <c r="M340" s="1523"/>
      <c r="N340" s="143"/>
    </row>
    <row r="341" spans="1:14" x14ac:dyDescent="0.2">
      <c r="A341" s="929"/>
      <c r="B341" s="1523"/>
      <c r="C341" s="200"/>
      <c r="D341" s="1523"/>
      <c r="E341" s="1523"/>
      <c r="F341" s="1523"/>
      <c r="G341" s="1523"/>
      <c r="H341" s="1523"/>
      <c r="I341" s="1523"/>
      <c r="J341" s="1523"/>
      <c r="K341" s="1523"/>
      <c r="L341" s="1523"/>
      <c r="M341" s="1523"/>
      <c r="N341" s="143"/>
    </row>
    <row r="342" spans="1:14" x14ac:dyDescent="0.2">
      <c r="A342" s="929"/>
      <c r="B342" s="1523"/>
      <c r="C342" s="200"/>
      <c r="D342" s="1523"/>
      <c r="E342" s="1523"/>
      <c r="F342" s="1523"/>
      <c r="G342" s="1523"/>
      <c r="H342" s="1523"/>
      <c r="I342" s="1523"/>
      <c r="J342" s="1523"/>
      <c r="K342" s="1523"/>
      <c r="L342" s="1523"/>
      <c r="M342" s="1523"/>
      <c r="N342" s="143"/>
    </row>
    <row r="343" spans="1:14" x14ac:dyDescent="0.2">
      <c r="A343" s="929"/>
      <c r="B343" s="1523"/>
      <c r="C343" s="200"/>
      <c r="D343" s="1523"/>
      <c r="E343" s="1523"/>
      <c r="F343" s="1523"/>
      <c r="G343" s="1523"/>
      <c r="H343" s="1523"/>
      <c r="I343" s="1523"/>
      <c r="J343" s="1523"/>
      <c r="K343" s="1523"/>
      <c r="L343" s="1523"/>
      <c r="M343" s="1523"/>
      <c r="N343" s="143"/>
    </row>
    <row r="344" spans="1:14" x14ac:dyDescent="0.2">
      <c r="A344" s="929"/>
      <c r="B344" s="1523"/>
      <c r="C344" s="200"/>
      <c r="D344" s="1523"/>
      <c r="E344" s="1523"/>
      <c r="F344" s="1523"/>
      <c r="G344" s="1523"/>
      <c r="H344" s="1523"/>
      <c r="I344" s="1523"/>
      <c r="J344" s="1523"/>
      <c r="K344" s="1523"/>
      <c r="L344" s="1523"/>
      <c r="M344" s="1523"/>
      <c r="N344" s="143"/>
    </row>
    <row r="345" spans="1:14" x14ac:dyDescent="0.2">
      <c r="A345" s="929"/>
      <c r="B345" s="1523"/>
      <c r="C345" s="200"/>
      <c r="D345" s="1523"/>
      <c r="E345" s="1523"/>
      <c r="F345" s="1523"/>
      <c r="G345" s="1523"/>
      <c r="H345" s="1523"/>
      <c r="I345" s="1523"/>
      <c r="J345" s="1523"/>
      <c r="K345" s="1523"/>
      <c r="L345" s="1523"/>
      <c r="M345" s="1523"/>
      <c r="N345" s="143"/>
    </row>
    <row r="346" spans="1:14" ht="13.5" thickBot="1" x14ac:dyDescent="0.25">
      <c r="A346" s="930"/>
      <c r="B346" s="1008"/>
      <c r="C346" s="705"/>
      <c r="D346" s="1008"/>
      <c r="E346" s="1008"/>
      <c r="F346" s="1008"/>
      <c r="G346" s="1008"/>
      <c r="H346" s="1008"/>
      <c r="I346" s="1008"/>
      <c r="J346" s="1008"/>
      <c r="K346" s="1008"/>
      <c r="L346" s="1008"/>
      <c r="M346" s="1008"/>
      <c r="N346" s="933"/>
    </row>
    <row r="365" spans="1:14" ht="13.5" thickBot="1" x14ac:dyDescent="0.25"/>
    <row r="366" spans="1:14" x14ac:dyDescent="0.2">
      <c r="A366" s="1004"/>
      <c r="B366" s="1005"/>
      <c r="C366" s="1006"/>
      <c r="D366" s="1005"/>
      <c r="E366" s="1005"/>
      <c r="F366" s="1005"/>
      <c r="G366" s="1005"/>
      <c r="H366" s="1005"/>
      <c r="I366" s="1005"/>
      <c r="J366" s="1005"/>
      <c r="K366" s="1005"/>
      <c r="L366" s="1005"/>
      <c r="M366" s="1005"/>
      <c r="N366" s="1007"/>
    </row>
    <row r="367" spans="1:14" x14ac:dyDescent="0.2">
      <c r="A367" s="929"/>
      <c r="B367" s="1523"/>
      <c r="C367" s="200"/>
      <c r="D367" s="1523"/>
      <c r="E367" s="1523"/>
      <c r="F367" s="1523"/>
      <c r="G367" s="1523"/>
      <c r="H367" s="1523"/>
      <c r="I367" s="1523"/>
      <c r="J367" s="1523"/>
      <c r="K367" s="1523"/>
      <c r="L367" s="1523"/>
      <c r="M367" s="1523"/>
      <c r="N367" s="143"/>
    </row>
    <row r="368" spans="1:14" x14ac:dyDescent="0.2">
      <c r="A368" s="929"/>
      <c r="B368" s="1523"/>
      <c r="C368" s="200"/>
      <c r="D368" s="1523"/>
      <c r="E368" s="1523"/>
      <c r="F368" s="1523"/>
      <c r="G368" s="1523"/>
      <c r="H368" s="1523"/>
      <c r="I368" s="1523"/>
      <c r="J368" s="1523"/>
      <c r="K368" s="1523"/>
      <c r="L368" s="1523"/>
      <c r="M368" s="1523"/>
      <c r="N368" s="143"/>
    </row>
    <row r="369" spans="1:14" x14ac:dyDescent="0.2">
      <c r="A369" s="929"/>
      <c r="B369" s="1523"/>
      <c r="C369" s="200"/>
      <c r="D369" s="1523"/>
      <c r="E369" s="1523"/>
      <c r="F369" s="1523"/>
      <c r="G369" s="1523"/>
      <c r="H369" s="1523"/>
      <c r="I369" s="1523"/>
      <c r="J369" s="1523"/>
      <c r="K369" s="1523"/>
      <c r="L369" s="1523"/>
      <c r="M369" s="1523"/>
      <c r="N369" s="143"/>
    </row>
    <row r="370" spans="1:14" x14ac:dyDescent="0.2">
      <c r="A370" s="929"/>
      <c r="B370" s="1523"/>
      <c r="C370" s="200"/>
      <c r="D370" s="1523"/>
      <c r="E370" s="1523"/>
      <c r="F370" s="1523"/>
      <c r="G370" s="1523"/>
      <c r="H370" s="1523"/>
      <c r="I370" s="1523"/>
      <c r="J370" s="1523"/>
      <c r="K370" s="1523"/>
      <c r="L370" s="1523"/>
      <c r="M370" s="1523"/>
      <c r="N370" s="143"/>
    </row>
    <row r="371" spans="1:14" x14ac:dyDescent="0.2">
      <c r="A371" s="929"/>
      <c r="B371" s="1523"/>
      <c r="C371" s="200"/>
      <c r="D371" s="1523"/>
      <c r="E371" s="1523"/>
      <c r="F371" s="1523"/>
      <c r="G371" s="1523"/>
      <c r="H371" s="1523"/>
      <c r="I371" s="1523"/>
      <c r="J371" s="1523"/>
      <c r="K371" s="1523"/>
      <c r="L371" s="1523"/>
      <c r="M371" s="1523"/>
      <c r="N371" s="143"/>
    </row>
    <row r="372" spans="1:14" x14ac:dyDescent="0.2">
      <c r="A372" s="929"/>
      <c r="B372" s="1523"/>
      <c r="C372" s="200"/>
      <c r="D372" s="1523"/>
      <c r="E372" s="1523"/>
      <c r="F372" s="1523"/>
      <c r="G372" s="1523"/>
      <c r="H372" s="1523"/>
      <c r="I372" s="1523"/>
      <c r="J372" s="1523"/>
      <c r="K372" s="1523"/>
      <c r="L372" s="1523"/>
      <c r="M372" s="1523"/>
      <c r="N372" s="143"/>
    </row>
    <row r="373" spans="1:14" x14ac:dyDescent="0.2">
      <c r="A373" s="929"/>
      <c r="B373" s="1523"/>
      <c r="C373" s="200"/>
      <c r="D373" s="1523"/>
      <c r="E373" s="1523"/>
      <c r="F373" s="1523"/>
      <c r="G373" s="1523"/>
      <c r="H373" s="1523"/>
      <c r="I373" s="1523"/>
      <c r="J373" s="1523"/>
      <c r="K373" s="1523"/>
      <c r="L373" s="1523"/>
      <c r="M373" s="1523"/>
      <c r="N373" s="143"/>
    </row>
    <row r="374" spans="1:14" ht="13.5" thickBot="1" x14ac:dyDescent="0.25">
      <c r="A374" s="930"/>
      <c r="B374" s="1008"/>
      <c r="C374" s="705"/>
      <c r="D374" s="1008"/>
      <c r="E374" s="1008"/>
      <c r="F374" s="1008"/>
      <c r="G374" s="1008"/>
      <c r="H374" s="1008"/>
      <c r="I374" s="1008"/>
      <c r="J374" s="1008"/>
      <c r="K374" s="1008"/>
      <c r="L374" s="1008"/>
      <c r="M374" s="1008"/>
      <c r="N374" s="933"/>
    </row>
    <row r="383" spans="1:14" ht="13.5" thickBot="1" x14ac:dyDescent="0.25"/>
    <row r="384" spans="1:14" x14ac:dyDescent="0.2">
      <c r="A384" s="1004"/>
      <c r="B384" s="1005"/>
      <c r="C384" s="1006"/>
      <c r="D384" s="1005"/>
      <c r="E384" s="1005"/>
      <c r="F384" s="1005"/>
      <c r="G384" s="1005"/>
      <c r="H384" s="1005"/>
      <c r="I384" s="1005"/>
      <c r="J384" s="1005"/>
      <c r="K384" s="1005"/>
      <c r="L384" s="1005"/>
      <c r="M384" s="1005"/>
      <c r="N384" s="1007"/>
    </row>
    <row r="385" spans="1:14" x14ac:dyDescent="0.2">
      <c r="A385" s="929"/>
      <c r="B385" s="1523"/>
      <c r="C385" s="200"/>
      <c r="D385" s="1523"/>
      <c r="E385" s="1523"/>
      <c r="F385" s="1523"/>
      <c r="G385" s="1523"/>
      <c r="H385" s="1523"/>
      <c r="I385" s="1523"/>
      <c r="J385" s="1523"/>
      <c r="K385" s="1523"/>
      <c r="L385" s="1523"/>
      <c r="M385" s="1523"/>
      <c r="N385" s="143"/>
    </row>
    <row r="386" spans="1:14" x14ac:dyDescent="0.2">
      <c r="A386" s="929"/>
      <c r="B386" s="1523"/>
      <c r="C386" s="200"/>
      <c r="D386" s="1523"/>
      <c r="E386" s="1523"/>
      <c r="F386" s="1523"/>
      <c r="G386" s="1523"/>
      <c r="H386" s="1523"/>
      <c r="I386" s="1523"/>
      <c r="J386" s="1523"/>
      <c r="K386" s="1523"/>
      <c r="L386" s="1523"/>
      <c r="M386" s="1523"/>
      <c r="N386" s="143"/>
    </row>
    <row r="387" spans="1:14" x14ac:dyDescent="0.2">
      <c r="A387" s="929"/>
      <c r="B387" s="1523"/>
      <c r="C387" s="200"/>
      <c r="D387" s="1523"/>
      <c r="E387" s="1523"/>
      <c r="F387" s="1523"/>
      <c r="G387" s="1523"/>
      <c r="H387" s="1523"/>
      <c r="I387" s="1523"/>
      <c r="J387" s="1523"/>
      <c r="K387" s="1523"/>
      <c r="L387" s="1523"/>
      <c r="M387" s="1523"/>
      <c r="N387" s="143"/>
    </row>
    <row r="388" spans="1:14" x14ac:dyDescent="0.2">
      <c r="A388" s="929"/>
      <c r="B388" s="1523"/>
      <c r="C388" s="200"/>
      <c r="D388" s="1523"/>
      <c r="E388" s="1523"/>
      <c r="F388" s="1523"/>
      <c r="G388" s="1523"/>
      <c r="H388" s="1523"/>
      <c r="I388" s="1523"/>
      <c r="J388" s="1523"/>
      <c r="K388" s="1523"/>
      <c r="L388" s="1523"/>
      <c r="M388" s="1523"/>
      <c r="N388" s="143"/>
    </row>
    <row r="389" spans="1:14" x14ac:dyDescent="0.2">
      <c r="A389" s="929"/>
      <c r="B389" s="1523"/>
      <c r="C389" s="200"/>
      <c r="D389" s="1523"/>
      <c r="E389" s="1523"/>
      <c r="F389" s="1523"/>
      <c r="G389" s="1523"/>
      <c r="H389" s="1523"/>
      <c r="I389" s="1523"/>
      <c r="J389" s="1523"/>
      <c r="K389" s="1523"/>
      <c r="L389" s="1523"/>
      <c r="M389" s="1523"/>
      <c r="N389" s="143"/>
    </row>
    <row r="390" spans="1:14" x14ac:dyDescent="0.2">
      <c r="A390" s="929"/>
      <c r="B390" s="1523"/>
      <c r="C390" s="200"/>
      <c r="D390" s="1523"/>
      <c r="E390" s="1523"/>
      <c r="F390" s="1523"/>
      <c r="G390" s="1523"/>
      <c r="H390" s="1523"/>
      <c r="I390" s="1523"/>
      <c r="J390" s="1523"/>
      <c r="K390" s="1523"/>
      <c r="L390" s="1523"/>
      <c r="M390" s="1523"/>
      <c r="N390" s="143"/>
    </row>
    <row r="391" spans="1:14" x14ac:dyDescent="0.2">
      <c r="A391" s="929"/>
      <c r="B391" s="1523"/>
      <c r="C391" s="200"/>
      <c r="D391" s="1523"/>
      <c r="E391" s="1523"/>
      <c r="F391" s="1523"/>
      <c r="G391" s="1523"/>
      <c r="H391" s="1523"/>
      <c r="I391" s="1523"/>
      <c r="J391" s="1523"/>
      <c r="K391" s="1523"/>
      <c r="L391" s="1523"/>
      <c r="M391" s="1523"/>
      <c r="N391" s="143"/>
    </row>
    <row r="392" spans="1:14" ht="13.5" thickBot="1" x14ac:dyDescent="0.25">
      <c r="A392" s="930"/>
      <c r="B392" s="1008"/>
      <c r="C392" s="705"/>
      <c r="D392" s="1008"/>
      <c r="E392" s="1008"/>
      <c r="F392" s="1008"/>
      <c r="G392" s="1008"/>
      <c r="H392" s="1008"/>
      <c r="I392" s="1008"/>
      <c r="J392" s="1008"/>
      <c r="K392" s="1008"/>
      <c r="L392" s="1008"/>
      <c r="M392" s="1008"/>
      <c r="N392" s="933"/>
    </row>
    <row r="419" spans="1:14" ht="13.5" thickBot="1" x14ac:dyDescent="0.25"/>
    <row r="420" spans="1:14" x14ac:dyDescent="0.2">
      <c r="A420" s="1004"/>
      <c r="B420" s="1005"/>
      <c r="C420" s="1006"/>
      <c r="D420" s="1005"/>
      <c r="E420" s="1005"/>
      <c r="F420" s="1005"/>
      <c r="G420" s="1005"/>
      <c r="H420" s="1005"/>
      <c r="I420" s="1005"/>
      <c r="J420" s="1005"/>
      <c r="K420" s="1005"/>
      <c r="L420" s="1005"/>
      <c r="M420" s="1005"/>
      <c r="N420" s="1007"/>
    </row>
    <row r="421" spans="1:14" x14ac:dyDescent="0.2">
      <c r="A421" s="929"/>
      <c r="B421" s="1523"/>
      <c r="C421" s="200"/>
      <c r="D421" s="1523"/>
      <c r="E421" s="1523"/>
      <c r="F421" s="1523"/>
      <c r="G421" s="1523"/>
      <c r="H421" s="1523"/>
      <c r="I421" s="1523"/>
      <c r="J421" s="1523"/>
      <c r="K421" s="1523"/>
      <c r="L421" s="1523"/>
      <c r="M421" s="1523"/>
      <c r="N421" s="143"/>
    </row>
    <row r="422" spans="1:14" x14ac:dyDescent="0.2">
      <c r="A422" s="929"/>
      <c r="B422" s="1523"/>
      <c r="C422" s="200"/>
      <c r="D422" s="1523"/>
      <c r="E422" s="1523"/>
      <c r="F422" s="1523"/>
      <c r="G422" s="1523"/>
      <c r="H422" s="1523"/>
      <c r="I422" s="1523"/>
      <c r="J422" s="1523"/>
      <c r="K422" s="1523"/>
      <c r="L422" s="1523"/>
      <c r="M422" s="1523"/>
      <c r="N422" s="143"/>
    </row>
    <row r="423" spans="1:14" x14ac:dyDescent="0.2">
      <c r="A423" s="929"/>
      <c r="B423" s="1523"/>
      <c r="C423" s="200"/>
      <c r="D423" s="1523"/>
      <c r="E423" s="1523"/>
      <c r="F423" s="1523"/>
      <c r="G423" s="1523"/>
      <c r="H423" s="1523"/>
      <c r="I423" s="1523"/>
      <c r="J423" s="1523"/>
      <c r="K423" s="1523"/>
      <c r="L423" s="1523"/>
      <c r="M423" s="1523"/>
      <c r="N423" s="143"/>
    </row>
    <row r="424" spans="1:14" x14ac:dyDescent="0.2">
      <c r="A424" s="929"/>
      <c r="B424" s="1523"/>
      <c r="C424" s="200"/>
      <c r="D424" s="1523"/>
      <c r="E424" s="1523"/>
      <c r="F424" s="1523"/>
      <c r="G424" s="1523"/>
      <c r="H424" s="1523"/>
      <c r="I424" s="1523"/>
      <c r="J424" s="1523"/>
      <c r="K424" s="1523"/>
      <c r="L424" s="1523"/>
      <c r="M424" s="1523"/>
      <c r="N424" s="143"/>
    </row>
    <row r="425" spans="1:14" x14ac:dyDescent="0.2">
      <c r="A425" s="929"/>
      <c r="B425" s="1523"/>
      <c r="C425" s="200"/>
      <c r="D425" s="1523"/>
      <c r="E425" s="1523"/>
      <c r="F425" s="1523"/>
      <c r="G425" s="1523"/>
      <c r="H425" s="1523"/>
      <c r="I425" s="1523"/>
      <c r="J425" s="1523"/>
      <c r="K425" s="1523"/>
      <c r="L425" s="1523"/>
      <c r="M425" s="1523"/>
      <c r="N425" s="143"/>
    </row>
    <row r="426" spans="1:14" x14ac:dyDescent="0.2">
      <c r="A426" s="929"/>
      <c r="B426" s="1523"/>
      <c r="C426" s="200"/>
      <c r="D426" s="1523"/>
      <c r="E426" s="1523"/>
      <c r="F426" s="1523"/>
      <c r="G426" s="1523"/>
      <c r="H426" s="1523"/>
      <c r="I426" s="1523"/>
      <c r="J426" s="1523"/>
      <c r="K426" s="1523"/>
      <c r="L426" s="1523"/>
      <c r="M426" s="1523"/>
      <c r="N426" s="143"/>
    </row>
    <row r="427" spans="1:14" x14ac:dyDescent="0.2">
      <c r="A427" s="929"/>
      <c r="B427" s="1523"/>
      <c r="C427" s="200"/>
      <c r="D427" s="1523"/>
      <c r="E427" s="1523"/>
      <c r="F427" s="1523"/>
      <c r="G427" s="1523"/>
      <c r="H427" s="1523"/>
      <c r="I427" s="1523"/>
      <c r="J427" s="1523"/>
      <c r="K427" s="1523"/>
      <c r="L427" s="1523"/>
      <c r="M427" s="1523"/>
      <c r="N427" s="143"/>
    </row>
    <row r="428" spans="1:14" x14ac:dyDescent="0.2">
      <c r="A428" s="929"/>
      <c r="B428" s="1523"/>
      <c r="C428" s="200"/>
      <c r="D428" s="1523"/>
      <c r="E428" s="1523"/>
      <c r="F428" s="1523"/>
      <c r="G428" s="1523"/>
      <c r="H428" s="1523"/>
      <c r="I428" s="1523"/>
      <c r="J428" s="1523"/>
      <c r="K428" s="1523"/>
      <c r="L428" s="1523"/>
      <c r="M428" s="1523"/>
      <c r="N428" s="143"/>
    </row>
    <row r="429" spans="1:14" x14ac:dyDescent="0.2">
      <c r="A429" s="929"/>
      <c r="B429" s="1523"/>
      <c r="C429" s="200"/>
      <c r="D429" s="1523"/>
      <c r="E429" s="1523"/>
      <c r="F429" s="1523"/>
      <c r="G429" s="1523"/>
      <c r="H429" s="1523"/>
      <c r="I429" s="1523"/>
      <c r="J429" s="1523"/>
      <c r="K429" s="1523"/>
      <c r="L429" s="1523"/>
      <c r="M429" s="1523"/>
      <c r="N429" s="143"/>
    </row>
    <row r="430" spans="1:14" x14ac:dyDescent="0.2">
      <c r="A430" s="929"/>
      <c r="B430" s="1523"/>
      <c r="C430" s="200"/>
      <c r="D430" s="1523"/>
      <c r="E430" s="1523"/>
      <c r="F430" s="1523"/>
      <c r="G430" s="1523"/>
      <c r="H430" s="1523"/>
      <c r="I430" s="1523"/>
      <c r="J430" s="1523"/>
      <c r="K430" s="1523"/>
      <c r="L430" s="1523"/>
      <c r="M430" s="1523"/>
      <c r="N430" s="143"/>
    </row>
    <row r="431" spans="1:14" x14ac:dyDescent="0.2">
      <c r="A431" s="929"/>
      <c r="B431" s="1523"/>
      <c r="C431" s="200"/>
      <c r="D431" s="1523"/>
      <c r="E431" s="1523"/>
      <c r="F431" s="1523"/>
      <c r="G431" s="1523"/>
      <c r="H431" s="1523"/>
      <c r="I431" s="1523"/>
      <c r="J431" s="1523"/>
      <c r="K431" s="1523"/>
      <c r="L431" s="1523"/>
      <c r="M431" s="1523"/>
      <c r="N431" s="143"/>
    </row>
    <row r="432" spans="1:14" x14ac:dyDescent="0.2">
      <c r="A432" s="929"/>
      <c r="B432" s="1523"/>
      <c r="C432" s="200"/>
      <c r="D432" s="1523"/>
      <c r="E432" s="1523"/>
      <c r="F432" s="1523"/>
      <c r="G432" s="1523"/>
      <c r="H432" s="1523"/>
      <c r="I432" s="1523"/>
      <c r="J432" s="1523"/>
      <c r="K432" s="1523"/>
      <c r="L432" s="1523"/>
      <c r="M432" s="1523"/>
      <c r="N432" s="143"/>
    </row>
    <row r="433" spans="1:14" ht="13.5" thickBot="1" x14ac:dyDescent="0.25">
      <c r="A433" s="930"/>
      <c r="B433" s="1008"/>
      <c r="C433" s="705"/>
      <c r="D433" s="1008"/>
      <c r="E433" s="1008"/>
      <c r="F433" s="1008"/>
      <c r="G433" s="1008"/>
      <c r="H433" s="1008"/>
      <c r="I433" s="1008"/>
      <c r="J433" s="1008"/>
      <c r="K433" s="1008"/>
      <c r="L433" s="1008"/>
      <c r="M433" s="1008"/>
      <c r="N433" s="933"/>
    </row>
    <row r="434" spans="1:14" x14ac:dyDescent="0.2">
      <c r="A434" s="1004"/>
      <c r="B434" s="1005"/>
      <c r="C434" s="1006"/>
      <c r="D434" s="1005"/>
      <c r="E434" s="1005"/>
      <c r="F434" s="1005"/>
      <c r="G434" s="1005"/>
      <c r="H434" s="1005"/>
      <c r="I434" s="1005"/>
      <c r="J434" s="1005"/>
      <c r="K434" s="1005"/>
      <c r="L434" s="1005"/>
      <c r="M434" s="1005"/>
      <c r="N434" s="1007"/>
    </row>
    <row r="435" spans="1:14" x14ac:dyDescent="0.2">
      <c r="A435" s="929"/>
      <c r="B435" s="1523"/>
      <c r="C435" s="200"/>
      <c r="D435" s="1523"/>
      <c r="E435" s="1523"/>
      <c r="F435" s="1523"/>
      <c r="G435" s="1523"/>
      <c r="H435" s="1523"/>
      <c r="I435" s="1523"/>
      <c r="J435" s="1523"/>
      <c r="K435" s="1523"/>
      <c r="L435" s="1523"/>
      <c r="M435" s="1523"/>
      <c r="N435" s="143"/>
    </row>
    <row r="436" spans="1:14" x14ac:dyDescent="0.2">
      <c r="A436" s="929"/>
      <c r="B436" s="1523"/>
      <c r="C436" s="200"/>
      <c r="D436" s="1523"/>
      <c r="E436" s="1523"/>
      <c r="F436" s="1523"/>
      <c r="G436" s="1523"/>
      <c r="H436" s="1523"/>
      <c r="I436" s="1523"/>
      <c r="J436" s="1523"/>
      <c r="K436" s="1523"/>
      <c r="L436" s="1523"/>
      <c r="M436" s="1523"/>
      <c r="N436" s="143"/>
    </row>
    <row r="437" spans="1:14" x14ac:dyDescent="0.2">
      <c r="A437" s="929"/>
      <c r="B437" s="1523"/>
      <c r="C437" s="200"/>
      <c r="D437" s="1523"/>
      <c r="E437" s="1523"/>
      <c r="F437" s="1523"/>
      <c r="G437" s="1523"/>
      <c r="H437" s="1523"/>
      <c r="I437" s="1523"/>
      <c r="J437" s="1523"/>
      <c r="K437" s="1523"/>
      <c r="L437" s="1523"/>
      <c r="M437" s="1523"/>
      <c r="N437" s="143"/>
    </row>
    <row r="438" spans="1:14" x14ac:dyDescent="0.2">
      <c r="A438" s="929"/>
      <c r="B438" s="1523"/>
      <c r="C438" s="200"/>
      <c r="D438" s="1523"/>
      <c r="E438" s="1523"/>
      <c r="F438" s="1523"/>
      <c r="G438" s="1523"/>
      <c r="H438" s="1523"/>
      <c r="I438" s="1523"/>
      <c r="J438" s="1523"/>
      <c r="K438" s="1523"/>
      <c r="L438" s="1523"/>
      <c r="M438" s="1523"/>
      <c r="N438" s="143"/>
    </row>
    <row r="439" spans="1:14" x14ac:dyDescent="0.2">
      <c r="A439" s="929"/>
      <c r="B439" s="1523"/>
      <c r="C439" s="200"/>
      <c r="D439" s="1523"/>
      <c r="E439" s="1523"/>
      <c r="F439" s="1523"/>
      <c r="G439" s="1523"/>
      <c r="H439" s="1523"/>
      <c r="I439" s="1523"/>
      <c r="J439" s="1523"/>
      <c r="K439" s="1523"/>
      <c r="L439" s="1523"/>
      <c r="M439" s="1523"/>
      <c r="N439" s="143"/>
    </row>
    <row r="440" spans="1:14" x14ac:dyDescent="0.2">
      <c r="A440" s="929"/>
      <c r="B440" s="1523"/>
      <c r="C440" s="200"/>
      <c r="D440" s="1523"/>
      <c r="E440" s="1523"/>
      <c r="F440" s="1523"/>
      <c r="G440" s="1523"/>
      <c r="H440" s="1523"/>
      <c r="I440" s="1523"/>
      <c r="J440" s="1523"/>
      <c r="K440" s="1523"/>
      <c r="L440" s="1523"/>
      <c r="M440" s="1523"/>
      <c r="N440" s="143"/>
    </row>
    <row r="441" spans="1:14" x14ac:dyDescent="0.2">
      <c r="A441" s="929"/>
      <c r="B441" s="1523"/>
      <c r="C441" s="200"/>
      <c r="D441" s="1523"/>
      <c r="E441" s="1523"/>
      <c r="F441" s="1523"/>
      <c r="G441" s="1523"/>
      <c r="H441" s="1523"/>
      <c r="I441" s="1523"/>
      <c r="J441" s="1523"/>
      <c r="K441" s="1523"/>
      <c r="L441" s="1523"/>
      <c r="M441" s="1523"/>
      <c r="N441" s="143"/>
    </row>
    <row r="442" spans="1:14" x14ac:dyDescent="0.2">
      <c r="A442" s="929"/>
      <c r="B442" s="1523"/>
      <c r="C442" s="200"/>
      <c r="D442" s="1523"/>
      <c r="E442" s="1523"/>
      <c r="F442" s="1523"/>
      <c r="G442" s="1523"/>
      <c r="H442" s="1523"/>
      <c r="I442" s="1523"/>
      <c r="J442" s="1523"/>
      <c r="K442" s="1523"/>
      <c r="L442" s="1523"/>
      <c r="M442" s="1523"/>
      <c r="N442" s="143"/>
    </row>
    <row r="443" spans="1:14" x14ac:dyDescent="0.2">
      <c r="A443" s="929"/>
      <c r="B443" s="1523"/>
      <c r="C443" s="200"/>
      <c r="D443" s="1523"/>
      <c r="E443" s="1523"/>
      <c r="F443" s="1523"/>
      <c r="G443" s="1523"/>
      <c r="H443" s="1523"/>
      <c r="I443" s="1523"/>
      <c r="J443" s="1523"/>
      <c r="K443" s="1523"/>
      <c r="L443" s="1523"/>
      <c r="M443" s="1523"/>
      <c r="N443" s="143"/>
    </row>
    <row r="444" spans="1:14" x14ac:dyDescent="0.2">
      <c r="A444" s="929"/>
      <c r="B444" s="1523"/>
      <c r="C444" s="200"/>
      <c r="D444" s="1523"/>
      <c r="E444" s="1523"/>
      <c r="F444" s="1523"/>
      <c r="G444" s="1523"/>
      <c r="H444" s="1523"/>
      <c r="I444" s="1523"/>
      <c r="J444" s="1523"/>
      <c r="K444" s="1523"/>
      <c r="L444" s="1523"/>
      <c r="M444" s="1523"/>
      <c r="N444" s="143"/>
    </row>
    <row r="445" spans="1:14" x14ac:dyDescent="0.2">
      <c r="A445" s="929"/>
      <c r="B445" s="1523"/>
      <c r="C445" s="200"/>
      <c r="D445" s="1523"/>
      <c r="E445" s="1523"/>
      <c r="F445" s="1523"/>
      <c r="G445" s="1523"/>
      <c r="H445" s="1523"/>
      <c r="I445" s="1523"/>
      <c r="J445" s="1523"/>
      <c r="K445" s="1523"/>
      <c r="L445" s="1523"/>
      <c r="M445" s="1523"/>
      <c r="N445" s="143"/>
    </row>
    <row r="446" spans="1:14" x14ac:dyDescent="0.2">
      <c r="A446" s="929"/>
      <c r="B446" s="1523"/>
      <c r="C446" s="200"/>
      <c r="D446" s="1523"/>
      <c r="E446" s="1523"/>
      <c r="F446" s="1523"/>
      <c r="G446" s="1523"/>
      <c r="H446" s="1523"/>
      <c r="I446" s="1523"/>
      <c r="J446" s="1523"/>
      <c r="K446" s="1523"/>
      <c r="L446" s="1523"/>
      <c r="M446" s="1523"/>
      <c r="N446" s="143"/>
    </row>
    <row r="447" spans="1:14" ht="13.5" thickBot="1" x14ac:dyDescent="0.25">
      <c r="A447" s="930"/>
      <c r="B447" s="1008"/>
      <c r="C447" s="705"/>
      <c r="D447" s="1008"/>
      <c r="E447" s="1008"/>
      <c r="F447" s="1008"/>
      <c r="G447" s="1008"/>
      <c r="H447" s="1008"/>
      <c r="I447" s="1008"/>
      <c r="J447" s="1008"/>
      <c r="K447" s="1008"/>
      <c r="L447" s="1008"/>
      <c r="M447" s="1008"/>
      <c r="N447" s="933"/>
    </row>
    <row r="456" spans="1:14" ht="13.5" thickBot="1" x14ac:dyDescent="0.25"/>
    <row r="457" spans="1:14" x14ac:dyDescent="0.2">
      <c r="A457" s="1004"/>
      <c r="B457" s="1005"/>
      <c r="C457" s="1006"/>
      <c r="D457" s="1005"/>
      <c r="E457" s="1005"/>
      <c r="F457" s="1005"/>
      <c r="G457" s="1005"/>
      <c r="H457" s="1005"/>
      <c r="I457" s="1005"/>
      <c r="J457" s="1005"/>
      <c r="K457" s="1005"/>
      <c r="L457" s="1005"/>
      <c r="M457" s="1005"/>
      <c r="N457" s="1007"/>
    </row>
    <row r="458" spans="1:14" x14ac:dyDescent="0.2">
      <c r="A458" s="929"/>
      <c r="B458" s="1523"/>
      <c r="C458" s="200"/>
      <c r="D458" s="1523"/>
      <c r="E458" s="1523"/>
      <c r="F458" s="1523"/>
      <c r="G458" s="1523"/>
      <c r="H458" s="1523"/>
      <c r="I458" s="1523"/>
      <c r="J458" s="1523"/>
      <c r="K458" s="1523"/>
      <c r="L458" s="1523"/>
      <c r="M458" s="1523"/>
      <c r="N458" s="143"/>
    </row>
    <row r="459" spans="1:14" x14ac:dyDescent="0.2">
      <c r="A459" s="929"/>
      <c r="B459" s="1523"/>
      <c r="C459" s="200"/>
      <c r="D459" s="1523"/>
      <c r="E459" s="1523"/>
      <c r="F459" s="1523"/>
      <c r="G459" s="1523"/>
      <c r="H459" s="1523"/>
      <c r="I459" s="1523"/>
      <c r="J459" s="1523"/>
      <c r="K459" s="1523"/>
      <c r="L459" s="1523"/>
      <c r="M459" s="1523"/>
      <c r="N459" s="143"/>
    </row>
    <row r="460" spans="1:14" x14ac:dyDescent="0.2">
      <c r="A460" s="929"/>
      <c r="B460" s="1523"/>
      <c r="C460" s="200"/>
      <c r="D460" s="1523"/>
      <c r="E460" s="1523"/>
      <c r="F460" s="1523"/>
      <c r="G460" s="1523"/>
      <c r="H460" s="1523"/>
      <c r="I460" s="1523"/>
      <c r="J460" s="1523"/>
      <c r="K460" s="1523"/>
      <c r="L460" s="1523"/>
      <c r="M460" s="1523"/>
      <c r="N460" s="143"/>
    </row>
    <row r="461" spans="1:14" x14ac:dyDescent="0.2">
      <c r="A461" s="929"/>
      <c r="B461" s="1523"/>
      <c r="C461" s="200"/>
      <c r="D461" s="1523"/>
      <c r="E461" s="1523"/>
      <c r="F461" s="1523"/>
      <c r="G461" s="1523"/>
      <c r="H461" s="1523"/>
      <c r="I461" s="1523"/>
      <c r="J461" s="1523"/>
      <c r="K461" s="1523"/>
      <c r="L461" s="1523"/>
      <c r="M461" s="1523"/>
      <c r="N461" s="143"/>
    </row>
    <row r="462" spans="1:14" x14ac:dyDescent="0.2">
      <c r="A462" s="929"/>
      <c r="B462" s="1523"/>
      <c r="C462" s="200"/>
      <c r="D462" s="1523"/>
      <c r="E462" s="1523"/>
      <c r="F462" s="1523"/>
      <c r="G462" s="1523"/>
      <c r="H462" s="1523"/>
      <c r="I462" s="1523"/>
      <c r="J462" s="1523"/>
      <c r="K462" s="1523"/>
      <c r="L462" s="1523"/>
      <c r="M462" s="1523"/>
      <c r="N462" s="143"/>
    </row>
    <row r="463" spans="1:14" x14ac:dyDescent="0.2">
      <c r="A463" s="929"/>
      <c r="B463" s="1523"/>
      <c r="C463" s="200"/>
      <c r="D463" s="1523"/>
      <c r="E463" s="1523"/>
      <c r="F463" s="1523"/>
      <c r="G463" s="1523"/>
      <c r="H463" s="1523"/>
      <c r="I463" s="1523"/>
      <c r="J463" s="1523"/>
      <c r="K463" s="1523"/>
      <c r="L463" s="1523"/>
      <c r="M463" s="1523"/>
      <c r="N463" s="143"/>
    </row>
    <row r="464" spans="1:14" x14ac:dyDescent="0.2">
      <c r="A464" s="929"/>
      <c r="B464" s="1523"/>
      <c r="C464" s="200"/>
      <c r="D464" s="1523"/>
      <c r="E464" s="1523"/>
      <c r="F464" s="1523"/>
      <c r="G464" s="1523"/>
      <c r="H464" s="1523"/>
      <c r="I464" s="1523"/>
      <c r="J464" s="1523"/>
      <c r="K464" s="1523"/>
      <c r="L464" s="1523"/>
      <c r="M464" s="1523"/>
      <c r="N464" s="143"/>
    </row>
    <row r="465" spans="1:14" ht="13.5" thickBot="1" x14ac:dyDescent="0.25">
      <c r="A465" s="930"/>
      <c r="B465" s="1008"/>
      <c r="C465" s="705"/>
      <c r="D465" s="1008"/>
      <c r="E465" s="1008"/>
      <c r="F465" s="1008"/>
      <c r="G465" s="1008"/>
      <c r="H465" s="1008"/>
      <c r="I465" s="1008"/>
      <c r="J465" s="1008"/>
      <c r="K465" s="1008"/>
      <c r="L465" s="1008"/>
      <c r="M465" s="1008"/>
      <c r="N465" s="933"/>
    </row>
    <row r="506" spans="6:6" x14ac:dyDescent="0.2">
      <c r="F506" s="196">
        <v>415162</v>
      </c>
    </row>
    <row r="538" spans="1:14" ht="13.5" thickBot="1" x14ac:dyDescent="0.25"/>
    <row r="539" spans="1:14" x14ac:dyDescent="0.2">
      <c r="A539" s="1004"/>
      <c r="B539" s="1005"/>
      <c r="C539" s="1006"/>
      <c r="D539" s="1005"/>
      <c r="E539" s="1005"/>
      <c r="F539" s="1005"/>
      <c r="G539" s="1005"/>
      <c r="H539" s="1005"/>
      <c r="I539" s="1005"/>
      <c r="J539" s="1005"/>
      <c r="K539" s="1005"/>
      <c r="L539" s="1005"/>
      <c r="M539" s="1005"/>
      <c r="N539" s="1007"/>
    </row>
    <row r="540" spans="1:14" x14ac:dyDescent="0.2">
      <c r="A540" s="929"/>
      <c r="B540" s="1523"/>
      <c r="C540" s="200"/>
      <c r="D540" s="1523"/>
      <c r="E540" s="1523"/>
      <c r="F540" s="1523"/>
      <c r="G540" s="1523"/>
      <c r="H540" s="1523"/>
      <c r="I540" s="1523"/>
      <c r="J540" s="1523"/>
      <c r="K540" s="1523"/>
      <c r="L540" s="1523"/>
      <c r="M540" s="1523"/>
      <c r="N540" s="143"/>
    </row>
    <row r="541" spans="1:14" x14ac:dyDescent="0.2">
      <c r="A541" s="929"/>
      <c r="B541" s="1523"/>
      <c r="C541" s="200"/>
      <c r="D541" s="1523"/>
      <c r="E541" s="1523"/>
      <c r="F541" s="1523"/>
      <c r="G541" s="1523"/>
      <c r="H541" s="1523"/>
      <c r="I541" s="1523"/>
      <c r="J541" s="1523"/>
      <c r="K541" s="1523"/>
      <c r="L541" s="1523"/>
      <c r="M541" s="1523"/>
      <c r="N541" s="143"/>
    </row>
    <row r="542" spans="1:14" x14ac:dyDescent="0.2">
      <c r="A542" s="929"/>
      <c r="B542" s="1523"/>
      <c r="C542" s="200"/>
      <c r="D542" s="1523"/>
      <c r="E542" s="1523"/>
      <c r="F542" s="1523"/>
      <c r="G542" s="1523"/>
      <c r="H542" s="1523"/>
      <c r="I542" s="1523"/>
      <c r="J542" s="1523"/>
      <c r="K542" s="1523"/>
      <c r="L542" s="1523"/>
      <c r="M542" s="1523"/>
      <c r="N542" s="143"/>
    </row>
    <row r="543" spans="1:14" x14ac:dyDescent="0.2">
      <c r="A543" s="929"/>
      <c r="B543" s="1523"/>
      <c r="C543" s="200"/>
      <c r="D543" s="1523"/>
      <c r="E543" s="1523"/>
      <c r="F543" s="1523"/>
      <c r="G543" s="1523"/>
      <c r="H543" s="1523"/>
      <c r="I543" s="1523"/>
      <c r="J543" s="1523"/>
      <c r="K543" s="1523"/>
      <c r="L543" s="1523"/>
      <c r="M543" s="1523"/>
      <c r="N543" s="143"/>
    </row>
    <row r="544" spans="1:14" x14ac:dyDescent="0.2">
      <c r="A544" s="929"/>
      <c r="B544" s="1523"/>
      <c r="C544" s="200"/>
      <c r="D544" s="1523"/>
      <c r="E544" s="1523"/>
      <c r="F544" s="1523"/>
      <c r="G544" s="1523"/>
      <c r="H544" s="1523"/>
      <c r="I544" s="1523"/>
      <c r="J544" s="1523"/>
      <c r="K544" s="1523"/>
      <c r="L544" s="1523"/>
      <c r="M544" s="1523"/>
      <c r="N544" s="143"/>
    </row>
    <row r="545" spans="1:14" x14ac:dyDescent="0.2">
      <c r="A545" s="929"/>
      <c r="B545" s="1523"/>
      <c r="C545" s="200"/>
      <c r="D545" s="1523"/>
      <c r="E545" s="1523"/>
      <c r="F545" s="1523"/>
      <c r="G545" s="1523"/>
      <c r="H545" s="1523"/>
      <c r="I545" s="1523"/>
      <c r="J545" s="1523"/>
      <c r="K545" s="1523"/>
      <c r="L545" s="1523"/>
      <c r="M545" s="1523"/>
      <c r="N545" s="143"/>
    </row>
    <row r="546" spans="1:14" ht="13.5" thickBot="1" x14ac:dyDescent="0.25">
      <c r="A546" s="930"/>
      <c r="B546" s="1008"/>
      <c r="C546" s="705"/>
      <c r="D546" s="1008"/>
      <c r="E546" s="1008"/>
      <c r="F546" s="1008"/>
      <c r="G546" s="1008"/>
      <c r="H546" s="1008"/>
      <c r="I546" s="1008"/>
      <c r="J546" s="1008"/>
      <c r="K546" s="1008"/>
      <c r="L546" s="1008"/>
      <c r="M546" s="1008"/>
      <c r="N546" s="933"/>
    </row>
    <row r="547" spans="1:14" x14ac:dyDescent="0.2">
      <c r="A547" s="1004"/>
      <c r="B547" s="1005"/>
      <c r="C547" s="1006"/>
      <c r="D547" s="1005"/>
      <c r="E547" s="1005"/>
      <c r="F547" s="1005"/>
      <c r="G547" s="1005"/>
      <c r="H547" s="1005"/>
      <c r="I547" s="1005"/>
      <c r="J547" s="1005"/>
      <c r="K547" s="1005"/>
      <c r="L547" s="1005"/>
      <c r="M547" s="1005"/>
      <c r="N547" s="1007"/>
    </row>
    <row r="548" spans="1:14" x14ac:dyDescent="0.2">
      <c r="A548" s="929"/>
      <c r="B548" s="1523"/>
      <c r="C548" s="200"/>
      <c r="D548" s="1523"/>
      <c r="E548" s="1523"/>
      <c r="F548" s="1523"/>
      <c r="G548" s="1523"/>
      <c r="H548" s="1523"/>
      <c r="I548" s="1523"/>
      <c r="J548" s="1523"/>
      <c r="K548" s="1523"/>
      <c r="L548" s="1523"/>
      <c r="M548" s="1523"/>
      <c r="N548" s="143"/>
    </row>
    <row r="549" spans="1:14" x14ac:dyDescent="0.2">
      <c r="A549" s="929"/>
      <c r="B549" s="1523"/>
      <c r="C549" s="200"/>
      <c r="D549" s="1523"/>
      <c r="E549" s="1523"/>
      <c r="F549" s="1523"/>
      <c r="G549" s="1523"/>
      <c r="H549" s="1523"/>
      <c r="I549" s="1523"/>
      <c r="J549" s="1523"/>
      <c r="K549" s="1523"/>
      <c r="L549" s="1523"/>
      <c r="M549" s="1523"/>
      <c r="N549" s="143"/>
    </row>
    <row r="550" spans="1:14" ht="13.5" thickBot="1" x14ac:dyDescent="0.25">
      <c r="A550" s="930"/>
      <c r="B550" s="1008"/>
      <c r="C550" s="705"/>
      <c r="D550" s="1008"/>
      <c r="E550" s="1008"/>
      <c r="F550" s="1008"/>
      <c r="G550" s="1008"/>
      <c r="H550" s="1008"/>
      <c r="I550" s="1008"/>
      <c r="J550" s="1008"/>
      <c r="K550" s="1008"/>
      <c r="L550" s="1008"/>
      <c r="M550" s="1008"/>
      <c r="N550" s="933"/>
    </row>
  </sheetData>
  <mergeCells count="91">
    <mergeCell ref="A84:A94"/>
    <mergeCell ref="N84:N94"/>
    <mergeCell ref="C86:C89"/>
    <mergeCell ref="C91:C94"/>
    <mergeCell ref="A48:A59"/>
    <mergeCell ref="N48:N59"/>
    <mergeCell ref="C50:C54"/>
    <mergeCell ref="M1:N1"/>
    <mergeCell ref="A72:A83"/>
    <mergeCell ref="N72:N83"/>
    <mergeCell ref="C74:C78"/>
    <mergeCell ref="C80:C83"/>
    <mergeCell ref="C56:C59"/>
    <mergeCell ref="A60:A71"/>
    <mergeCell ref="N60:N71"/>
    <mergeCell ref="C62:C66"/>
    <mergeCell ref="C68:C71"/>
    <mergeCell ref="M6:M7"/>
    <mergeCell ref="K5:M5"/>
    <mergeCell ref="J5:J7"/>
    <mergeCell ref="A30:A36"/>
    <mergeCell ref="N30:N36"/>
    <mergeCell ref="C32:C33"/>
    <mergeCell ref="A179:A190"/>
    <mergeCell ref="N179:N190"/>
    <mergeCell ref="C181:C185"/>
    <mergeCell ref="C187:C190"/>
    <mergeCell ref="C103:C106"/>
    <mergeCell ref="A119:A130"/>
    <mergeCell ref="N119:N130"/>
    <mergeCell ref="C121:C125"/>
    <mergeCell ref="C127:C130"/>
    <mergeCell ref="A191:A202"/>
    <mergeCell ref="N191:N202"/>
    <mergeCell ref="C193:C197"/>
    <mergeCell ref="C199:C202"/>
    <mergeCell ref="A143:A154"/>
    <mergeCell ref="N143:N154"/>
    <mergeCell ref="C145:C149"/>
    <mergeCell ref="C151:C154"/>
    <mergeCell ref="A167:A178"/>
    <mergeCell ref="N167:N178"/>
    <mergeCell ref="C169:C173"/>
    <mergeCell ref="C175:C178"/>
    <mergeCell ref="A155:A166"/>
    <mergeCell ref="N155:N166"/>
    <mergeCell ref="C157:C161"/>
    <mergeCell ref="C163:C166"/>
    <mergeCell ref="C39:C42"/>
    <mergeCell ref="C44:C47"/>
    <mergeCell ref="A131:A142"/>
    <mergeCell ref="N131:N142"/>
    <mergeCell ref="C133:C137"/>
    <mergeCell ref="C139:C142"/>
    <mergeCell ref="A107:A118"/>
    <mergeCell ref="N107:N118"/>
    <mergeCell ref="C109:C113"/>
    <mergeCell ref="C115:C118"/>
    <mergeCell ref="A37:A47"/>
    <mergeCell ref="N37:N47"/>
    <mergeCell ref="A95:A106"/>
    <mergeCell ref="N95:N106"/>
    <mergeCell ref="C97:C101"/>
    <mergeCell ref="H6:H7"/>
    <mergeCell ref="C35:C36"/>
    <mergeCell ref="A12:A22"/>
    <mergeCell ref="N12:N22"/>
    <mergeCell ref="C13:C17"/>
    <mergeCell ref="C19:C22"/>
    <mergeCell ref="A23:A29"/>
    <mergeCell ref="D23:H23"/>
    <mergeCell ref="N23:N29"/>
    <mergeCell ref="C25:C26"/>
    <mergeCell ref="C28:C29"/>
    <mergeCell ref="A8:B8"/>
    <mergeCell ref="L44:L45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I4:M4"/>
    <mergeCell ref="N4:N7"/>
    <mergeCell ref="G5:H5"/>
    <mergeCell ref="G6:G7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30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4" manualBreakCount="4">
    <brk id="47" max="13" man="1"/>
    <brk id="83" max="18" man="1"/>
    <brk id="118" max="13" man="1"/>
    <brk id="154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F1807"/>
  <sheetViews>
    <sheetView showGridLines="0" view="pageBreakPreview" zoomScaleNormal="100" zoomScaleSheetLayoutView="85" workbookViewId="0">
      <pane xSplit="2" ySplit="7" topLeftCell="C8" activePane="bottomRight" state="frozen"/>
      <selection activeCell="A5" sqref="A5:N5"/>
      <selection pane="topRight" activeCell="A5" sqref="A5:N5"/>
      <selection pane="bottomLeft" activeCell="A5" sqref="A5:N5"/>
      <selection pane="bottomRight" activeCell="O4" sqref="O4"/>
    </sheetView>
  </sheetViews>
  <sheetFormatPr defaultRowHeight="12.75" x14ac:dyDescent="0.2"/>
  <cols>
    <col min="1" max="1" width="3.7109375" style="547" customWidth="1"/>
    <col min="2" max="2" width="53" style="421" customWidth="1"/>
    <col min="3" max="3" width="11" style="422" customWidth="1"/>
    <col min="4" max="4" width="12.7109375" style="421" customWidth="1"/>
    <col min="5" max="5" width="12.5703125" style="421" customWidth="1"/>
    <col min="6" max="6" width="13.140625" style="421" customWidth="1"/>
    <col min="7" max="7" width="10.85546875" style="421" customWidth="1"/>
    <col min="8" max="8" width="13" style="421" customWidth="1"/>
    <col min="9" max="9" width="11.28515625" style="423" customWidth="1"/>
    <col min="10" max="10" width="10.42578125" style="423" customWidth="1"/>
    <col min="11" max="11" width="11.28515625" style="423" customWidth="1"/>
    <col min="12" max="12" width="10.7109375" style="423" customWidth="1"/>
    <col min="13" max="13" width="13.85546875" style="423" customWidth="1"/>
    <col min="14" max="14" width="13.85546875" style="548" customWidth="1"/>
    <col min="15" max="23" width="9.140625" style="424"/>
    <col min="24" max="24" width="8.5703125" style="424" customWidth="1"/>
    <col min="25" max="36" width="9.140625" style="424"/>
    <col min="37" max="37" width="8.7109375" style="424" customWidth="1"/>
    <col min="38" max="47" width="9.140625" style="424"/>
    <col min="48" max="48" width="4.28515625" style="424" customWidth="1"/>
    <col min="49" max="58" width="9.140625" style="424"/>
    <col min="59" max="59" width="5" style="424" customWidth="1"/>
    <col min="60" max="69" width="9.140625" style="424"/>
    <col min="70" max="70" width="3.85546875" style="424" customWidth="1"/>
    <col min="71" max="82" width="9.140625" style="424"/>
    <col min="83" max="83" width="5.28515625" style="424" customWidth="1"/>
    <col min="84" max="95" width="9.140625" style="424"/>
    <col min="96" max="96" width="1.5703125" style="424" customWidth="1"/>
    <col min="97" max="109" width="9.140625" style="424"/>
    <col min="110" max="110" width="0.7109375" style="424" customWidth="1"/>
    <col min="111" max="122" width="9.140625" style="424"/>
    <col min="123" max="123" width="8.28515625" style="424" customWidth="1"/>
    <col min="124" max="132" width="9.140625" style="424"/>
    <col min="133" max="133" width="0.28515625" style="424" customWidth="1"/>
    <col min="134" max="159" width="9.140625" style="424"/>
    <col min="160" max="160" width="0.7109375" style="424" customWidth="1"/>
    <col min="161" max="16384" width="9.140625" style="424"/>
  </cols>
  <sheetData>
    <row r="1" spans="1:58" ht="20.25" customHeight="1" x14ac:dyDescent="0.3">
      <c r="A1" s="420"/>
      <c r="I1" s="5"/>
      <c r="J1" s="5"/>
      <c r="K1" s="5"/>
      <c r="L1" s="5"/>
      <c r="M1" s="3029" t="s">
        <v>351</v>
      </c>
      <c r="N1" s="3029"/>
    </row>
    <row r="2" spans="1:58" ht="5.25" customHeight="1" thickBot="1" x14ac:dyDescent="0.25">
      <c r="A2" s="420"/>
      <c r="B2" s="423"/>
      <c r="C2" s="425"/>
      <c r="D2" s="423"/>
      <c r="E2" s="423"/>
      <c r="F2" s="423"/>
      <c r="G2" s="423"/>
      <c r="H2" s="423"/>
      <c r="I2" s="426"/>
      <c r="N2" s="387"/>
    </row>
    <row r="3" spans="1:58" s="427" customFormat="1" ht="23.25" thickBot="1" x14ac:dyDescent="0.25">
      <c r="A3" s="3268" t="s">
        <v>249</v>
      </c>
      <c r="B3" s="3269"/>
      <c r="C3" s="3269"/>
      <c r="D3" s="3269"/>
      <c r="E3" s="3269"/>
      <c r="F3" s="3269"/>
      <c r="G3" s="3269"/>
      <c r="H3" s="3269"/>
      <c r="I3" s="3270"/>
      <c r="J3" s="3270"/>
      <c r="K3" s="3270"/>
      <c r="L3" s="3270"/>
      <c r="M3" s="3270"/>
      <c r="N3" s="3271"/>
    </row>
    <row r="4" spans="1:58" s="132" customFormat="1" ht="45.75" customHeight="1" x14ac:dyDescent="0.2">
      <c r="A4" s="3272" t="s">
        <v>25</v>
      </c>
      <c r="B4" s="3275" t="s">
        <v>26</v>
      </c>
      <c r="C4" s="3278" t="s">
        <v>27</v>
      </c>
      <c r="D4" s="3026" t="s">
        <v>338</v>
      </c>
      <c r="E4" s="3027"/>
      <c r="F4" s="3027"/>
      <c r="G4" s="3027"/>
      <c r="H4" s="3028"/>
      <c r="I4" s="3026" t="s">
        <v>316</v>
      </c>
      <c r="J4" s="3027"/>
      <c r="K4" s="3027"/>
      <c r="L4" s="3027"/>
      <c r="M4" s="3028"/>
      <c r="N4" s="3060" t="s">
        <v>28</v>
      </c>
    </row>
    <row r="5" spans="1:58" ht="26.25" customHeight="1" x14ac:dyDescent="0.2">
      <c r="A5" s="3273"/>
      <c r="B5" s="3276"/>
      <c r="C5" s="3279"/>
      <c r="D5" s="3011" t="s">
        <v>0</v>
      </c>
      <c r="E5" s="3014" t="s">
        <v>188</v>
      </c>
      <c r="F5" s="3017" t="s">
        <v>332</v>
      </c>
      <c r="G5" s="3020" t="s">
        <v>292</v>
      </c>
      <c r="H5" s="3021"/>
      <c r="I5" s="3002" t="s">
        <v>302</v>
      </c>
      <c r="J5" s="3064" t="s">
        <v>339</v>
      </c>
      <c r="K5" s="2999" t="s">
        <v>321</v>
      </c>
      <c r="L5" s="3000"/>
      <c r="M5" s="3001"/>
      <c r="N5" s="3061"/>
    </row>
    <row r="6" spans="1:58" ht="39" customHeight="1" x14ac:dyDescent="0.2">
      <c r="A6" s="3273"/>
      <c r="B6" s="3276"/>
      <c r="C6" s="3279"/>
      <c r="D6" s="3012"/>
      <c r="E6" s="3015"/>
      <c r="F6" s="3018"/>
      <c r="G6" s="3022" t="s">
        <v>301</v>
      </c>
      <c r="H6" s="3024" t="s">
        <v>251</v>
      </c>
      <c r="I6" s="3003"/>
      <c r="J6" s="3065"/>
      <c r="K6" s="3007" t="s">
        <v>304</v>
      </c>
      <c r="L6" s="3084" t="s">
        <v>340</v>
      </c>
      <c r="M6" s="3086" t="s">
        <v>341</v>
      </c>
      <c r="N6" s="3062"/>
    </row>
    <row r="7" spans="1:58" ht="72" customHeight="1" thickBot="1" x14ac:dyDescent="0.25">
      <c r="A7" s="3274"/>
      <c r="B7" s="3277"/>
      <c r="C7" s="3280"/>
      <c r="D7" s="3013"/>
      <c r="E7" s="3016"/>
      <c r="F7" s="3019"/>
      <c r="G7" s="3023"/>
      <c r="H7" s="3025"/>
      <c r="I7" s="3004"/>
      <c r="J7" s="3066"/>
      <c r="K7" s="3008"/>
      <c r="L7" s="3085"/>
      <c r="M7" s="3087"/>
      <c r="N7" s="3063"/>
    </row>
    <row r="8" spans="1:58" s="428" customFormat="1" ht="12" customHeight="1" thickBot="1" x14ac:dyDescent="0.25">
      <c r="A8" s="3090">
        <v>1</v>
      </c>
      <c r="B8" s="3091"/>
      <c r="C8" s="135">
        <v>2</v>
      </c>
      <c r="D8" s="202">
        <v>3</v>
      </c>
      <c r="E8" s="134">
        <v>4</v>
      </c>
      <c r="F8" s="134">
        <v>5</v>
      </c>
      <c r="G8" s="134">
        <v>6</v>
      </c>
      <c r="H8" s="135">
        <v>7</v>
      </c>
      <c r="I8" s="202">
        <v>8</v>
      </c>
      <c r="J8" s="134">
        <v>9</v>
      </c>
      <c r="K8" s="134">
        <v>10</v>
      </c>
      <c r="L8" s="389">
        <v>11</v>
      </c>
      <c r="M8" s="135">
        <v>12</v>
      </c>
      <c r="N8" s="898">
        <v>13</v>
      </c>
    </row>
    <row r="9" spans="1:58" s="145" customFormat="1" ht="18" customHeight="1" thickBot="1" x14ac:dyDescent="0.25">
      <c r="A9" s="138"/>
      <c r="B9" s="139" t="s">
        <v>189</v>
      </c>
      <c r="C9" s="204"/>
      <c r="D9" s="20">
        <f t="shared" ref="D9" si="0">D10+D11</f>
        <v>102562119.0325</v>
      </c>
      <c r="E9" s="19">
        <f t="shared" ref="E9:I9" si="1">E10+E11</f>
        <v>33417665.032499999</v>
      </c>
      <c r="F9" s="888">
        <f t="shared" si="1"/>
        <v>16713221</v>
      </c>
      <c r="G9" s="19">
        <f t="shared" si="1"/>
        <v>28296972</v>
      </c>
      <c r="H9" s="22">
        <f t="shared" si="1"/>
        <v>19444216</v>
      </c>
      <c r="I9" s="20">
        <f t="shared" si="1"/>
        <v>57311741.032499999</v>
      </c>
      <c r="J9" s="94">
        <f>+I9/D9*100</f>
        <v>55.880028194755795</v>
      </c>
      <c r="K9" s="21">
        <f>K10+K11</f>
        <v>7180855</v>
      </c>
      <c r="L9" s="94">
        <f>+K9/G9*100</f>
        <v>25.376761160169366</v>
      </c>
      <c r="M9" s="1083">
        <f t="shared" ref="M9:M26" si="2">+K9-G9*0.5</f>
        <v>-6967631</v>
      </c>
      <c r="N9" s="429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</row>
    <row r="10" spans="1:58" s="212" customFormat="1" ht="14.25" customHeight="1" thickTop="1" x14ac:dyDescent="0.2">
      <c r="A10" s="206"/>
      <c r="B10" s="207" t="s">
        <v>190</v>
      </c>
      <c r="C10" s="208"/>
      <c r="D10" s="28">
        <f>+D64+D69+D73</f>
        <v>16060500</v>
      </c>
      <c r="E10" s="889">
        <f>E64+E69+E73</f>
        <v>0</v>
      </c>
      <c r="F10" s="889">
        <f>F64+F69+F73</f>
        <v>0</v>
      </c>
      <c r="G10" s="889">
        <f>G64+G69+G73</f>
        <v>1339284</v>
      </c>
      <c r="H10" s="889">
        <f>H64+H69+H73</f>
        <v>14721216</v>
      </c>
      <c r="I10" s="31">
        <f t="shared" ref="I10:K10" si="3">I61+I66+I71</f>
        <v>0</v>
      </c>
      <c r="J10" s="95">
        <f>+I10/D10*100</f>
        <v>0</v>
      </c>
      <c r="K10" s="29">
        <f t="shared" si="3"/>
        <v>0</v>
      </c>
      <c r="L10" s="95">
        <f>+K10/G10*100</f>
        <v>0</v>
      </c>
      <c r="M10" s="1084">
        <f t="shared" si="2"/>
        <v>-669642</v>
      </c>
      <c r="N10" s="4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</row>
    <row r="11" spans="1:58" s="145" customFormat="1" ht="14.25" customHeight="1" thickBot="1" x14ac:dyDescent="0.25">
      <c r="A11" s="146"/>
      <c r="B11" s="213" t="s">
        <v>191</v>
      </c>
      <c r="C11" s="214"/>
      <c r="D11" s="431">
        <f>D31+D41+D51+D52+D53</f>
        <v>86501619.032499999</v>
      </c>
      <c r="E11" s="432">
        <f t="shared" ref="E11:K11" si="4">E31+E41+E51+E52+E53</f>
        <v>33417665.032499999</v>
      </c>
      <c r="F11" s="890">
        <f t="shared" si="4"/>
        <v>16713221</v>
      </c>
      <c r="G11" s="432">
        <f t="shared" si="4"/>
        <v>26957688</v>
      </c>
      <c r="H11" s="433">
        <f t="shared" si="4"/>
        <v>4723000</v>
      </c>
      <c r="I11" s="431">
        <f t="shared" si="4"/>
        <v>57311741.032499999</v>
      </c>
      <c r="J11" s="99">
        <f>+I11/D11*100</f>
        <v>66.255107908404682</v>
      </c>
      <c r="K11" s="158">
        <f t="shared" si="4"/>
        <v>7180855</v>
      </c>
      <c r="L11" s="99">
        <f t="shared" ref="L11:L26" si="5">+K11/G11*100</f>
        <v>26.637503186475044</v>
      </c>
      <c r="M11" s="1085">
        <f t="shared" si="2"/>
        <v>-6297989</v>
      </c>
      <c r="N11" s="429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</row>
    <row r="12" spans="1:58" s="163" customFormat="1" ht="14.25" customHeight="1" x14ac:dyDescent="0.2">
      <c r="A12" s="3324"/>
      <c r="B12" s="434" t="s">
        <v>3</v>
      </c>
      <c r="C12" s="435"/>
      <c r="D12" s="436">
        <f t="shared" ref="D12:I12" si="6">SUM(D13,D19)</f>
        <v>214840148.0325</v>
      </c>
      <c r="E12" s="437">
        <f t="shared" si="6"/>
        <v>119150887.0325</v>
      </c>
      <c r="F12" s="891">
        <f t="shared" si="6"/>
        <v>30364343</v>
      </c>
      <c r="G12" s="438">
        <f t="shared" si="6"/>
        <v>39480164</v>
      </c>
      <c r="H12" s="439">
        <f t="shared" si="6"/>
        <v>19685216</v>
      </c>
      <c r="I12" s="440">
        <f t="shared" si="6"/>
        <v>161785678.0325</v>
      </c>
      <c r="J12" s="220">
        <f t="shared" ref="J12:J26" si="7">+I12/D12*100</f>
        <v>75.305141759642538</v>
      </c>
      <c r="K12" s="441">
        <f>SUM(K13,K19)</f>
        <v>13188448</v>
      </c>
      <c r="L12" s="220">
        <f t="shared" si="5"/>
        <v>33.405251305440373</v>
      </c>
      <c r="M12" s="1086">
        <f t="shared" si="2"/>
        <v>-6551634</v>
      </c>
      <c r="N12" s="3327"/>
    </row>
    <row r="13" spans="1:58" s="448" customFormat="1" ht="14.25" customHeight="1" x14ac:dyDescent="0.2">
      <c r="A13" s="3325"/>
      <c r="B13" s="442" t="s">
        <v>4</v>
      </c>
      <c r="C13" s="3330"/>
      <c r="D13" s="443">
        <f>SUM(D14:D18)</f>
        <v>155460194.0325</v>
      </c>
      <c r="E13" s="444">
        <f t="shared" ref="E13:I13" si="8">SUM(E14:E18)</f>
        <v>72559094.032499999</v>
      </c>
      <c r="F13" s="444">
        <f t="shared" si="8"/>
        <v>19629478</v>
      </c>
      <c r="G13" s="444">
        <f t="shared" si="8"/>
        <v>37426868</v>
      </c>
      <c r="H13" s="445">
        <f t="shared" si="8"/>
        <v>19685216</v>
      </c>
      <c r="I13" s="446">
        <f t="shared" si="8"/>
        <v>102405724.0325</v>
      </c>
      <c r="J13" s="224">
        <f t="shared" si="7"/>
        <v>65.872633615195014</v>
      </c>
      <c r="K13" s="447">
        <f>SUM(K14:K18)</f>
        <v>11135152</v>
      </c>
      <c r="L13" s="224">
        <f t="shared" si="5"/>
        <v>29.751760152626183</v>
      </c>
      <c r="M13" s="1087">
        <f t="shared" si="2"/>
        <v>-7578282</v>
      </c>
      <c r="N13" s="3328"/>
    </row>
    <row r="14" spans="1:58" s="448" customFormat="1" ht="14.25" customHeight="1" x14ac:dyDescent="0.2">
      <c r="A14" s="3325"/>
      <c r="B14" s="449" t="s">
        <v>325</v>
      </c>
      <c r="C14" s="3331"/>
      <c r="D14" s="450">
        <f>+D64+D69+D73</f>
        <v>16060500</v>
      </c>
      <c r="E14" s="451">
        <f t="shared" ref="E14:I14" si="9">+E64+E69+E73</f>
        <v>0</v>
      </c>
      <c r="F14" s="451">
        <f t="shared" si="9"/>
        <v>0</v>
      </c>
      <c r="G14" s="451">
        <f t="shared" si="9"/>
        <v>1339284</v>
      </c>
      <c r="H14" s="452">
        <f t="shared" si="9"/>
        <v>14721216</v>
      </c>
      <c r="I14" s="453">
        <f t="shared" si="9"/>
        <v>0</v>
      </c>
      <c r="J14" s="228">
        <f t="shared" si="7"/>
        <v>0</v>
      </c>
      <c r="K14" s="454">
        <f>+K64+K69+K73</f>
        <v>0</v>
      </c>
      <c r="L14" s="228">
        <f t="shared" si="5"/>
        <v>0</v>
      </c>
      <c r="M14" s="1088">
        <f t="shared" si="2"/>
        <v>-669642</v>
      </c>
      <c r="N14" s="3328"/>
    </row>
    <row r="15" spans="1:58" s="163" customFormat="1" ht="14.25" customHeight="1" x14ac:dyDescent="0.2">
      <c r="A15" s="3325"/>
      <c r="B15" s="455" t="s">
        <v>7</v>
      </c>
      <c r="C15" s="3332"/>
      <c r="D15" s="456">
        <f>SUM(D30,D40,D50)</f>
        <v>52898075</v>
      </c>
      <c r="E15" s="457">
        <f t="shared" ref="E15:K15" si="10">SUM(E30,E40,E50)</f>
        <v>39141429</v>
      </c>
      <c r="F15" s="457">
        <f>SUM(F30,F40,F50,F63,F67)</f>
        <v>2916257</v>
      </c>
      <c r="G15" s="457">
        <f t="shared" si="10"/>
        <v>9129896</v>
      </c>
      <c r="H15" s="458">
        <f t="shared" si="10"/>
        <v>241000</v>
      </c>
      <c r="I15" s="459">
        <f t="shared" si="10"/>
        <v>45093983</v>
      </c>
      <c r="J15" s="228">
        <f t="shared" si="7"/>
        <v>85.24692628228911</v>
      </c>
      <c r="K15" s="460">
        <f t="shared" si="10"/>
        <v>3954297</v>
      </c>
      <c r="L15" s="228">
        <f t="shared" si="5"/>
        <v>43.311522935201012</v>
      </c>
      <c r="M15" s="1088">
        <f t="shared" si="2"/>
        <v>-610651</v>
      </c>
      <c r="N15" s="3328"/>
    </row>
    <row r="16" spans="1:58" s="163" customFormat="1" ht="12" customHeight="1" x14ac:dyDescent="0.2">
      <c r="A16" s="3325"/>
      <c r="B16" s="461" t="s">
        <v>6</v>
      </c>
      <c r="C16" s="3332"/>
      <c r="D16" s="462">
        <f>SUM(D31,D41,D51)</f>
        <v>43614619.032499999</v>
      </c>
      <c r="E16" s="463">
        <f t="shared" ref="E16:I16" si="11">SUM(E31,E41,E51)</f>
        <v>23207665.032499999</v>
      </c>
      <c r="F16" s="463">
        <f t="shared" si="11"/>
        <v>12803266</v>
      </c>
      <c r="G16" s="463">
        <f t="shared" si="11"/>
        <v>7362688</v>
      </c>
      <c r="H16" s="464">
        <f t="shared" si="11"/>
        <v>241000</v>
      </c>
      <c r="I16" s="465">
        <f t="shared" si="11"/>
        <v>43191786.032499999</v>
      </c>
      <c r="J16" s="466">
        <f t="shared" si="7"/>
        <v>99.03052460532804</v>
      </c>
      <c r="K16" s="467">
        <f>SUM(K31,K41,K51)</f>
        <v>7180855</v>
      </c>
      <c r="L16" s="466">
        <f t="shared" si="5"/>
        <v>97.530344895777205</v>
      </c>
      <c r="M16" s="1089">
        <f t="shared" si="2"/>
        <v>3499511</v>
      </c>
      <c r="N16" s="3328"/>
    </row>
    <row r="17" spans="1:14" s="163" customFormat="1" ht="14.25" customHeight="1" x14ac:dyDescent="0.2">
      <c r="A17" s="3325"/>
      <c r="B17" s="468" t="s">
        <v>8</v>
      </c>
      <c r="C17" s="3332"/>
      <c r="D17" s="462">
        <f t="shared" ref="D17:H18" si="12">D52</f>
        <v>34687000</v>
      </c>
      <c r="E17" s="469">
        <f t="shared" si="12"/>
        <v>8065000</v>
      </c>
      <c r="F17" s="469">
        <f t="shared" si="12"/>
        <v>1854955</v>
      </c>
      <c r="G17" s="469">
        <f t="shared" si="12"/>
        <v>17595000</v>
      </c>
      <c r="H17" s="464">
        <f t="shared" si="12"/>
        <v>2482000</v>
      </c>
      <c r="I17" s="470">
        <f>I52</f>
        <v>9919955</v>
      </c>
      <c r="J17" s="471">
        <f t="shared" si="7"/>
        <v>28.598480698820882</v>
      </c>
      <c r="K17" s="472">
        <f>K52</f>
        <v>0</v>
      </c>
      <c r="L17" s="471">
        <f t="shared" si="5"/>
        <v>0</v>
      </c>
      <c r="M17" s="1089">
        <f t="shared" si="2"/>
        <v>-8797500</v>
      </c>
      <c r="N17" s="3328"/>
    </row>
    <row r="18" spans="1:14" s="163" customFormat="1" ht="11.25" customHeight="1" x14ac:dyDescent="0.2">
      <c r="A18" s="3325"/>
      <c r="B18" s="468" t="s">
        <v>142</v>
      </c>
      <c r="C18" s="3332"/>
      <c r="D18" s="462">
        <f t="shared" si="12"/>
        <v>8200000</v>
      </c>
      <c r="E18" s="469">
        <f t="shared" si="12"/>
        <v>2145000</v>
      </c>
      <c r="F18" s="469">
        <f t="shared" si="12"/>
        <v>2055000</v>
      </c>
      <c r="G18" s="457">
        <f t="shared" si="12"/>
        <v>2000000</v>
      </c>
      <c r="H18" s="464">
        <f t="shared" si="12"/>
        <v>2000000</v>
      </c>
      <c r="I18" s="470">
        <f>I53</f>
        <v>4200000</v>
      </c>
      <c r="J18" s="471">
        <f t="shared" si="7"/>
        <v>51.219512195121951</v>
      </c>
      <c r="K18" s="460">
        <f>K53</f>
        <v>0</v>
      </c>
      <c r="L18" s="471">
        <f t="shared" si="5"/>
        <v>0</v>
      </c>
      <c r="M18" s="1089">
        <f t="shared" si="2"/>
        <v>-1000000</v>
      </c>
      <c r="N18" s="3328"/>
    </row>
    <row r="19" spans="1:14" s="448" customFormat="1" ht="12.75" customHeight="1" x14ac:dyDescent="0.2">
      <c r="A19" s="3325"/>
      <c r="B19" s="442" t="s">
        <v>13</v>
      </c>
      <c r="C19" s="3332"/>
      <c r="D19" s="473">
        <f t="shared" ref="D19:K19" si="13">SUM(D20:D20)</f>
        <v>59379954</v>
      </c>
      <c r="E19" s="444">
        <f t="shared" si="13"/>
        <v>46591793</v>
      </c>
      <c r="F19" s="444">
        <f t="shared" si="13"/>
        <v>10734865</v>
      </c>
      <c r="G19" s="444">
        <f t="shared" si="13"/>
        <v>2053296</v>
      </c>
      <c r="H19" s="474">
        <f t="shared" si="13"/>
        <v>0</v>
      </c>
      <c r="I19" s="446">
        <f t="shared" si="13"/>
        <v>59379954</v>
      </c>
      <c r="J19" s="475">
        <f t="shared" si="7"/>
        <v>100</v>
      </c>
      <c r="K19" s="447">
        <f t="shared" si="13"/>
        <v>2053296</v>
      </c>
      <c r="L19" s="475">
        <f t="shared" si="5"/>
        <v>100</v>
      </c>
      <c r="M19" s="1087">
        <f t="shared" si="2"/>
        <v>1026648</v>
      </c>
      <c r="N19" s="3328"/>
    </row>
    <row r="20" spans="1:14" s="163" customFormat="1" ht="12" customHeight="1" x14ac:dyDescent="0.2">
      <c r="A20" s="3325"/>
      <c r="B20" s="476" t="s">
        <v>16</v>
      </c>
      <c r="C20" s="3333"/>
      <c r="D20" s="462">
        <f>SUM(D33,D43,D55)</f>
        <v>59379954</v>
      </c>
      <c r="E20" s="463">
        <f t="shared" ref="E20:H20" si="14">SUM(E33,E43,E55)</f>
        <v>46591793</v>
      </c>
      <c r="F20" s="463">
        <f t="shared" si="14"/>
        <v>10734865</v>
      </c>
      <c r="G20" s="463">
        <f t="shared" si="14"/>
        <v>2053296</v>
      </c>
      <c r="H20" s="464">
        <f t="shared" si="14"/>
        <v>0</v>
      </c>
      <c r="I20" s="465">
        <f>SUM(I33,I43,I55)</f>
        <v>59379954</v>
      </c>
      <c r="J20" s="471">
        <f t="shared" si="7"/>
        <v>100</v>
      </c>
      <c r="K20" s="467">
        <f>SUM(K33,K43,K55)</f>
        <v>2053296</v>
      </c>
      <c r="L20" s="471">
        <f t="shared" si="5"/>
        <v>100</v>
      </c>
      <c r="M20" s="1089">
        <f t="shared" si="2"/>
        <v>1026648</v>
      </c>
      <c r="N20" s="3328"/>
    </row>
    <row r="21" spans="1:14" s="163" customFormat="1" ht="12.75" customHeight="1" x14ac:dyDescent="0.2">
      <c r="A21" s="3325"/>
      <c r="B21" s="236" t="s">
        <v>17</v>
      </c>
      <c r="C21" s="477"/>
      <c r="D21" s="478">
        <f t="shared" ref="D21:I21" si="15">+D22+D25</f>
        <v>102266954</v>
      </c>
      <c r="E21" s="479">
        <f>+E22+E25</f>
        <v>56801793</v>
      </c>
      <c r="F21" s="479">
        <f>+F22+F25</f>
        <v>14644820</v>
      </c>
      <c r="G21" s="480">
        <f>+G22+G25</f>
        <v>21648296</v>
      </c>
      <c r="H21" s="481">
        <f>+H22+H25</f>
        <v>4482000</v>
      </c>
      <c r="I21" s="482">
        <f t="shared" si="15"/>
        <v>73499909</v>
      </c>
      <c r="J21" s="483">
        <f t="shared" si="7"/>
        <v>71.870634770250419</v>
      </c>
      <c r="K21" s="484">
        <f>+K22+K25</f>
        <v>2053296</v>
      </c>
      <c r="L21" s="483">
        <f t="shared" si="5"/>
        <v>9.484792706086429</v>
      </c>
      <c r="M21" s="1090">
        <f t="shared" si="2"/>
        <v>-8770852</v>
      </c>
      <c r="N21" s="3328"/>
    </row>
    <row r="22" spans="1:14" s="448" customFormat="1" ht="12.75" customHeight="1" x14ac:dyDescent="0.2">
      <c r="A22" s="3325"/>
      <c r="B22" s="485" t="s">
        <v>4</v>
      </c>
      <c r="C22" s="3334"/>
      <c r="D22" s="486">
        <f t="shared" ref="D22:I22" si="16">+D23+D24</f>
        <v>42887000</v>
      </c>
      <c r="E22" s="487">
        <f>+E23+E24</f>
        <v>10210000</v>
      </c>
      <c r="F22" s="487">
        <f>+F23+F24</f>
        <v>3909955</v>
      </c>
      <c r="G22" s="487">
        <f>+G23+G24</f>
        <v>19595000</v>
      </c>
      <c r="H22" s="488">
        <f>+H23+H24</f>
        <v>4482000</v>
      </c>
      <c r="I22" s="489">
        <f t="shared" si="16"/>
        <v>14119955</v>
      </c>
      <c r="J22" s="490">
        <f t="shared" si="7"/>
        <v>32.923624874670651</v>
      </c>
      <c r="K22" s="491">
        <f>+K23+K24</f>
        <v>0</v>
      </c>
      <c r="L22" s="490">
        <f t="shared" si="5"/>
        <v>0</v>
      </c>
      <c r="M22" s="1091">
        <f t="shared" si="2"/>
        <v>-9797500</v>
      </c>
      <c r="N22" s="3328"/>
    </row>
    <row r="23" spans="1:14" s="163" customFormat="1" ht="12" customHeight="1" x14ac:dyDescent="0.2">
      <c r="A23" s="3325"/>
      <c r="B23" s="492" t="s">
        <v>8</v>
      </c>
      <c r="C23" s="3335"/>
      <c r="D23" s="493">
        <f>D58</f>
        <v>34687000</v>
      </c>
      <c r="E23" s="494">
        <f t="shared" ref="E23:H24" si="17">E58</f>
        <v>8065000</v>
      </c>
      <c r="F23" s="494">
        <f t="shared" si="17"/>
        <v>1854955</v>
      </c>
      <c r="G23" s="495">
        <f t="shared" si="17"/>
        <v>17595000</v>
      </c>
      <c r="H23" s="496">
        <f t="shared" si="17"/>
        <v>2482000</v>
      </c>
      <c r="I23" s="497">
        <f>I58</f>
        <v>9919955</v>
      </c>
      <c r="J23" s="498">
        <f t="shared" si="7"/>
        <v>28.598480698820882</v>
      </c>
      <c r="K23" s="499">
        <f>K58</f>
        <v>0</v>
      </c>
      <c r="L23" s="498">
        <f t="shared" si="5"/>
        <v>0</v>
      </c>
      <c r="M23" s="1092">
        <f t="shared" si="2"/>
        <v>-8797500</v>
      </c>
      <c r="N23" s="3328"/>
    </row>
    <row r="24" spans="1:14" s="163" customFormat="1" x14ac:dyDescent="0.2">
      <c r="A24" s="3325"/>
      <c r="B24" s="500" t="s">
        <v>142</v>
      </c>
      <c r="C24" s="3335"/>
      <c r="D24" s="501">
        <f>D59</f>
        <v>8200000</v>
      </c>
      <c r="E24" s="494">
        <f t="shared" si="17"/>
        <v>2145000</v>
      </c>
      <c r="F24" s="494">
        <f t="shared" si="17"/>
        <v>2055000</v>
      </c>
      <c r="G24" s="502">
        <f t="shared" si="17"/>
        <v>2000000</v>
      </c>
      <c r="H24" s="503">
        <f t="shared" si="17"/>
        <v>2000000</v>
      </c>
      <c r="I24" s="504">
        <f>I59</f>
        <v>4200000</v>
      </c>
      <c r="J24" s="498">
        <f t="shared" si="7"/>
        <v>51.219512195121951</v>
      </c>
      <c r="K24" s="505">
        <f>K59</f>
        <v>0</v>
      </c>
      <c r="L24" s="498">
        <f t="shared" si="5"/>
        <v>0</v>
      </c>
      <c r="M24" s="1092">
        <f t="shared" si="2"/>
        <v>-1000000</v>
      </c>
      <c r="N24" s="3328"/>
    </row>
    <row r="25" spans="1:14" s="163" customFormat="1" x14ac:dyDescent="0.2">
      <c r="A25" s="3325"/>
      <c r="B25" s="485" t="s">
        <v>13</v>
      </c>
      <c r="C25" s="3335"/>
      <c r="D25" s="506">
        <f t="shared" ref="D25:K25" si="18">+D26</f>
        <v>59379954</v>
      </c>
      <c r="E25" s="507">
        <f t="shared" si="18"/>
        <v>46591793</v>
      </c>
      <c r="F25" s="507">
        <f t="shared" si="18"/>
        <v>10734865</v>
      </c>
      <c r="G25" s="507">
        <f t="shared" si="18"/>
        <v>2053296</v>
      </c>
      <c r="H25" s="508">
        <f t="shared" si="18"/>
        <v>0</v>
      </c>
      <c r="I25" s="509">
        <f t="shared" si="18"/>
        <v>59379954</v>
      </c>
      <c r="J25" s="510">
        <f t="shared" si="7"/>
        <v>100</v>
      </c>
      <c r="K25" s="511">
        <f t="shared" si="18"/>
        <v>2053296</v>
      </c>
      <c r="L25" s="510">
        <f t="shared" si="5"/>
        <v>100</v>
      </c>
      <c r="M25" s="1093">
        <f t="shared" si="2"/>
        <v>1026648</v>
      </c>
      <c r="N25" s="3328"/>
    </row>
    <row r="26" spans="1:14" s="163" customFormat="1" ht="14.25" customHeight="1" thickBot="1" x14ac:dyDescent="0.25">
      <c r="A26" s="3326"/>
      <c r="B26" s="512" t="s">
        <v>16</v>
      </c>
      <c r="C26" s="3336"/>
      <c r="D26" s="513">
        <f>D36+D46</f>
        <v>59379954</v>
      </c>
      <c r="E26" s="514">
        <f t="shared" ref="E26:H26" si="19">E36+E46</f>
        <v>46591793</v>
      </c>
      <c r="F26" s="514">
        <f t="shared" si="19"/>
        <v>10734865</v>
      </c>
      <c r="G26" s="514">
        <f t="shared" si="19"/>
        <v>2053296</v>
      </c>
      <c r="H26" s="515">
        <f t="shared" si="19"/>
        <v>0</v>
      </c>
      <c r="I26" s="516">
        <f>I36+I46</f>
        <v>59379954</v>
      </c>
      <c r="J26" s="517">
        <f t="shared" si="7"/>
        <v>100</v>
      </c>
      <c r="K26" s="518">
        <f>K36+K46</f>
        <v>2053296</v>
      </c>
      <c r="L26" s="517">
        <f t="shared" si="5"/>
        <v>100</v>
      </c>
      <c r="M26" s="1094">
        <f t="shared" si="2"/>
        <v>1026648</v>
      </c>
      <c r="N26" s="3329"/>
    </row>
    <row r="27" spans="1:14" s="519" customFormat="1" ht="39" customHeight="1" thickBot="1" x14ac:dyDescent="0.25">
      <c r="A27" s="3337" t="s">
        <v>33</v>
      </c>
      <c r="B27" s="1985" t="s">
        <v>143</v>
      </c>
      <c r="C27" s="1986" t="s">
        <v>193</v>
      </c>
      <c r="D27" s="1143"/>
      <c r="E27" s="1488"/>
      <c r="F27" s="1488"/>
      <c r="G27" s="1488"/>
      <c r="H27" s="1135"/>
      <c r="I27" s="1143"/>
      <c r="J27" s="1868"/>
      <c r="K27" s="1488"/>
      <c r="L27" s="1868"/>
      <c r="M27" s="1987"/>
      <c r="N27" s="3339" t="s">
        <v>144</v>
      </c>
    </row>
    <row r="28" spans="1:14" s="520" customFormat="1" ht="12.75" customHeight="1" thickBot="1" x14ac:dyDescent="0.25">
      <c r="A28" s="3337"/>
      <c r="B28" s="312" t="s">
        <v>3</v>
      </c>
      <c r="C28" s="1988"/>
      <c r="D28" s="1989">
        <f t="shared" ref="D28" si="20">+D29+D32</f>
        <v>47780648.032499999</v>
      </c>
      <c r="E28" s="1990">
        <f>+E29+E32</f>
        <v>24578359.032499999</v>
      </c>
      <c r="F28" s="1990">
        <f>+F29+F32</f>
        <v>17967040</v>
      </c>
      <c r="G28" s="1990">
        <f>+G29+G32</f>
        <v>5235249</v>
      </c>
      <c r="H28" s="1991">
        <f>+H29+H32</f>
        <v>0</v>
      </c>
      <c r="I28" s="1989">
        <f>+I29+I32</f>
        <v>47598815.032499999</v>
      </c>
      <c r="J28" s="1992">
        <f t="shared" ref="J28:J36" si="21">+I28/D28*100</f>
        <v>99.619442164375172</v>
      </c>
      <c r="K28" s="1990">
        <f>+K29+K32</f>
        <v>5053416</v>
      </c>
      <c r="L28" s="1992">
        <f t="shared" ref="L28:L36" si="22">+K28/G28*100</f>
        <v>96.526755460915041</v>
      </c>
      <c r="M28" s="1993">
        <f t="shared" ref="M28:M36" si="23">+K28-G28*0.5</f>
        <v>2435791.5</v>
      </c>
      <c r="N28" s="3339"/>
    </row>
    <row r="29" spans="1:14" s="520" customFormat="1" ht="12.75" customHeight="1" thickBot="1" x14ac:dyDescent="0.25">
      <c r="A29" s="3337"/>
      <c r="B29" s="1994" t="s">
        <v>18</v>
      </c>
      <c r="C29" s="3281" t="s">
        <v>145</v>
      </c>
      <c r="D29" s="1995">
        <f t="shared" ref="D29:H29" si="24">+D30+D31</f>
        <v>21515262.032499999</v>
      </c>
      <c r="E29" s="1996">
        <f t="shared" si="24"/>
        <v>11067449.032499999</v>
      </c>
      <c r="F29" s="1996">
        <f t="shared" si="24"/>
        <v>7265860</v>
      </c>
      <c r="G29" s="1996">
        <f t="shared" si="24"/>
        <v>3181953</v>
      </c>
      <c r="H29" s="1723">
        <f t="shared" si="24"/>
        <v>0</v>
      </c>
      <c r="I29" s="1995">
        <f>SUM(I30:I31)</f>
        <v>21333429.032499999</v>
      </c>
      <c r="J29" s="1997">
        <f t="shared" si="21"/>
        <v>99.154865045448531</v>
      </c>
      <c r="K29" s="1996">
        <f>+K30+K31</f>
        <v>3000120</v>
      </c>
      <c r="L29" s="1997">
        <f t="shared" si="22"/>
        <v>94.285490703351059</v>
      </c>
      <c r="M29" s="1998">
        <f t="shared" si="23"/>
        <v>1409143.5</v>
      </c>
      <c r="N29" s="3340"/>
    </row>
    <row r="30" spans="1:14" s="520" customFormat="1" ht="12.75" customHeight="1" thickBot="1" x14ac:dyDescent="0.25">
      <c r="A30" s="3337"/>
      <c r="B30" s="1999" t="s">
        <v>146</v>
      </c>
      <c r="C30" s="3282"/>
      <c r="D30" s="1823">
        <f>+E30+F30+G30+H30</f>
        <v>8054143</v>
      </c>
      <c r="E30" s="1898">
        <f>1028059+100000+3639753</f>
        <v>4767812</v>
      </c>
      <c r="F30" s="1898">
        <v>1953935</v>
      </c>
      <c r="G30" s="2000">
        <v>1332396</v>
      </c>
      <c r="H30" s="521">
        <v>0</v>
      </c>
      <c r="I30" s="1823">
        <f>+K30+F30+E30</f>
        <v>8054143</v>
      </c>
      <c r="J30" s="1879">
        <f t="shared" si="21"/>
        <v>100</v>
      </c>
      <c r="K30" s="1898">
        <v>1332396</v>
      </c>
      <c r="L30" s="1879">
        <f t="shared" si="22"/>
        <v>100</v>
      </c>
      <c r="M30" s="2001">
        <f t="shared" si="23"/>
        <v>666198</v>
      </c>
      <c r="N30" s="3340"/>
    </row>
    <row r="31" spans="1:14" s="520" customFormat="1" ht="12.75" customHeight="1" thickBot="1" x14ac:dyDescent="0.25">
      <c r="A31" s="3337"/>
      <c r="B31" s="2002" t="s">
        <v>6</v>
      </c>
      <c r="C31" s="3282"/>
      <c r="D31" s="1823">
        <f>+E31+F31+G31+H31</f>
        <v>13461119.032499999</v>
      </c>
      <c r="E31" s="1898">
        <f>675000.03+1795097.0025+3829540</f>
        <v>6299637.0324999997</v>
      </c>
      <c r="F31" s="1898">
        <v>5311925</v>
      </c>
      <c r="G31" s="1898">
        <v>1849557</v>
      </c>
      <c r="H31" s="2003">
        <v>0</v>
      </c>
      <c r="I31" s="1823">
        <f>+K31+F31+E31</f>
        <v>13279286.032499999</v>
      </c>
      <c r="J31" s="1879">
        <f t="shared" si="21"/>
        <v>98.649198483714542</v>
      </c>
      <c r="K31" s="1898">
        <v>1667724</v>
      </c>
      <c r="L31" s="1879">
        <f t="shared" si="22"/>
        <v>90.168835023738112</v>
      </c>
      <c r="M31" s="2001">
        <f t="shared" si="23"/>
        <v>742945.5</v>
      </c>
      <c r="N31" s="3340"/>
    </row>
    <row r="32" spans="1:14" s="520" customFormat="1" ht="12.75" customHeight="1" thickBot="1" x14ac:dyDescent="0.25">
      <c r="A32" s="3337"/>
      <c r="B32" s="2004" t="s">
        <v>13</v>
      </c>
      <c r="C32" s="3282"/>
      <c r="D32" s="1871">
        <f t="shared" ref="D32:I32" si="25">+D33</f>
        <v>26265386</v>
      </c>
      <c r="E32" s="1872">
        <f t="shared" si="25"/>
        <v>13510910</v>
      </c>
      <c r="F32" s="1872">
        <f t="shared" si="25"/>
        <v>10701180</v>
      </c>
      <c r="G32" s="1872">
        <f t="shared" si="25"/>
        <v>2053296</v>
      </c>
      <c r="H32" s="1883">
        <f t="shared" si="25"/>
        <v>0</v>
      </c>
      <c r="I32" s="1871">
        <f t="shared" si="25"/>
        <v>26265386</v>
      </c>
      <c r="J32" s="1875">
        <f t="shared" si="21"/>
        <v>100</v>
      </c>
      <c r="K32" s="1872">
        <f>+K33</f>
        <v>2053296</v>
      </c>
      <c r="L32" s="1875">
        <f t="shared" si="22"/>
        <v>100</v>
      </c>
      <c r="M32" s="2005">
        <f t="shared" si="23"/>
        <v>1026648</v>
      </c>
      <c r="N32" s="3340"/>
    </row>
    <row r="33" spans="1:14" s="520" customFormat="1" ht="12.75" customHeight="1" thickBot="1" x14ac:dyDescent="0.25">
      <c r="A33" s="3338"/>
      <c r="B33" s="1783" t="s">
        <v>16</v>
      </c>
      <c r="C33" s="3282"/>
      <c r="D33" s="1823">
        <f>+E33+F33+G33+H33</f>
        <v>26265386</v>
      </c>
      <c r="E33" s="1898">
        <f>3928803+9582107</f>
        <v>13510910</v>
      </c>
      <c r="F33" s="1898">
        <v>10701180</v>
      </c>
      <c r="G33" s="1898">
        <v>2053296</v>
      </c>
      <c r="H33" s="2003">
        <v>0</v>
      </c>
      <c r="I33" s="1823">
        <f>E33+F33+K33</f>
        <v>26265386</v>
      </c>
      <c r="J33" s="1879">
        <f t="shared" si="21"/>
        <v>100</v>
      </c>
      <c r="K33" s="1898">
        <v>2053296</v>
      </c>
      <c r="L33" s="1879">
        <f t="shared" si="22"/>
        <v>100</v>
      </c>
      <c r="M33" s="2001">
        <f t="shared" si="23"/>
        <v>1026648</v>
      </c>
      <c r="N33" s="3341"/>
    </row>
    <row r="34" spans="1:14" s="520" customFormat="1" ht="12.75" customHeight="1" thickBot="1" x14ac:dyDescent="0.25">
      <c r="A34" s="3337"/>
      <c r="B34" s="2006" t="s">
        <v>17</v>
      </c>
      <c r="C34" s="2007"/>
      <c r="D34" s="2008">
        <f>+D35</f>
        <v>26265386</v>
      </c>
      <c r="E34" s="2009">
        <f>+E35</f>
        <v>13510910</v>
      </c>
      <c r="F34" s="2009">
        <f>F35</f>
        <v>10701180</v>
      </c>
      <c r="G34" s="2009">
        <f>G35</f>
        <v>2053296</v>
      </c>
      <c r="H34" s="2010">
        <f>H35</f>
        <v>0</v>
      </c>
      <c r="I34" s="2008">
        <f>I35</f>
        <v>26265386</v>
      </c>
      <c r="J34" s="2011">
        <f t="shared" si="21"/>
        <v>100</v>
      </c>
      <c r="K34" s="2009">
        <f>K36</f>
        <v>2053296</v>
      </c>
      <c r="L34" s="2011">
        <f t="shared" si="22"/>
        <v>100</v>
      </c>
      <c r="M34" s="2012">
        <f t="shared" si="23"/>
        <v>1026648</v>
      </c>
      <c r="N34" s="3340"/>
    </row>
    <row r="35" spans="1:14" s="520" customFormat="1" ht="12.75" customHeight="1" thickBot="1" x14ac:dyDescent="0.25">
      <c r="A35" s="3337"/>
      <c r="B35" s="2004" t="s">
        <v>13</v>
      </c>
      <c r="C35" s="3282" t="s">
        <v>147</v>
      </c>
      <c r="D35" s="1871">
        <f>+D36</f>
        <v>26265386</v>
      </c>
      <c r="E35" s="1872">
        <f>+E36</f>
        <v>13510910</v>
      </c>
      <c r="F35" s="1872">
        <f>+F36</f>
        <v>10701180</v>
      </c>
      <c r="G35" s="1872">
        <f>+G36</f>
        <v>2053296</v>
      </c>
      <c r="H35" s="1883">
        <f>+H36</f>
        <v>0</v>
      </c>
      <c r="I35" s="1871">
        <f>+I36</f>
        <v>26265386</v>
      </c>
      <c r="J35" s="1875">
        <f t="shared" si="21"/>
        <v>100</v>
      </c>
      <c r="K35" s="1872">
        <f>+K36</f>
        <v>2053296</v>
      </c>
      <c r="L35" s="1875">
        <f t="shared" si="22"/>
        <v>100</v>
      </c>
      <c r="M35" s="2005">
        <f t="shared" si="23"/>
        <v>1026648</v>
      </c>
      <c r="N35" s="3340"/>
    </row>
    <row r="36" spans="1:14" s="520" customFormat="1" ht="12.75" customHeight="1" thickBot="1" x14ac:dyDescent="0.25">
      <c r="A36" s="3337"/>
      <c r="B36" s="287" t="s">
        <v>16</v>
      </c>
      <c r="C36" s="3283"/>
      <c r="D36" s="524">
        <f>+E36+F36+G36+H36</f>
        <v>26265386</v>
      </c>
      <c r="E36" s="1877">
        <f>3928803+9582107</f>
        <v>13510910</v>
      </c>
      <c r="F36" s="1877">
        <v>10701180</v>
      </c>
      <c r="G36" s="1877">
        <v>2053296</v>
      </c>
      <c r="H36" s="1878">
        <v>0</v>
      </c>
      <c r="I36" s="524">
        <f>+K36+F36+E36</f>
        <v>26265386</v>
      </c>
      <c r="J36" s="1933">
        <f t="shared" si="21"/>
        <v>100</v>
      </c>
      <c r="K36" s="1877">
        <v>2053296</v>
      </c>
      <c r="L36" s="1933">
        <f t="shared" si="22"/>
        <v>100</v>
      </c>
      <c r="M36" s="2013">
        <f t="shared" si="23"/>
        <v>1026648</v>
      </c>
      <c r="N36" s="3340"/>
    </row>
    <row r="37" spans="1:14" s="520" customFormat="1" ht="66" customHeight="1" x14ac:dyDescent="0.2">
      <c r="A37" s="3321" t="s">
        <v>36</v>
      </c>
      <c r="B37" s="2014" t="s">
        <v>348</v>
      </c>
      <c r="C37" s="2015" t="s">
        <v>193</v>
      </c>
      <c r="D37" s="2016"/>
      <c r="E37" s="2017"/>
      <c r="F37" s="2017"/>
      <c r="G37" s="2017"/>
      <c r="H37" s="2018"/>
      <c r="I37" s="2019"/>
      <c r="J37" s="2020"/>
      <c r="K37" s="2021"/>
      <c r="L37" s="2020"/>
      <c r="M37" s="2022"/>
      <c r="N37" s="3284" t="s">
        <v>148</v>
      </c>
    </row>
    <row r="38" spans="1:14" s="520" customFormat="1" x14ac:dyDescent="0.2">
      <c r="A38" s="3322"/>
      <c r="B38" s="312" t="s">
        <v>3</v>
      </c>
      <c r="C38" s="2023"/>
      <c r="D38" s="1989">
        <f t="shared" ref="D38:H38" si="26">+D39+D42</f>
        <v>81560000</v>
      </c>
      <c r="E38" s="1990">
        <f t="shared" si="26"/>
        <v>78377528</v>
      </c>
      <c r="F38" s="1990">
        <f t="shared" si="26"/>
        <v>2266841</v>
      </c>
      <c r="G38" s="1990">
        <f t="shared" si="26"/>
        <v>915631</v>
      </c>
      <c r="H38" s="1991">
        <f t="shared" si="26"/>
        <v>0</v>
      </c>
      <c r="I38" s="2024">
        <f>I39+I42</f>
        <v>81560000</v>
      </c>
      <c r="J38" s="2025">
        <f t="shared" ref="J38:J46" si="27">+I38/D38*100</f>
        <v>100</v>
      </c>
      <c r="K38" s="2026">
        <f>+K39+K42</f>
        <v>915631</v>
      </c>
      <c r="L38" s="2025">
        <f t="shared" ref="L38:L41" si="28">+K38/G38*100</f>
        <v>100</v>
      </c>
      <c r="M38" s="1993">
        <f t="shared" ref="M38:M46" si="29">+K38-G38*0.5</f>
        <v>457815.5</v>
      </c>
      <c r="N38" s="3285"/>
    </row>
    <row r="39" spans="1:14" s="520" customFormat="1" ht="11.25" customHeight="1" x14ac:dyDescent="0.2">
      <c r="A39" s="3322"/>
      <c r="B39" s="1994" t="s">
        <v>18</v>
      </c>
      <c r="C39" s="3288" t="s">
        <v>145</v>
      </c>
      <c r="D39" s="2027">
        <f t="shared" ref="D39:H39" si="30">+D40+D41</f>
        <v>48445432</v>
      </c>
      <c r="E39" s="2028">
        <f t="shared" si="30"/>
        <v>45296645</v>
      </c>
      <c r="F39" s="2028">
        <f t="shared" si="30"/>
        <v>2233156</v>
      </c>
      <c r="G39" s="2028">
        <f t="shared" si="30"/>
        <v>915631</v>
      </c>
      <c r="H39" s="2029">
        <f t="shared" si="30"/>
        <v>0</v>
      </c>
      <c r="I39" s="2030">
        <f>I40+I41</f>
        <v>48445432</v>
      </c>
      <c r="J39" s="2031">
        <f t="shared" si="27"/>
        <v>100</v>
      </c>
      <c r="K39" s="2032">
        <f>+K40+K41</f>
        <v>915631</v>
      </c>
      <c r="L39" s="2031">
        <f t="shared" si="28"/>
        <v>100</v>
      </c>
      <c r="M39" s="2033">
        <f t="shared" si="29"/>
        <v>457815.5</v>
      </c>
      <c r="N39" s="3286"/>
    </row>
    <row r="40" spans="1:14" s="520" customFormat="1" x14ac:dyDescent="0.2">
      <c r="A40" s="3322"/>
      <c r="B40" s="1999" t="s">
        <v>146</v>
      </c>
      <c r="C40" s="3289"/>
      <c r="D40" s="1823">
        <f>+E40+F40+G40+H40</f>
        <v>31465432</v>
      </c>
      <c r="E40" s="1898">
        <f>730215+13244005+17446897</f>
        <v>31421117</v>
      </c>
      <c r="F40" s="1898">
        <v>44315</v>
      </c>
      <c r="G40" s="523">
        <v>0</v>
      </c>
      <c r="H40" s="521">
        <v>0</v>
      </c>
      <c r="I40" s="1703">
        <f>+K40+F40+E40</f>
        <v>31465432</v>
      </c>
      <c r="J40" s="1902">
        <f t="shared" si="27"/>
        <v>100</v>
      </c>
      <c r="K40" s="1755">
        <v>0</v>
      </c>
      <c r="L40" s="2034">
        <v>0</v>
      </c>
      <c r="M40" s="2035">
        <f t="shared" si="29"/>
        <v>0</v>
      </c>
      <c r="N40" s="3286"/>
    </row>
    <row r="41" spans="1:14" s="520" customFormat="1" ht="12" customHeight="1" x14ac:dyDescent="0.2">
      <c r="A41" s="3322"/>
      <c r="B41" s="2002" t="s">
        <v>6</v>
      </c>
      <c r="C41" s="3289"/>
      <c r="D41" s="1823">
        <f>+E41+F41+G41+H41</f>
        <v>16980000</v>
      </c>
      <c r="E41" s="1898">
        <f>2805880+4941171+6128477</f>
        <v>13875528</v>
      </c>
      <c r="F41" s="1898">
        <v>2188841</v>
      </c>
      <c r="G41" s="1898">
        <v>915631</v>
      </c>
      <c r="H41" s="521">
        <v>0</v>
      </c>
      <c r="I41" s="1703">
        <f>+K41+F41+E41</f>
        <v>16980000</v>
      </c>
      <c r="J41" s="1902">
        <f t="shared" si="27"/>
        <v>100</v>
      </c>
      <c r="K41" s="1824">
        <v>915631</v>
      </c>
      <c r="L41" s="1902">
        <f t="shared" si="28"/>
        <v>100</v>
      </c>
      <c r="M41" s="2001">
        <f t="shared" si="29"/>
        <v>457815.5</v>
      </c>
      <c r="N41" s="3286"/>
    </row>
    <row r="42" spans="1:14" s="520" customFormat="1" ht="12.75" customHeight="1" x14ac:dyDescent="0.2">
      <c r="A42" s="3322"/>
      <c r="B42" s="2004" t="s">
        <v>13</v>
      </c>
      <c r="C42" s="3289"/>
      <c r="D42" s="1871">
        <f t="shared" ref="D42:I42" si="31">+D43</f>
        <v>33114568</v>
      </c>
      <c r="E42" s="1872">
        <f t="shared" si="31"/>
        <v>33080883</v>
      </c>
      <c r="F42" s="1872">
        <f t="shared" si="31"/>
        <v>33685</v>
      </c>
      <c r="G42" s="1873">
        <f t="shared" si="31"/>
        <v>0</v>
      </c>
      <c r="H42" s="1883">
        <f t="shared" si="31"/>
        <v>0</v>
      </c>
      <c r="I42" s="2036">
        <f t="shared" si="31"/>
        <v>33114568</v>
      </c>
      <c r="J42" s="1894">
        <f t="shared" si="27"/>
        <v>100</v>
      </c>
      <c r="K42" s="2037">
        <f>+K43</f>
        <v>0</v>
      </c>
      <c r="L42" s="2037">
        <v>0</v>
      </c>
      <c r="M42" s="2038">
        <f t="shared" si="29"/>
        <v>0</v>
      </c>
      <c r="N42" s="3286"/>
    </row>
    <row r="43" spans="1:14" s="520" customFormat="1" ht="12" customHeight="1" x14ac:dyDescent="0.2">
      <c r="A43" s="3322"/>
      <c r="B43" s="1783" t="s">
        <v>16</v>
      </c>
      <c r="C43" s="3289"/>
      <c r="D43" s="1823">
        <f>+E43+F43+G43+H43</f>
        <v>33114568</v>
      </c>
      <c r="E43" s="1898">
        <f>14397470+18683413</f>
        <v>33080883</v>
      </c>
      <c r="F43" s="1898">
        <v>33685</v>
      </c>
      <c r="G43" s="523">
        <v>0</v>
      </c>
      <c r="H43" s="521">
        <v>0</v>
      </c>
      <c r="I43" s="1703">
        <f>+K43+F43+E43</f>
        <v>33114568</v>
      </c>
      <c r="J43" s="1902">
        <f t="shared" si="27"/>
        <v>100</v>
      </c>
      <c r="K43" s="1755">
        <v>0</v>
      </c>
      <c r="L43" s="1755">
        <v>0</v>
      </c>
      <c r="M43" s="2035">
        <f t="shared" si="29"/>
        <v>0</v>
      </c>
      <c r="N43" s="3286"/>
    </row>
    <row r="44" spans="1:14" s="520" customFormat="1" ht="12.75" customHeight="1" x14ac:dyDescent="0.2">
      <c r="A44" s="3322"/>
      <c r="B44" s="312" t="s">
        <v>17</v>
      </c>
      <c r="C44" s="2023"/>
      <c r="D44" s="1989">
        <f t="shared" ref="D44:H44" si="32">D45</f>
        <v>33114568</v>
      </c>
      <c r="E44" s="1990">
        <f t="shared" si="32"/>
        <v>33080883</v>
      </c>
      <c r="F44" s="1990">
        <f t="shared" si="32"/>
        <v>33685</v>
      </c>
      <c r="G44" s="2039">
        <f t="shared" si="32"/>
        <v>0</v>
      </c>
      <c r="H44" s="1991">
        <f t="shared" si="32"/>
        <v>0</v>
      </c>
      <c r="I44" s="2024">
        <f>+I45</f>
        <v>33114568</v>
      </c>
      <c r="J44" s="2025">
        <f t="shared" si="27"/>
        <v>100</v>
      </c>
      <c r="K44" s="303">
        <f>K46</f>
        <v>0</v>
      </c>
      <c r="L44" s="303">
        <f>L46</f>
        <v>0</v>
      </c>
      <c r="M44" s="2040">
        <f t="shared" si="29"/>
        <v>0</v>
      </c>
      <c r="N44" s="3286"/>
    </row>
    <row r="45" spans="1:14" s="520" customFormat="1" ht="13.5" customHeight="1" x14ac:dyDescent="0.2">
      <c r="A45" s="3322"/>
      <c r="B45" s="2004" t="s">
        <v>13</v>
      </c>
      <c r="C45" s="3289" t="s">
        <v>147</v>
      </c>
      <c r="D45" s="1871">
        <v>33114568</v>
      </c>
      <c r="E45" s="1872">
        <f>+E46</f>
        <v>33080883</v>
      </c>
      <c r="F45" s="1872">
        <f>+F46</f>
        <v>33685</v>
      </c>
      <c r="G45" s="1873">
        <f>+G46</f>
        <v>0</v>
      </c>
      <c r="H45" s="1883">
        <f>+H46</f>
        <v>0</v>
      </c>
      <c r="I45" s="1221">
        <f>+I46</f>
        <v>33114568</v>
      </c>
      <c r="J45" s="1902">
        <f t="shared" si="27"/>
        <v>100</v>
      </c>
      <c r="K45" s="2037">
        <f>+K46</f>
        <v>0</v>
      </c>
      <c r="L45" s="2037">
        <f>+L46</f>
        <v>0</v>
      </c>
      <c r="M45" s="2038">
        <f t="shared" si="29"/>
        <v>0</v>
      </c>
      <c r="N45" s="3286"/>
    </row>
    <row r="46" spans="1:14" s="520" customFormat="1" ht="13.5" thickBot="1" x14ac:dyDescent="0.25">
      <c r="A46" s="3323"/>
      <c r="B46" s="287" t="s">
        <v>16</v>
      </c>
      <c r="C46" s="3290"/>
      <c r="D46" s="524">
        <f>+E46+F46+G46+H46</f>
        <v>33114568</v>
      </c>
      <c r="E46" s="1877">
        <f>14397470+18683413</f>
        <v>33080883</v>
      </c>
      <c r="F46" s="1877">
        <v>33685</v>
      </c>
      <c r="G46" s="525">
        <v>0</v>
      </c>
      <c r="H46" s="728">
        <v>0</v>
      </c>
      <c r="I46" s="641">
        <f>+K46+F46+E46</f>
        <v>33114568</v>
      </c>
      <c r="J46" s="1917">
        <f t="shared" si="27"/>
        <v>100</v>
      </c>
      <c r="K46" s="1769">
        <v>0</v>
      </c>
      <c r="L46" s="1769">
        <v>0</v>
      </c>
      <c r="M46" s="2041">
        <f t="shared" si="29"/>
        <v>0</v>
      </c>
      <c r="N46" s="3287"/>
    </row>
    <row r="47" spans="1:14" s="520" customFormat="1" ht="41.25" customHeight="1" thickBot="1" x14ac:dyDescent="0.25">
      <c r="A47" s="3305" t="s">
        <v>41</v>
      </c>
      <c r="B47" s="1985" t="s">
        <v>370</v>
      </c>
      <c r="C47" s="2015" t="s">
        <v>193</v>
      </c>
      <c r="D47" s="2016"/>
      <c r="E47" s="2017"/>
      <c r="F47" s="2017"/>
      <c r="G47" s="2017"/>
      <c r="H47" s="2018"/>
      <c r="I47" s="2042"/>
      <c r="J47" s="2020"/>
      <c r="K47" s="2021"/>
      <c r="L47" s="2021"/>
      <c r="M47" s="2043"/>
      <c r="N47" s="3313" t="s">
        <v>150</v>
      </c>
    </row>
    <row r="48" spans="1:14" s="520" customFormat="1" ht="13.5" customHeight="1" x14ac:dyDescent="0.2">
      <c r="A48" s="3306"/>
      <c r="B48" s="312" t="s">
        <v>3</v>
      </c>
      <c r="C48" s="2023"/>
      <c r="D48" s="1989">
        <f>+D49+D54</f>
        <v>69439000</v>
      </c>
      <c r="E48" s="1990">
        <f>+E49+E54</f>
        <v>16195000</v>
      </c>
      <c r="F48" s="1990">
        <f>+F49+F54</f>
        <v>9212462</v>
      </c>
      <c r="G48" s="1990">
        <f>+G49</f>
        <v>31990000</v>
      </c>
      <c r="H48" s="2044">
        <f>+H49</f>
        <v>4964000</v>
      </c>
      <c r="I48" s="2045">
        <f>+I49+I54</f>
        <v>32626863</v>
      </c>
      <c r="J48" s="2025">
        <f t="shared" ref="J48:J59" si="33">+I48/D48*100</f>
        <v>46.986366451129769</v>
      </c>
      <c r="K48" s="2026">
        <f>+K49+K54</f>
        <v>7219401</v>
      </c>
      <c r="L48" s="2025">
        <f t="shared" ref="L48:L59" si="34">+K48/G48*100</f>
        <v>22.567680525164114</v>
      </c>
      <c r="M48" s="2046">
        <f t="shared" ref="M48:M53" si="35">+K48-G48*0.5</f>
        <v>-8775599</v>
      </c>
      <c r="N48" s="3314"/>
    </row>
    <row r="49" spans="1:14" s="520" customFormat="1" ht="13.5" customHeight="1" thickBot="1" x14ac:dyDescent="0.25">
      <c r="A49" s="3307"/>
      <c r="B49" s="1994" t="s">
        <v>18</v>
      </c>
      <c r="C49" s="3318" t="s">
        <v>145</v>
      </c>
      <c r="D49" s="1995">
        <f>SUM(D50:D53)</f>
        <v>69439000</v>
      </c>
      <c r="E49" s="1996">
        <f>+E50+E51+E52+E53</f>
        <v>16195000</v>
      </c>
      <c r="F49" s="1996">
        <f>+F50+F51+F52+F53</f>
        <v>9212462</v>
      </c>
      <c r="G49" s="1996">
        <f>SUM(G50:G53)</f>
        <v>31990000</v>
      </c>
      <c r="H49" s="2047">
        <f>SUM(H50:H53)</f>
        <v>4964000</v>
      </c>
      <c r="I49" s="2048">
        <f>+I50+I51+I52+I53</f>
        <v>32626863</v>
      </c>
      <c r="J49" s="2049">
        <f t="shared" si="33"/>
        <v>46.986366451129769</v>
      </c>
      <c r="K49" s="2050">
        <f>+K50+K51+K52+K53</f>
        <v>7219401</v>
      </c>
      <c r="L49" s="2049">
        <f t="shared" si="34"/>
        <v>22.567680525164114</v>
      </c>
      <c r="M49" s="2051">
        <f t="shared" si="35"/>
        <v>-8775599</v>
      </c>
      <c r="N49" s="3315"/>
    </row>
    <row r="50" spans="1:14" s="520" customFormat="1" ht="13.5" customHeight="1" x14ac:dyDescent="0.2">
      <c r="A50" s="3308"/>
      <c r="B50" s="2052" t="s">
        <v>146</v>
      </c>
      <c r="C50" s="3319"/>
      <c r="D50" s="1823">
        <v>13378500</v>
      </c>
      <c r="E50" s="1880">
        <f>637500+2315000</f>
        <v>2952500</v>
      </c>
      <c r="F50" s="2053">
        <f>2242500-2242493</f>
        <v>7</v>
      </c>
      <c r="G50" s="1898">
        <v>7797500</v>
      </c>
      <c r="H50" s="1881">
        <v>241000</v>
      </c>
      <c r="I50" s="2054">
        <f>+K50+F50+E50</f>
        <v>5574408</v>
      </c>
      <c r="J50" s="1900">
        <f t="shared" si="33"/>
        <v>41.666913331090925</v>
      </c>
      <c r="K50" s="1913">
        <v>2621901</v>
      </c>
      <c r="L50" s="1900">
        <f t="shared" si="34"/>
        <v>33.624892593780061</v>
      </c>
      <c r="M50" s="2055">
        <f t="shared" si="35"/>
        <v>-1276849</v>
      </c>
      <c r="N50" s="3314"/>
    </row>
    <row r="51" spans="1:14" s="520" customFormat="1" ht="13.5" customHeight="1" x14ac:dyDescent="0.2">
      <c r="A51" s="3309"/>
      <c r="B51" s="2056" t="s">
        <v>149</v>
      </c>
      <c r="C51" s="3319"/>
      <c r="D51" s="1823">
        <f t="shared" ref="D51:D55" si="36">+E51+F51+G51+H51</f>
        <v>13173500</v>
      </c>
      <c r="E51" s="1898">
        <f>572500+2460000</f>
        <v>3032500</v>
      </c>
      <c r="F51" s="1898">
        <v>5302500</v>
      </c>
      <c r="G51" s="1898">
        <v>4597500</v>
      </c>
      <c r="H51" s="1881">
        <v>241000</v>
      </c>
      <c r="I51" s="2054">
        <f>+K51+F51+E51</f>
        <v>12932500</v>
      </c>
      <c r="J51" s="1900">
        <f t="shared" si="33"/>
        <v>98.170569704330674</v>
      </c>
      <c r="K51" s="2057">
        <v>4597500</v>
      </c>
      <c r="L51" s="1900">
        <f t="shared" si="34"/>
        <v>100</v>
      </c>
      <c r="M51" s="2058">
        <f t="shared" si="35"/>
        <v>2298750</v>
      </c>
      <c r="N51" s="3316"/>
    </row>
    <row r="52" spans="1:14" s="520" customFormat="1" ht="13.5" customHeight="1" x14ac:dyDescent="0.2">
      <c r="A52" s="3310"/>
      <c r="B52" s="2056" t="s">
        <v>8</v>
      </c>
      <c r="C52" s="3319"/>
      <c r="D52" s="1823">
        <v>34687000</v>
      </c>
      <c r="E52" s="1898">
        <v>8065000</v>
      </c>
      <c r="F52" s="1898">
        <f>6545000-4690045</f>
        <v>1854955</v>
      </c>
      <c r="G52" s="1898">
        <v>17595000</v>
      </c>
      <c r="H52" s="1881">
        <v>2482000</v>
      </c>
      <c r="I52" s="2054">
        <f>+K52+F52+E52</f>
        <v>9919955</v>
      </c>
      <c r="J52" s="1900">
        <f t="shared" si="33"/>
        <v>28.598480698820882</v>
      </c>
      <c r="K52" s="2057">
        <v>0</v>
      </c>
      <c r="L52" s="1900">
        <f t="shared" si="34"/>
        <v>0</v>
      </c>
      <c r="M52" s="2058">
        <f t="shared" si="35"/>
        <v>-8797500</v>
      </c>
      <c r="N52" s="3316"/>
    </row>
    <row r="53" spans="1:14" s="520" customFormat="1" ht="13.5" customHeight="1" x14ac:dyDescent="0.2">
      <c r="A53" s="3311"/>
      <c r="B53" s="2056" t="s">
        <v>142</v>
      </c>
      <c r="C53" s="3319"/>
      <c r="D53" s="1823">
        <f t="shared" si="36"/>
        <v>8200000</v>
      </c>
      <c r="E53" s="1898">
        <v>2145000</v>
      </c>
      <c r="F53" s="1898">
        <v>2055000</v>
      </c>
      <c r="G53" s="1898">
        <v>2000000</v>
      </c>
      <c r="H53" s="1881">
        <v>2000000</v>
      </c>
      <c r="I53" s="2054">
        <f>+K53+F53+E53</f>
        <v>4200000</v>
      </c>
      <c r="J53" s="1900">
        <f t="shared" si="33"/>
        <v>51.219512195121951</v>
      </c>
      <c r="K53" s="1913">
        <v>0</v>
      </c>
      <c r="L53" s="1900">
        <f t="shared" si="34"/>
        <v>0</v>
      </c>
      <c r="M53" s="2058">
        <f t="shared" si="35"/>
        <v>-1000000</v>
      </c>
      <c r="N53" s="3316"/>
    </row>
    <row r="54" spans="1:14" s="520" customFormat="1" ht="13.5" hidden="1" customHeight="1" x14ac:dyDescent="0.2">
      <c r="A54" s="3311"/>
      <c r="B54" s="2004" t="s">
        <v>13</v>
      </c>
      <c r="C54" s="3319"/>
      <c r="D54" s="2059">
        <f t="shared" si="36"/>
        <v>0</v>
      </c>
      <c r="E54" s="1972">
        <f>+E55</f>
        <v>0</v>
      </c>
      <c r="F54" s="1972">
        <f>+F55</f>
        <v>0</v>
      </c>
      <c r="G54" s="1972"/>
      <c r="H54" s="1973"/>
      <c r="I54" s="2060"/>
      <c r="J54" s="2061" t="e">
        <f t="shared" si="33"/>
        <v>#DIV/0!</v>
      </c>
      <c r="K54" s="2062"/>
      <c r="L54" s="2061" t="e">
        <f t="shared" si="34"/>
        <v>#DIV/0!</v>
      </c>
      <c r="M54" s="2063">
        <f t="shared" ref="M54:M55" si="37">+K54-G54*0.25</f>
        <v>0</v>
      </c>
      <c r="N54" s="3316"/>
    </row>
    <row r="55" spans="1:14" s="520" customFormat="1" ht="13.5" hidden="1" customHeight="1" x14ac:dyDescent="0.2">
      <c r="A55" s="3311"/>
      <c r="B55" s="2064" t="s">
        <v>16</v>
      </c>
      <c r="C55" s="3319"/>
      <c r="D55" s="2059">
        <f t="shared" si="36"/>
        <v>0</v>
      </c>
      <c r="E55" s="1880">
        <v>0</v>
      </c>
      <c r="F55" s="1880">
        <v>0</v>
      </c>
      <c r="G55" s="1880"/>
      <c r="H55" s="1912"/>
      <c r="I55" s="2054"/>
      <c r="J55" s="1900" t="e">
        <f t="shared" si="33"/>
        <v>#DIV/0!</v>
      </c>
      <c r="K55" s="1913"/>
      <c r="L55" s="1900" t="e">
        <f t="shared" si="34"/>
        <v>#DIV/0!</v>
      </c>
      <c r="M55" s="2065">
        <f t="shared" si="37"/>
        <v>0</v>
      </c>
      <c r="N55" s="3316"/>
    </row>
    <row r="56" spans="1:14" s="520" customFormat="1" ht="13.5" customHeight="1" x14ac:dyDescent="0.2">
      <c r="A56" s="3311"/>
      <c r="B56" s="312" t="s">
        <v>17</v>
      </c>
      <c r="C56" s="2023"/>
      <c r="D56" s="1989">
        <f>+D57</f>
        <v>42887000</v>
      </c>
      <c r="E56" s="1990">
        <f>E57</f>
        <v>10210000</v>
      </c>
      <c r="F56" s="1990">
        <f>F57</f>
        <v>3909955</v>
      </c>
      <c r="G56" s="1990">
        <f>G57</f>
        <v>19595000</v>
      </c>
      <c r="H56" s="2044">
        <f>H57</f>
        <v>4482000</v>
      </c>
      <c r="I56" s="2045">
        <f>+I57</f>
        <v>14119955</v>
      </c>
      <c r="J56" s="2025">
        <f t="shared" si="33"/>
        <v>32.923624874670651</v>
      </c>
      <c r="K56" s="2026">
        <f>K58+K59</f>
        <v>0</v>
      </c>
      <c r="L56" s="2025">
        <f t="shared" si="34"/>
        <v>0</v>
      </c>
      <c r="M56" s="1993">
        <f>+K56-G56*0.5</f>
        <v>-9797500</v>
      </c>
      <c r="N56" s="3316"/>
    </row>
    <row r="57" spans="1:14" s="520" customFormat="1" ht="13.5" customHeight="1" x14ac:dyDescent="0.2">
      <c r="A57" s="3311"/>
      <c r="B57" s="1994" t="s">
        <v>18</v>
      </c>
      <c r="C57" s="3318" t="s">
        <v>145</v>
      </c>
      <c r="D57" s="1871">
        <f>+D58+D59</f>
        <v>42887000</v>
      </c>
      <c r="E57" s="1872">
        <f t="shared" ref="E57:H57" si="38">+E58+E59</f>
        <v>10210000</v>
      </c>
      <c r="F57" s="1872">
        <f t="shared" si="38"/>
        <v>3909955</v>
      </c>
      <c r="G57" s="1872">
        <f t="shared" si="38"/>
        <v>19595000</v>
      </c>
      <c r="H57" s="1876">
        <f t="shared" si="38"/>
        <v>4482000</v>
      </c>
      <c r="I57" s="2066">
        <f>SUM(I58:I59)</f>
        <v>14119955</v>
      </c>
      <c r="J57" s="2067">
        <f t="shared" si="33"/>
        <v>32.923624874670651</v>
      </c>
      <c r="K57" s="2032">
        <f>+K58+K59</f>
        <v>0</v>
      </c>
      <c r="L57" s="2067">
        <f t="shared" si="34"/>
        <v>0</v>
      </c>
      <c r="M57" s="2005">
        <f>+K57-G57*0.5</f>
        <v>-9797500</v>
      </c>
      <c r="N57" s="3316"/>
    </row>
    <row r="58" spans="1:14" s="520" customFormat="1" ht="13.5" customHeight="1" x14ac:dyDescent="0.2">
      <c r="A58" s="3311"/>
      <c r="B58" s="2056" t="s">
        <v>8</v>
      </c>
      <c r="C58" s="3318"/>
      <c r="D58" s="1823">
        <v>34687000</v>
      </c>
      <c r="E58" s="1898">
        <v>8065000</v>
      </c>
      <c r="F58" s="1898">
        <v>1854955</v>
      </c>
      <c r="G58" s="1898">
        <v>17595000</v>
      </c>
      <c r="H58" s="1881">
        <v>2482000</v>
      </c>
      <c r="I58" s="2068">
        <f>+K58+F58+E58</f>
        <v>9919955</v>
      </c>
      <c r="J58" s="2067">
        <f t="shared" si="33"/>
        <v>28.598480698820882</v>
      </c>
      <c r="K58" s="2057">
        <v>0</v>
      </c>
      <c r="L58" s="2067">
        <f t="shared" si="34"/>
        <v>0</v>
      </c>
      <c r="M58" s="2001">
        <f>+K58-G58*0.5</f>
        <v>-8797500</v>
      </c>
      <c r="N58" s="3316"/>
    </row>
    <row r="59" spans="1:14" s="520" customFormat="1" ht="12.75" customHeight="1" thickBot="1" x14ac:dyDescent="0.25">
      <c r="A59" s="3312"/>
      <c r="B59" s="2069" t="s">
        <v>142</v>
      </c>
      <c r="C59" s="3320"/>
      <c r="D59" s="2707">
        <f>+E59+F59+G59+H59</f>
        <v>8200000</v>
      </c>
      <c r="E59" s="2708">
        <v>2145000</v>
      </c>
      <c r="F59" s="2708">
        <v>2055000</v>
      </c>
      <c r="G59" s="2708">
        <v>2000000</v>
      </c>
      <c r="H59" s="1916">
        <v>2000000</v>
      </c>
      <c r="I59" s="2070">
        <f>+K59+F59+E59</f>
        <v>4200000</v>
      </c>
      <c r="J59" s="2071">
        <f t="shared" si="33"/>
        <v>51.219512195121951</v>
      </c>
      <c r="K59" s="2072">
        <v>0</v>
      </c>
      <c r="L59" s="2071">
        <f t="shared" si="34"/>
        <v>0</v>
      </c>
      <c r="M59" s="2013">
        <f>+K59-G59*0.5</f>
        <v>-1000000</v>
      </c>
      <c r="N59" s="3317"/>
    </row>
    <row r="60" spans="1:14" s="196" customFormat="1" ht="50.25" customHeight="1" x14ac:dyDescent="0.2">
      <c r="A60" s="3293" t="s">
        <v>42</v>
      </c>
      <c r="B60" s="2792" t="s">
        <v>337</v>
      </c>
      <c r="C60" s="1865" t="s">
        <v>198</v>
      </c>
      <c r="D60" s="2073"/>
      <c r="E60" s="2074"/>
      <c r="F60" s="2075"/>
      <c r="G60" s="2075"/>
      <c r="H60" s="2076"/>
      <c r="I60" s="527"/>
      <c r="J60" s="1414"/>
      <c r="K60" s="2075"/>
      <c r="L60" s="2675"/>
      <c r="M60" s="2077"/>
      <c r="N60" s="2078"/>
    </row>
    <row r="61" spans="1:14" s="196" customFormat="1" ht="18" customHeight="1" x14ac:dyDescent="0.2">
      <c r="A61" s="3294"/>
      <c r="B61" s="1721" t="s">
        <v>3</v>
      </c>
      <c r="C61" s="1920"/>
      <c r="D61" s="583">
        <f t="shared" ref="D61:K61" si="39">D62</f>
        <v>11000000</v>
      </c>
      <c r="E61" s="484">
        <f t="shared" si="39"/>
        <v>3672000</v>
      </c>
      <c r="F61" s="484">
        <f t="shared" si="39"/>
        <v>612000</v>
      </c>
      <c r="G61" s="484">
        <f t="shared" si="39"/>
        <v>1033284</v>
      </c>
      <c r="H61" s="2079">
        <f t="shared" si="39"/>
        <v>5682716</v>
      </c>
      <c r="I61" s="2080">
        <f t="shared" si="39"/>
        <v>0</v>
      </c>
      <c r="J61" s="2025">
        <f t="shared" ref="J61:J64" si="40">+I61/D61*100</f>
        <v>0</v>
      </c>
      <c r="K61" s="2081">
        <f t="shared" si="39"/>
        <v>0</v>
      </c>
      <c r="L61" s="2676">
        <f t="shared" ref="L61:L64" si="41">+K61/G61*100</f>
        <v>0</v>
      </c>
      <c r="M61" s="2082">
        <f>+K61-G61*0.5</f>
        <v>-516642</v>
      </c>
      <c r="N61" s="3299" t="s">
        <v>250</v>
      </c>
    </row>
    <row r="62" spans="1:14" s="196" customFormat="1" ht="12.75" customHeight="1" x14ac:dyDescent="0.2">
      <c r="A62" s="3294"/>
      <c r="B62" s="2793" t="s">
        <v>18</v>
      </c>
      <c r="C62" s="3296" t="s">
        <v>158</v>
      </c>
      <c r="D62" s="2084">
        <f>+D63+D64</f>
        <v>11000000</v>
      </c>
      <c r="E62" s="2085">
        <f>+E63+E64</f>
        <v>3672000</v>
      </c>
      <c r="F62" s="2085">
        <f t="shared" ref="F62:H62" si="42">+F63+F64</f>
        <v>612000</v>
      </c>
      <c r="G62" s="2085">
        <f t="shared" si="42"/>
        <v>1033284</v>
      </c>
      <c r="H62" s="2113">
        <f t="shared" si="42"/>
        <v>5682716</v>
      </c>
      <c r="I62" s="2086">
        <f t="shared" ref="I62:I63" si="43">+I64</f>
        <v>0</v>
      </c>
      <c r="J62" s="2067">
        <f t="shared" si="40"/>
        <v>0</v>
      </c>
      <c r="K62" s="2087">
        <f>+K64</f>
        <v>0</v>
      </c>
      <c r="L62" s="2677">
        <f t="shared" si="41"/>
        <v>0</v>
      </c>
      <c r="M62" s="2088">
        <f>+K62-G62*0.5</f>
        <v>-516642</v>
      </c>
      <c r="N62" s="3299"/>
    </row>
    <row r="63" spans="1:14" s="196" customFormat="1" ht="12.75" customHeight="1" thickBot="1" x14ac:dyDescent="0.25">
      <c r="A63" s="3294"/>
      <c r="B63" s="2794" t="s">
        <v>146</v>
      </c>
      <c r="C63" s="3297"/>
      <c r="D63" s="1899">
        <f>+E63+F63</f>
        <v>4284000</v>
      </c>
      <c r="E63" s="1880">
        <f>2448000+612000+612000</f>
        <v>3672000</v>
      </c>
      <c r="F63" s="1880">
        <v>612000</v>
      </c>
      <c r="G63" s="1880"/>
      <c r="H63" s="2097"/>
      <c r="I63" s="2089">
        <f t="shared" si="43"/>
        <v>0</v>
      </c>
      <c r="J63" s="2067">
        <f t="shared" si="40"/>
        <v>0</v>
      </c>
      <c r="K63" s="2090">
        <f>+K65</f>
        <v>0</v>
      </c>
      <c r="L63" s="2677">
        <v>0</v>
      </c>
      <c r="M63" s="2091">
        <f>+K63-G63*0.5</f>
        <v>0</v>
      </c>
      <c r="N63" s="3265"/>
    </row>
    <row r="64" spans="1:14" s="196" customFormat="1" ht="12.75" customHeight="1" thickBot="1" x14ac:dyDescent="0.25">
      <c r="A64" s="3295"/>
      <c r="B64" s="2795" t="s">
        <v>5</v>
      </c>
      <c r="C64" s="3298"/>
      <c r="D64" s="1941">
        <f>+E64+F64+G64+H64</f>
        <v>6716000</v>
      </c>
      <c r="E64" s="1942">
        <v>0</v>
      </c>
      <c r="F64" s="1942">
        <v>0</v>
      </c>
      <c r="G64" s="1942">
        <v>1033284</v>
      </c>
      <c r="H64" s="2101">
        <f>2788944+1684944+1208828</f>
        <v>5682716</v>
      </c>
      <c r="I64" s="2092">
        <f>+E64+F64+K64</f>
        <v>0</v>
      </c>
      <c r="J64" s="2071">
        <f t="shared" si="40"/>
        <v>0</v>
      </c>
      <c r="K64" s="2093">
        <v>0</v>
      </c>
      <c r="L64" s="2678">
        <f t="shared" si="41"/>
        <v>0</v>
      </c>
      <c r="M64" s="2094">
        <f>+K64-G64*0.5</f>
        <v>-516642</v>
      </c>
      <c r="N64" s="3265"/>
    </row>
    <row r="65" spans="1:14" s="196" customFormat="1" ht="27" customHeight="1" x14ac:dyDescent="0.2">
      <c r="A65" s="3293">
        <v>5</v>
      </c>
      <c r="B65" s="2792" t="s">
        <v>336</v>
      </c>
      <c r="C65" s="1865" t="s">
        <v>198</v>
      </c>
      <c r="D65" s="2073"/>
      <c r="E65" s="2074"/>
      <c r="F65" s="2075"/>
      <c r="G65" s="2075"/>
      <c r="H65" s="2076"/>
      <c r="I65" s="527"/>
      <c r="J65" s="1414"/>
      <c r="K65" s="2075"/>
      <c r="L65" s="2675"/>
      <c r="M65" s="2077"/>
      <c r="N65" s="2078"/>
    </row>
    <row r="66" spans="1:14" s="196" customFormat="1" ht="18" customHeight="1" x14ac:dyDescent="0.2">
      <c r="A66" s="3294"/>
      <c r="B66" s="1721" t="s">
        <v>3</v>
      </c>
      <c r="C66" s="1920"/>
      <c r="D66" s="583">
        <f t="shared" ref="D66:K66" si="44">D67</f>
        <v>2900000</v>
      </c>
      <c r="E66" s="484">
        <f t="shared" si="44"/>
        <v>1249500</v>
      </c>
      <c r="F66" s="484">
        <f t="shared" si="44"/>
        <v>306000</v>
      </c>
      <c r="G66" s="2095">
        <f t="shared" si="44"/>
        <v>306000</v>
      </c>
      <c r="H66" s="2079">
        <f t="shared" si="44"/>
        <v>1038500</v>
      </c>
      <c r="I66" s="2080">
        <f t="shared" si="44"/>
        <v>0</v>
      </c>
      <c r="J66" s="2025">
        <f t="shared" ref="J66:J69" si="45">+I66/D66*100</f>
        <v>0</v>
      </c>
      <c r="K66" s="2081">
        <f t="shared" si="44"/>
        <v>0</v>
      </c>
      <c r="L66" s="2025">
        <f t="shared" ref="L66:L69" si="46">+K66/G66*100</f>
        <v>0</v>
      </c>
      <c r="M66" s="2082">
        <f>+K66-G66*0.5</f>
        <v>-153000</v>
      </c>
      <c r="N66" s="3299" t="s">
        <v>250</v>
      </c>
    </row>
    <row r="67" spans="1:14" s="196" customFormat="1" ht="12.75" customHeight="1" x14ac:dyDescent="0.2">
      <c r="A67" s="3294"/>
      <c r="B67" s="2793" t="s">
        <v>18</v>
      </c>
      <c r="C67" s="3296" t="s">
        <v>158</v>
      </c>
      <c r="D67" s="2084">
        <f>+D68+D69</f>
        <v>2900000</v>
      </c>
      <c r="E67" s="2085">
        <f>+E68+E69</f>
        <v>1249500</v>
      </c>
      <c r="F67" s="2085">
        <f t="shared" ref="F67:H67" si="47">+F68+F69</f>
        <v>306000</v>
      </c>
      <c r="G67" s="2085">
        <f t="shared" si="47"/>
        <v>306000</v>
      </c>
      <c r="H67" s="2113">
        <f t="shared" si="47"/>
        <v>1038500</v>
      </c>
      <c r="I67" s="2086">
        <f t="shared" ref="I67" si="48">+I69</f>
        <v>0</v>
      </c>
      <c r="J67" s="2067">
        <f t="shared" si="45"/>
        <v>0</v>
      </c>
      <c r="K67" s="2087">
        <f>+K69</f>
        <v>0</v>
      </c>
      <c r="L67" s="2067">
        <f t="shared" si="46"/>
        <v>0</v>
      </c>
      <c r="M67" s="2088">
        <f>+K67-G67*0.5</f>
        <v>-153000</v>
      </c>
      <c r="N67" s="3299"/>
    </row>
    <row r="68" spans="1:14" s="196" customFormat="1" ht="12.75" customHeight="1" x14ac:dyDescent="0.2">
      <c r="A68" s="3294"/>
      <c r="B68" s="2794" t="s">
        <v>146</v>
      </c>
      <c r="C68" s="3300"/>
      <c r="D68" s="2096">
        <f>+E68+F68</f>
        <v>1555500</v>
      </c>
      <c r="E68" s="1880">
        <f>637500+306000+306000</f>
        <v>1249500</v>
      </c>
      <c r="F68" s="1880">
        <v>306000</v>
      </c>
      <c r="G68" s="1880"/>
      <c r="H68" s="2097"/>
      <c r="I68" s="2098"/>
      <c r="J68" s="2067"/>
      <c r="K68" s="2099"/>
      <c r="L68" s="2067"/>
      <c r="M68" s="2091"/>
      <c r="N68" s="3299"/>
    </row>
    <row r="69" spans="1:14" s="196" customFormat="1" ht="12.75" customHeight="1" thickBot="1" x14ac:dyDescent="0.25">
      <c r="A69" s="3295"/>
      <c r="B69" s="2795" t="s">
        <v>5</v>
      </c>
      <c r="C69" s="3301"/>
      <c r="D69" s="2100">
        <f>+E69+F69+G69+H69</f>
        <v>1344500</v>
      </c>
      <c r="E69" s="1942">
        <v>0</v>
      </c>
      <c r="F69" s="1942">
        <v>0</v>
      </c>
      <c r="G69" s="1942">
        <v>306000</v>
      </c>
      <c r="H69" s="2101">
        <f>306000+306000+306000+120500</f>
        <v>1038500</v>
      </c>
      <c r="I69" s="2092">
        <f>+E69+F69+K69</f>
        <v>0</v>
      </c>
      <c r="J69" s="2071">
        <f t="shared" si="45"/>
        <v>0</v>
      </c>
      <c r="K69" s="2093">
        <v>0</v>
      </c>
      <c r="L69" s="2071">
        <f t="shared" si="46"/>
        <v>0</v>
      </c>
      <c r="M69" s="2094">
        <f>+K69-G69*0.5</f>
        <v>-153000</v>
      </c>
      <c r="N69" s="3265"/>
    </row>
    <row r="70" spans="1:14" s="196" customFormat="1" ht="27" customHeight="1" x14ac:dyDescent="0.2">
      <c r="A70" s="3294" t="s">
        <v>45</v>
      </c>
      <c r="B70" s="2796" t="s">
        <v>335</v>
      </c>
      <c r="C70" s="2102" t="s">
        <v>198</v>
      </c>
      <c r="D70" s="2103"/>
      <c r="E70" s="2104"/>
      <c r="F70" s="2105"/>
      <c r="G70" s="2105"/>
      <c r="H70" s="2696"/>
      <c r="I70" s="2103"/>
      <c r="J70" s="2106"/>
      <c r="K70" s="2105"/>
      <c r="L70" s="2107"/>
      <c r="M70" s="2108"/>
      <c r="N70" s="2109"/>
    </row>
    <row r="71" spans="1:14" s="196" customFormat="1" ht="18" customHeight="1" thickBot="1" x14ac:dyDescent="0.25">
      <c r="A71" s="3294"/>
      <c r="B71" s="1721" t="s">
        <v>3</v>
      </c>
      <c r="C71" s="2110"/>
      <c r="D71" s="529">
        <f t="shared" ref="D71:I71" si="49">D72</f>
        <v>8000000</v>
      </c>
      <c r="E71" s="2111">
        <f>+E72</f>
        <v>0</v>
      </c>
      <c r="F71" s="2111">
        <f t="shared" si="49"/>
        <v>0</v>
      </c>
      <c r="G71" s="2111">
        <f t="shared" si="49"/>
        <v>0</v>
      </c>
      <c r="H71" s="2079">
        <f t="shared" si="49"/>
        <v>8000000</v>
      </c>
      <c r="I71" s="2080">
        <f t="shared" si="49"/>
        <v>0</v>
      </c>
      <c r="J71" s="2025">
        <f t="shared" ref="J71:J73" si="50">+I71/D71*100</f>
        <v>0</v>
      </c>
      <c r="K71" s="2112">
        <f>+K72</f>
        <v>0</v>
      </c>
      <c r="L71" s="2025">
        <v>0</v>
      </c>
      <c r="M71" s="2082">
        <f>+K71-G71*0.5</f>
        <v>0</v>
      </c>
      <c r="N71" s="3265" t="s">
        <v>250</v>
      </c>
    </row>
    <row r="72" spans="1:14" s="196" customFormat="1" ht="12.75" customHeight="1" x14ac:dyDescent="0.2">
      <c r="A72" s="3294"/>
      <c r="B72" s="2083" t="s">
        <v>18</v>
      </c>
      <c r="C72" s="3303" t="s">
        <v>158</v>
      </c>
      <c r="D72" s="2716">
        <f t="shared" ref="D72:I72" si="51">+D73</f>
        <v>8000000</v>
      </c>
      <c r="E72" s="2717">
        <f t="shared" si="51"/>
        <v>0</v>
      </c>
      <c r="F72" s="2717">
        <f t="shared" si="51"/>
        <v>0</v>
      </c>
      <c r="G72" s="2717">
        <f t="shared" si="51"/>
        <v>0</v>
      </c>
      <c r="H72" s="2113">
        <f t="shared" si="51"/>
        <v>8000000</v>
      </c>
      <c r="I72" s="2098">
        <f t="shared" si="51"/>
        <v>0</v>
      </c>
      <c r="J72" s="2067">
        <f t="shared" si="50"/>
        <v>0</v>
      </c>
      <c r="K72" s="2099">
        <f>+K73</f>
        <v>0</v>
      </c>
      <c r="L72" s="2067">
        <v>0</v>
      </c>
      <c r="M72" s="2088">
        <f>+K72-G72*0.5</f>
        <v>0</v>
      </c>
      <c r="N72" s="3302"/>
    </row>
    <row r="73" spans="1:14" s="196" customFormat="1" ht="12.75" customHeight="1" thickBot="1" x14ac:dyDescent="0.25">
      <c r="A73" s="3294"/>
      <c r="B73" s="2114" t="s">
        <v>5</v>
      </c>
      <c r="C73" s="3304"/>
      <c r="D73" s="2100">
        <f>+E73+F73+G73+H73</f>
        <v>8000000</v>
      </c>
      <c r="E73" s="1942">
        <v>0</v>
      </c>
      <c r="F73" s="1942">
        <v>0</v>
      </c>
      <c r="G73" s="1942">
        <v>0</v>
      </c>
      <c r="H73" s="2101">
        <v>8000000</v>
      </c>
      <c r="I73" s="2092">
        <f>+E73+F73+K73</f>
        <v>0</v>
      </c>
      <c r="J73" s="2067">
        <f t="shared" si="50"/>
        <v>0</v>
      </c>
      <c r="K73" s="2093">
        <v>0</v>
      </c>
      <c r="L73" s="2067">
        <v>0</v>
      </c>
      <c r="M73" s="2094">
        <f>+K73-G73*0.5</f>
        <v>0</v>
      </c>
      <c r="N73" s="3265"/>
    </row>
    <row r="74" spans="1:14" s="520" customFormat="1" ht="30.75" customHeight="1" x14ac:dyDescent="0.2">
      <c r="A74" s="3291" t="s">
        <v>342</v>
      </c>
      <c r="B74" s="3292"/>
      <c r="C74" s="3291"/>
      <c r="D74" s="3291"/>
      <c r="E74" s="3291"/>
      <c r="F74" s="3291"/>
      <c r="G74" s="3291"/>
      <c r="H74" s="3291"/>
      <c r="I74" s="3291"/>
      <c r="J74" s="3291"/>
      <c r="K74" s="3291"/>
      <c r="L74" s="3291"/>
      <c r="M74" s="3291"/>
      <c r="N74" s="1521"/>
    </row>
    <row r="75" spans="1:14" s="532" customFormat="1" ht="13.5" customHeight="1" x14ac:dyDescent="0.2">
      <c r="A75" s="646" t="s">
        <v>296</v>
      </c>
      <c r="B75" s="1522"/>
      <c r="C75" s="533"/>
      <c r="D75" s="423"/>
      <c r="E75" s="423"/>
      <c r="F75" s="423"/>
      <c r="G75" s="423"/>
      <c r="H75" s="423"/>
      <c r="I75" s="423"/>
      <c r="J75" s="423"/>
      <c r="K75" s="423"/>
      <c r="L75" s="423"/>
      <c r="M75" s="423"/>
      <c r="N75" s="534"/>
    </row>
    <row r="76" spans="1:14" s="535" customFormat="1" ht="13.5" customHeight="1" x14ac:dyDescent="0.2">
      <c r="A76" s="1328"/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534"/>
    </row>
    <row r="77" spans="1:14" s="536" customFormat="1" ht="12.75" customHeight="1" x14ac:dyDescent="0.2">
      <c r="C77" s="535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534"/>
    </row>
    <row r="78" spans="1:14" s="520" customFormat="1" ht="10.5" customHeight="1" x14ac:dyDescent="0.2">
      <c r="A78" s="420"/>
      <c r="B78" s="423"/>
      <c r="C78" s="425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534"/>
    </row>
    <row r="79" spans="1:14" s="535" customFormat="1" ht="15.75" customHeight="1" x14ac:dyDescent="0.2">
      <c r="B79" s="423"/>
      <c r="C79" s="425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534"/>
    </row>
    <row r="80" spans="1:14" s="535" customFormat="1" ht="15.75" customHeight="1" x14ac:dyDescent="0.2">
      <c r="A80" s="420"/>
      <c r="B80" s="423"/>
      <c r="C80" s="425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534"/>
    </row>
    <row r="81" spans="1:14" s="535" customFormat="1" ht="15.75" customHeight="1" x14ac:dyDescent="0.2">
      <c r="A81" s="420"/>
      <c r="B81" s="423"/>
      <c r="C81" s="425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534"/>
    </row>
    <row r="82" spans="1:14" s="535" customFormat="1" ht="12" customHeight="1" x14ac:dyDescent="0.2">
      <c r="A82" s="420"/>
      <c r="B82" s="423"/>
      <c r="C82" s="425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534"/>
    </row>
    <row r="83" spans="1:14" s="533" customFormat="1" ht="22.5" customHeight="1" x14ac:dyDescent="0.2">
      <c r="A83" s="420"/>
      <c r="B83" s="423"/>
      <c r="C83" s="425"/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534"/>
    </row>
    <row r="84" spans="1:14" s="520" customFormat="1" ht="12.75" customHeight="1" x14ac:dyDescent="0.2">
      <c r="A84" s="420"/>
      <c r="B84" s="423"/>
      <c r="C84" s="425"/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534"/>
    </row>
    <row r="85" spans="1:14" s="520" customFormat="1" ht="12.75" customHeight="1" x14ac:dyDescent="0.2">
      <c r="A85" s="420"/>
      <c r="B85" s="423"/>
      <c r="C85" s="425"/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534"/>
    </row>
    <row r="86" spans="1:14" s="520" customFormat="1" x14ac:dyDescent="0.2">
      <c r="A86" s="420"/>
      <c r="B86" s="423"/>
      <c r="C86" s="425"/>
      <c r="D86" s="423"/>
      <c r="E86" s="423"/>
      <c r="F86" s="423"/>
      <c r="G86" s="423"/>
      <c r="H86" s="423"/>
      <c r="I86" s="423"/>
      <c r="J86" s="423"/>
      <c r="K86" s="423"/>
      <c r="L86" s="423"/>
      <c r="M86" s="423"/>
      <c r="N86" s="534"/>
    </row>
    <row r="87" spans="1:14" s="533" customFormat="1" ht="14.25" customHeight="1" x14ac:dyDescent="0.2">
      <c r="A87" s="420"/>
      <c r="B87" s="423"/>
      <c r="C87" s="425"/>
      <c r="D87" s="423"/>
      <c r="E87" s="423"/>
      <c r="F87" s="423"/>
      <c r="G87" s="423"/>
      <c r="H87" s="423"/>
      <c r="I87" s="423"/>
      <c r="J87" s="423"/>
      <c r="K87" s="423"/>
      <c r="L87" s="423"/>
      <c r="M87" s="423"/>
      <c r="N87" s="534"/>
    </row>
    <row r="88" spans="1:14" s="520" customFormat="1" ht="12.75" customHeight="1" x14ac:dyDescent="0.2">
      <c r="A88" s="420"/>
      <c r="B88" s="423"/>
      <c r="C88" s="425"/>
      <c r="D88" s="423"/>
      <c r="E88" s="423"/>
      <c r="F88" s="423"/>
      <c r="G88" s="423"/>
      <c r="H88" s="423"/>
      <c r="I88" s="423"/>
      <c r="J88" s="423"/>
      <c r="K88" s="423"/>
      <c r="L88" s="423"/>
      <c r="M88" s="423"/>
      <c r="N88" s="534"/>
    </row>
    <row r="89" spans="1:14" s="520" customFormat="1" ht="12.75" customHeight="1" x14ac:dyDescent="0.2">
      <c r="A89" s="420"/>
      <c r="B89" s="423"/>
      <c r="C89" s="425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534"/>
    </row>
    <row r="90" spans="1:14" s="520" customFormat="1" x14ac:dyDescent="0.2">
      <c r="A90" s="420"/>
      <c r="B90" s="423"/>
      <c r="C90" s="425"/>
      <c r="D90" s="423"/>
      <c r="E90" s="423"/>
      <c r="F90" s="423"/>
      <c r="G90" s="423"/>
      <c r="H90" s="423"/>
      <c r="I90" s="423"/>
      <c r="J90" s="423"/>
      <c r="K90" s="423"/>
      <c r="L90" s="423"/>
      <c r="M90" s="423"/>
      <c r="N90" s="534"/>
    </row>
    <row r="91" spans="1:14" s="520" customFormat="1" x14ac:dyDescent="0.2">
      <c r="A91" s="420"/>
      <c r="B91" s="423"/>
      <c r="C91" s="425"/>
      <c r="D91" s="423"/>
      <c r="E91" s="423"/>
      <c r="F91" s="423"/>
      <c r="G91" s="423"/>
      <c r="H91" s="423"/>
      <c r="I91" s="423"/>
      <c r="J91" s="423"/>
      <c r="K91" s="423"/>
      <c r="L91" s="423"/>
      <c r="M91" s="423"/>
      <c r="N91" s="534"/>
    </row>
    <row r="92" spans="1:14" s="533" customFormat="1" ht="33.75" customHeight="1" x14ac:dyDescent="0.2">
      <c r="A92" s="420"/>
      <c r="B92" s="423"/>
      <c r="C92" s="425"/>
      <c r="D92" s="423"/>
      <c r="E92" s="423"/>
      <c r="F92" s="423"/>
      <c r="G92" s="423"/>
      <c r="H92" s="423"/>
      <c r="I92" s="423"/>
      <c r="J92" s="423"/>
      <c r="K92" s="423"/>
      <c r="L92" s="423"/>
      <c r="M92" s="423"/>
      <c r="N92" s="534"/>
    </row>
    <row r="93" spans="1:14" s="520" customFormat="1" ht="12.75" customHeight="1" x14ac:dyDescent="0.2">
      <c r="A93" s="420"/>
      <c r="B93" s="423"/>
      <c r="C93" s="425"/>
      <c r="D93" s="423"/>
      <c r="E93" s="423"/>
      <c r="F93" s="423"/>
      <c r="G93" s="423"/>
      <c r="H93" s="423"/>
      <c r="I93" s="423"/>
      <c r="J93" s="423"/>
      <c r="K93" s="423"/>
      <c r="L93" s="423"/>
      <c r="M93" s="423"/>
      <c r="N93" s="534"/>
    </row>
    <row r="94" spans="1:14" s="520" customFormat="1" ht="12.75" customHeight="1" x14ac:dyDescent="0.2">
      <c r="A94" s="420"/>
      <c r="B94" s="423"/>
      <c r="C94" s="425"/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534"/>
    </row>
    <row r="95" spans="1:14" s="520" customFormat="1" ht="12.75" customHeight="1" x14ac:dyDescent="0.2">
      <c r="A95" s="420"/>
      <c r="B95" s="423"/>
      <c r="C95" s="425"/>
      <c r="D95" s="423"/>
      <c r="E95" s="423"/>
      <c r="F95" s="423"/>
      <c r="G95" s="423"/>
      <c r="H95" s="423"/>
      <c r="I95" s="423"/>
      <c r="J95" s="423"/>
      <c r="K95" s="423"/>
      <c r="L95" s="423"/>
      <c r="M95" s="423"/>
      <c r="N95" s="534"/>
    </row>
    <row r="96" spans="1:14" s="520" customFormat="1" ht="12.75" customHeight="1" x14ac:dyDescent="0.2">
      <c r="A96" s="420"/>
      <c r="B96" s="423"/>
      <c r="C96" s="425"/>
      <c r="D96" s="423"/>
      <c r="E96" s="423"/>
      <c r="F96" s="423"/>
      <c r="G96" s="423"/>
      <c r="H96" s="423"/>
      <c r="I96" s="423"/>
      <c r="J96" s="423"/>
      <c r="K96" s="423"/>
      <c r="L96" s="423"/>
      <c r="M96" s="423"/>
      <c r="N96" s="534"/>
    </row>
    <row r="97" spans="1:14" s="520" customFormat="1" x14ac:dyDescent="0.2">
      <c r="A97" s="420"/>
      <c r="B97" s="423"/>
      <c r="C97" s="425"/>
      <c r="D97" s="423"/>
      <c r="E97" s="423"/>
      <c r="F97" s="423"/>
      <c r="G97" s="423"/>
      <c r="H97" s="423"/>
      <c r="I97" s="423"/>
      <c r="J97" s="423"/>
      <c r="K97" s="423"/>
      <c r="L97" s="423"/>
      <c r="M97" s="423"/>
      <c r="N97" s="534"/>
    </row>
    <row r="98" spans="1:14" s="533" customFormat="1" ht="12" customHeight="1" x14ac:dyDescent="0.2">
      <c r="A98" s="420"/>
      <c r="B98" s="423"/>
      <c r="C98" s="425"/>
      <c r="D98" s="423"/>
      <c r="E98" s="423"/>
      <c r="F98" s="423"/>
      <c r="G98" s="423"/>
      <c r="H98" s="423"/>
      <c r="I98" s="423"/>
      <c r="J98" s="423"/>
      <c r="K98" s="423"/>
      <c r="L98" s="423"/>
      <c r="M98" s="423"/>
      <c r="N98" s="534"/>
    </row>
    <row r="99" spans="1:14" s="520" customFormat="1" ht="12.75" customHeight="1" x14ac:dyDescent="0.2">
      <c r="A99" s="420"/>
      <c r="B99" s="423"/>
      <c r="C99" s="425"/>
      <c r="D99" s="423"/>
      <c r="E99" s="423"/>
      <c r="F99" s="423"/>
      <c r="G99" s="423"/>
      <c r="H99" s="423"/>
      <c r="I99" s="423"/>
      <c r="J99" s="423"/>
      <c r="K99" s="423"/>
      <c r="L99" s="423"/>
      <c r="M99" s="423"/>
      <c r="N99" s="534"/>
    </row>
    <row r="100" spans="1:14" s="520" customFormat="1" ht="12.75" customHeight="1" x14ac:dyDescent="0.2">
      <c r="A100" s="420"/>
      <c r="B100" s="423"/>
      <c r="C100" s="425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534"/>
    </row>
    <row r="101" spans="1:14" s="520" customFormat="1" x14ac:dyDescent="0.2">
      <c r="A101" s="420"/>
      <c r="B101" s="423"/>
      <c r="C101" s="425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534"/>
    </row>
    <row r="102" spans="1:14" s="520" customFormat="1" x14ac:dyDescent="0.2">
      <c r="A102" s="420"/>
      <c r="B102" s="423"/>
      <c r="C102" s="425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534"/>
    </row>
    <row r="103" spans="1:14" s="533" customFormat="1" ht="22.5" customHeight="1" x14ac:dyDescent="0.2">
      <c r="A103" s="420"/>
      <c r="B103" s="423"/>
      <c r="C103" s="425"/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534"/>
    </row>
    <row r="104" spans="1:14" s="520" customFormat="1" ht="12.75" customHeight="1" x14ac:dyDescent="0.2">
      <c r="A104" s="420"/>
      <c r="B104" s="423"/>
      <c r="C104" s="425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534"/>
    </row>
    <row r="105" spans="1:14" s="520" customFormat="1" ht="12.75" customHeight="1" x14ac:dyDescent="0.2">
      <c r="A105" s="420"/>
      <c r="B105" s="423"/>
      <c r="C105" s="425"/>
      <c r="D105" s="423"/>
      <c r="E105" s="423"/>
      <c r="F105" s="423"/>
      <c r="G105" s="423"/>
      <c r="H105" s="423"/>
      <c r="I105" s="423"/>
      <c r="J105" s="423"/>
      <c r="K105" s="423"/>
      <c r="L105" s="423"/>
      <c r="M105" s="423"/>
      <c r="N105" s="534"/>
    </row>
    <row r="106" spans="1:14" s="520" customFormat="1" x14ac:dyDescent="0.2">
      <c r="A106" s="420"/>
      <c r="B106" s="423"/>
      <c r="C106" s="425"/>
      <c r="D106" s="423"/>
      <c r="E106" s="423"/>
      <c r="F106" s="423"/>
      <c r="G106" s="423"/>
      <c r="H106" s="423"/>
      <c r="I106" s="423"/>
      <c r="J106" s="423"/>
      <c r="K106" s="423"/>
      <c r="L106" s="423"/>
      <c r="M106" s="423"/>
      <c r="N106" s="534"/>
    </row>
    <row r="107" spans="1:14" s="520" customFormat="1" x14ac:dyDescent="0.2">
      <c r="A107" s="420"/>
      <c r="B107" s="423"/>
      <c r="C107" s="425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534"/>
    </row>
    <row r="108" spans="1:14" s="533" customFormat="1" ht="15" customHeight="1" x14ac:dyDescent="0.2">
      <c r="A108" s="420"/>
      <c r="B108" s="423"/>
      <c r="C108" s="425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534"/>
    </row>
    <row r="109" spans="1:14" s="520" customFormat="1" ht="12.75" customHeight="1" x14ac:dyDescent="0.2">
      <c r="A109" s="420"/>
      <c r="B109" s="423"/>
      <c r="C109" s="425"/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534"/>
    </row>
    <row r="110" spans="1:14" s="520" customFormat="1" ht="12.75" customHeight="1" x14ac:dyDescent="0.2">
      <c r="A110" s="420"/>
      <c r="B110" s="423"/>
      <c r="C110" s="425"/>
      <c r="D110" s="423"/>
      <c r="E110" s="423"/>
      <c r="F110" s="423"/>
      <c r="G110" s="423"/>
      <c r="H110" s="423"/>
      <c r="I110" s="423"/>
      <c r="J110" s="423"/>
      <c r="K110" s="423"/>
      <c r="L110" s="423"/>
      <c r="M110" s="423"/>
      <c r="N110" s="534"/>
    </row>
    <row r="111" spans="1:14" s="520" customFormat="1" x14ac:dyDescent="0.2">
      <c r="A111" s="420"/>
      <c r="B111" s="423"/>
      <c r="C111" s="425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534"/>
    </row>
    <row r="112" spans="1:14" s="520" customFormat="1" x14ac:dyDescent="0.2">
      <c r="A112" s="420"/>
      <c r="B112" s="423"/>
      <c r="C112" s="425"/>
      <c r="D112" s="423"/>
      <c r="E112" s="423"/>
      <c r="F112" s="423"/>
      <c r="G112" s="423"/>
      <c r="H112" s="423"/>
      <c r="I112" s="423"/>
      <c r="J112" s="423"/>
      <c r="K112" s="423"/>
      <c r="L112" s="423"/>
      <c r="M112" s="423"/>
      <c r="N112" s="534"/>
    </row>
    <row r="113" spans="1:14" s="533" customFormat="1" ht="13.5" customHeight="1" x14ac:dyDescent="0.2">
      <c r="A113" s="420"/>
      <c r="B113" s="423"/>
      <c r="C113" s="425"/>
      <c r="D113" s="423"/>
      <c r="E113" s="423"/>
      <c r="F113" s="423"/>
      <c r="G113" s="423"/>
      <c r="H113" s="423"/>
      <c r="I113" s="423"/>
      <c r="J113" s="423"/>
      <c r="K113" s="423"/>
      <c r="L113" s="423"/>
      <c r="M113" s="423"/>
      <c r="N113" s="534"/>
    </row>
    <row r="114" spans="1:14" s="520" customFormat="1" ht="12.75" customHeight="1" x14ac:dyDescent="0.2">
      <c r="A114" s="420"/>
      <c r="B114" s="423"/>
      <c r="C114" s="425"/>
      <c r="D114" s="423"/>
      <c r="E114" s="423"/>
      <c r="F114" s="423"/>
      <c r="G114" s="423"/>
      <c r="H114" s="423"/>
      <c r="I114" s="423"/>
      <c r="J114" s="423"/>
      <c r="K114" s="423"/>
      <c r="L114" s="423"/>
      <c r="M114" s="423"/>
      <c r="N114" s="534"/>
    </row>
    <row r="115" spans="1:14" s="520" customFormat="1" ht="12.75" customHeight="1" x14ac:dyDescent="0.2">
      <c r="A115" s="420"/>
      <c r="B115" s="423"/>
      <c r="C115" s="425"/>
      <c r="D115" s="423"/>
      <c r="E115" s="423"/>
      <c r="F115" s="423"/>
      <c r="G115" s="423"/>
      <c r="H115" s="423"/>
      <c r="I115" s="423"/>
      <c r="J115" s="423"/>
      <c r="K115" s="423"/>
      <c r="L115" s="423"/>
      <c r="M115" s="423"/>
      <c r="N115" s="534"/>
    </row>
    <row r="116" spans="1:14" s="520" customFormat="1" x14ac:dyDescent="0.2">
      <c r="A116" s="420"/>
      <c r="B116" s="423"/>
      <c r="C116" s="425"/>
      <c r="D116" s="423"/>
      <c r="E116" s="423"/>
      <c r="F116" s="423"/>
      <c r="G116" s="423"/>
      <c r="H116" s="423"/>
      <c r="I116" s="423"/>
      <c r="J116" s="423"/>
      <c r="K116" s="423"/>
      <c r="L116" s="423"/>
      <c r="M116" s="423"/>
      <c r="N116" s="534"/>
    </row>
    <row r="117" spans="1:14" s="520" customFormat="1" x14ac:dyDescent="0.2">
      <c r="A117" s="420"/>
      <c r="B117" s="423"/>
      <c r="C117" s="425"/>
      <c r="D117" s="423"/>
      <c r="E117" s="423"/>
      <c r="F117" s="423"/>
      <c r="G117" s="423"/>
      <c r="H117" s="423"/>
      <c r="I117" s="423"/>
      <c r="J117" s="423"/>
      <c r="K117" s="423"/>
      <c r="L117" s="423"/>
      <c r="M117" s="423"/>
      <c r="N117" s="534"/>
    </row>
    <row r="118" spans="1:14" s="520" customFormat="1" x14ac:dyDescent="0.2">
      <c r="A118" s="420"/>
      <c r="B118" s="423"/>
      <c r="C118" s="425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534"/>
    </row>
    <row r="119" spans="1:14" s="533" customFormat="1" ht="22.5" customHeight="1" x14ac:dyDescent="0.2">
      <c r="A119" s="420"/>
      <c r="B119" s="423"/>
      <c r="C119" s="425"/>
      <c r="D119" s="423"/>
      <c r="E119" s="423"/>
      <c r="F119" s="423"/>
      <c r="G119" s="423"/>
      <c r="H119" s="423"/>
      <c r="I119" s="423"/>
      <c r="J119" s="423"/>
      <c r="K119" s="423"/>
      <c r="L119" s="423"/>
      <c r="M119" s="423"/>
      <c r="N119" s="534"/>
    </row>
    <row r="120" spans="1:14" s="520" customFormat="1" ht="12.75" customHeight="1" x14ac:dyDescent="0.2">
      <c r="A120" s="420"/>
      <c r="B120" s="423"/>
      <c r="C120" s="425"/>
      <c r="D120" s="423"/>
      <c r="E120" s="423"/>
      <c r="F120" s="423"/>
      <c r="G120" s="423"/>
      <c r="H120" s="423"/>
      <c r="I120" s="423"/>
      <c r="J120" s="423"/>
      <c r="K120" s="423"/>
      <c r="L120" s="423"/>
      <c r="M120" s="423"/>
      <c r="N120" s="534"/>
    </row>
    <row r="121" spans="1:14" s="520" customFormat="1" ht="12.75" customHeight="1" x14ac:dyDescent="0.2">
      <c r="A121" s="420"/>
      <c r="B121" s="423"/>
      <c r="C121" s="425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534"/>
    </row>
    <row r="122" spans="1:14" s="520" customFormat="1" x14ac:dyDescent="0.2">
      <c r="A122" s="420"/>
      <c r="B122" s="423"/>
      <c r="C122" s="425"/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534"/>
    </row>
    <row r="123" spans="1:14" s="520" customFormat="1" x14ac:dyDescent="0.2">
      <c r="A123" s="420"/>
      <c r="B123" s="423"/>
      <c r="C123" s="425"/>
      <c r="D123" s="423"/>
      <c r="E123" s="423"/>
      <c r="F123" s="423"/>
      <c r="G123" s="423"/>
      <c r="H123" s="423"/>
      <c r="I123" s="423"/>
      <c r="J123" s="423"/>
      <c r="K123" s="423"/>
      <c r="L123" s="423"/>
      <c r="M123" s="423"/>
      <c r="N123" s="534"/>
    </row>
    <row r="124" spans="1:14" s="533" customFormat="1" ht="12.75" customHeight="1" x14ac:dyDescent="0.2">
      <c r="A124" s="420"/>
      <c r="B124" s="423"/>
      <c r="C124" s="425"/>
      <c r="D124" s="423"/>
      <c r="E124" s="423"/>
      <c r="F124" s="423"/>
      <c r="G124" s="423"/>
      <c r="H124" s="423"/>
      <c r="I124" s="423"/>
      <c r="J124" s="423"/>
      <c r="K124" s="423"/>
      <c r="L124" s="423"/>
      <c r="M124" s="423"/>
      <c r="N124" s="534"/>
    </row>
    <row r="125" spans="1:14" s="520" customFormat="1" ht="9.75" customHeight="1" x14ac:dyDescent="0.2">
      <c r="A125" s="420"/>
      <c r="B125" s="423"/>
      <c r="C125" s="425"/>
      <c r="D125" s="423"/>
      <c r="E125" s="423"/>
      <c r="F125" s="423"/>
      <c r="G125" s="423"/>
      <c r="H125" s="423"/>
      <c r="I125" s="423"/>
      <c r="J125" s="423"/>
      <c r="K125" s="423"/>
      <c r="L125" s="423"/>
      <c r="M125" s="423"/>
      <c r="N125" s="534"/>
    </row>
    <row r="126" spans="1:14" s="520" customFormat="1" ht="12.75" customHeight="1" x14ac:dyDescent="0.2">
      <c r="A126" s="420"/>
      <c r="B126" s="423"/>
      <c r="C126" s="425"/>
      <c r="D126" s="423"/>
      <c r="E126" s="423"/>
      <c r="F126" s="423"/>
      <c r="G126" s="423"/>
      <c r="H126" s="423"/>
      <c r="I126" s="423"/>
      <c r="J126" s="423"/>
      <c r="K126" s="423"/>
      <c r="L126" s="423"/>
      <c r="M126" s="423"/>
      <c r="N126" s="534"/>
    </row>
    <row r="127" spans="1:14" s="520" customFormat="1" x14ac:dyDescent="0.2">
      <c r="A127" s="420"/>
      <c r="B127" s="423"/>
      <c r="C127" s="425"/>
      <c r="D127" s="423"/>
      <c r="E127" s="423"/>
      <c r="F127" s="423"/>
      <c r="G127" s="423"/>
      <c r="H127" s="423"/>
      <c r="I127" s="423"/>
      <c r="J127" s="423"/>
      <c r="K127" s="423"/>
      <c r="L127" s="423"/>
      <c r="M127" s="423"/>
      <c r="N127" s="534"/>
    </row>
    <row r="128" spans="1:14" s="520" customFormat="1" x14ac:dyDescent="0.2">
      <c r="A128" s="420"/>
      <c r="B128" s="423"/>
      <c r="C128" s="425"/>
      <c r="D128" s="423"/>
      <c r="E128" s="423"/>
      <c r="F128" s="423"/>
      <c r="G128" s="423"/>
      <c r="H128" s="423"/>
      <c r="I128" s="423"/>
      <c r="J128" s="423"/>
      <c r="K128" s="423"/>
      <c r="L128" s="423"/>
      <c r="M128" s="423"/>
      <c r="N128" s="534"/>
    </row>
    <row r="129" spans="1:14" s="533" customFormat="1" ht="13.5" customHeight="1" x14ac:dyDescent="0.2">
      <c r="A129" s="420"/>
      <c r="B129" s="423"/>
      <c r="C129" s="425"/>
      <c r="D129" s="423"/>
      <c r="E129" s="423"/>
      <c r="F129" s="423"/>
      <c r="G129" s="423"/>
      <c r="H129" s="423"/>
      <c r="I129" s="423"/>
      <c r="J129" s="423"/>
      <c r="K129" s="423"/>
      <c r="L129" s="423"/>
      <c r="M129" s="423"/>
      <c r="N129" s="534"/>
    </row>
    <row r="130" spans="1:14" s="520" customFormat="1" ht="9.75" customHeight="1" x14ac:dyDescent="0.2">
      <c r="A130" s="420"/>
      <c r="B130" s="423"/>
      <c r="C130" s="425"/>
      <c r="D130" s="423"/>
      <c r="E130" s="423"/>
      <c r="F130" s="423"/>
      <c r="G130" s="423"/>
      <c r="H130" s="423"/>
      <c r="I130" s="423"/>
      <c r="J130" s="423"/>
      <c r="K130" s="423"/>
      <c r="L130" s="423"/>
      <c r="M130" s="423"/>
      <c r="N130" s="534"/>
    </row>
    <row r="131" spans="1:14" s="520" customFormat="1" ht="12.75" customHeight="1" x14ac:dyDescent="0.2">
      <c r="A131" s="420"/>
      <c r="B131" s="423"/>
      <c r="C131" s="425"/>
      <c r="D131" s="423"/>
      <c r="E131" s="423"/>
      <c r="F131" s="423"/>
      <c r="G131" s="423"/>
      <c r="H131" s="423"/>
      <c r="I131" s="423"/>
      <c r="J131" s="423"/>
      <c r="K131" s="423"/>
      <c r="L131" s="423"/>
      <c r="M131" s="423"/>
      <c r="N131" s="534"/>
    </row>
    <row r="132" spans="1:14" s="520" customFormat="1" x14ac:dyDescent="0.2">
      <c r="A132" s="420"/>
      <c r="B132" s="423"/>
      <c r="C132" s="425"/>
      <c r="D132" s="423"/>
      <c r="E132" s="423"/>
      <c r="F132" s="423"/>
      <c r="G132" s="423"/>
      <c r="H132" s="423"/>
      <c r="I132" s="423"/>
      <c r="J132" s="423"/>
      <c r="K132" s="423"/>
      <c r="L132" s="423"/>
      <c r="M132" s="423"/>
      <c r="N132" s="534"/>
    </row>
    <row r="133" spans="1:14" s="520" customFormat="1" x14ac:dyDescent="0.2">
      <c r="A133" s="420"/>
      <c r="B133" s="423"/>
      <c r="C133" s="425"/>
      <c r="D133" s="423"/>
      <c r="E133" s="423"/>
      <c r="F133" s="423"/>
      <c r="G133" s="423"/>
      <c r="H133" s="423"/>
      <c r="I133" s="423"/>
      <c r="J133" s="423"/>
      <c r="K133" s="423"/>
      <c r="L133" s="423"/>
      <c r="M133" s="423"/>
      <c r="N133" s="534"/>
    </row>
    <row r="134" spans="1:14" s="520" customFormat="1" x14ac:dyDescent="0.2">
      <c r="A134" s="420"/>
      <c r="B134" s="423"/>
      <c r="C134" s="425"/>
      <c r="D134" s="423"/>
      <c r="E134" s="423"/>
      <c r="F134" s="423"/>
      <c r="G134" s="423"/>
      <c r="H134" s="423"/>
      <c r="I134" s="423"/>
      <c r="J134" s="423"/>
      <c r="K134" s="423"/>
      <c r="L134" s="423"/>
      <c r="M134" s="423"/>
      <c r="N134" s="534"/>
    </row>
    <row r="135" spans="1:14" s="520" customFormat="1" x14ac:dyDescent="0.2">
      <c r="A135" s="420"/>
      <c r="B135" s="423"/>
      <c r="C135" s="425"/>
      <c r="D135" s="423"/>
      <c r="E135" s="423"/>
      <c r="F135" s="423"/>
      <c r="G135" s="423"/>
      <c r="H135" s="423"/>
      <c r="I135" s="423"/>
      <c r="J135" s="423"/>
      <c r="K135" s="423"/>
      <c r="L135" s="423"/>
      <c r="M135" s="423"/>
      <c r="N135" s="534"/>
    </row>
    <row r="136" spans="1:14" s="520" customFormat="1" x14ac:dyDescent="0.2">
      <c r="A136" s="420"/>
      <c r="B136" s="423"/>
      <c r="C136" s="425"/>
      <c r="D136" s="423"/>
      <c r="E136" s="423"/>
      <c r="F136" s="423"/>
      <c r="G136" s="423"/>
      <c r="H136" s="423"/>
      <c r="I136" s="423"/>
      <c r="J136" s="423"/>
      <c r="K136" s="423"/>
      <c r="L136" s="423"/>
      <c r="M136" s="423"/>
      <c r="N136" s="534"/>
    </row>
    <row r="137" spans="1:14" s="533" customFormat="1" ht="22.5" customHeight="1" x14ac:dyDescent="0.2">
      <c r="A137" s="420"/>
      <c r="B137" s="423"/>
      <c r="C137" s="425"/>
      <c r="D137" s="423"/>
      <c r="E137" s="423"/>
      <c r="F137" s="423"/>
      <c r="G137" s="423"/>
      <c r="H137" s="423"/>
      <c r="I137" s="423"/>
      <c r="J137" s="423"/>
      <c r="K137" s="423"/>
      <c r="L137" s="423"/>
      <c r="M137" s="423"/>
      <c r="N137" s="534"/>
    </row>
    <row r="138" spans="1:14" s="520" customFormat="1" ht="12.75" customHeight="1" x14ac:dyDescent="0.2">
      <c r="A138" s="420"/>
      <c r="B138" s="423"/>
      <c r="C138" s="425"/>
      <c r="D138" s="423"/>
      <c r="E138" s="423"/>
      <c r="F138" s="423"/>
      <c r="G138" s="423"/>
      <c r="H138" s="423"/>
      <c r="I138" s="423"/>
      <c r="J138" s="423"/>
      <c r="K138" s="423"/>
      <c r="L138" s="423"/>
      <c r="M138" s="423"/>
      <c r="N138" s="534"/>
    </row>
    <row r="139" spans="1:14" s="520" customFormat="1" ht="12.75" customHeight="1" x14ac:dyDescent="0.2">
      <c r="A139" s="420"/>
      <c r="B139" s="423"/>
      <c r="C139" s="425"/>
      <c r="D139" s="423"/>
      <c r="E139" s="423"/>
      <c r="F139" s="423"/>
      <c r="G139" s="423"/>
      <c r="H139" s="423"/>
      <c r="I139" s="423"/>
      <c r="J139" s="423"/>
      <c r="K139" s="423"/>
      <c r="L139" s="423"/>
      <c r="M139" s="423"/>
      <c r="N139" s="534"/>
    </row>
    <row r="140" spans="1:14" s="520" customFormat="1" x14ac:dyDescent="0.2">
      <c r="A140" s="420"/>
      <c r="B140" s="423"/>
      <c r="C140" s="425"/>
      <c r="D140" s="423"/>
      <c r="E140" s="423"/>
      <c r="F140" s="423"/>
      <c r="G140" s="423"/>
      <c r="H140" s="423"/>
      <c r="I140" s="423"/>
      <c r="J140" s="423"/>
      <c r="K140" s="423"/>
      <c r="L140" s="423"/>
      <c r="M140" s="423"/>
      <c r="N140" s="534"/>
    </row>
    <row r="141" spans="1:14" s="520" customFormat="1" x14ac:dyDescent="0.2">
      <c r="A141" s="420"/>
      <c r="B141" s="423"/>
      <c r="C141" s="425"/>
      <c r="D141" s="423"/>
      <c r="E141" s="423"/>
      <c r="F141" s="423"/>
      <c r="G141" s="423"/>
      <c r="H141" s="423"/>
      <c r="I141" s="423"/>
      <c r="J141" s="423"/>
      <c r="K141" s="423"/>
      <c r="L141" s="423"/>
      <c r="M141" s="423"/>
      <c r="N141" s="534"/>
    </row>
    <row r="142" spans="1:14" s="533" customFormat="1" ht="34.5" customHeight="1" x14ac:dyDescent="0.2">
      <c r="A142" s="420"/>
      <c r="B142" s="423"/>
      <c r="C142" s="425"/>
      <c r="D142" s="423"/>
      <c r="E142" s="423"/>
      <c r="F142" s="423"/>
      <c r="G142" s="423"/>
      <c r="H142" s="423"/>
      <c r="I142" s="423"/>
      <c r="J142" s="423"/>
      <c r="K142" s="423"/>
      <c r="L142" s="423"/>
      <c r="M142" s="423"/>
      <c r="N142" s="534"/>
    </row>
    <row r="143" spans="1:14" s="520" customFormat="1" ht="14.25" customHeight="1" x14ac:dyDescent="0.2">
      <c r="A143" s="420"/>
      <c r="B143" s="423"/>
      <c r="C143" s="425"/>
      <c r="D143" s="423"/>
      <c r="E143" s="423"/>
      <c r="F143" s="423"/>
      <c r="G143" s="423"/>
      <c r="H143" s="423"/>
      <c r="I143" s="423"/>
      <c r="J143" s="423"/>
      <c r="K143" s="423"/>
      <c r="L143" s="423"/>
      <c r="M143" s="423"/>
      <c r="N143" s="534"/>
    </row>
    <row r="144" spans="1:14" s="520" customFormat="1" ht="12.75" customHeight="1" x14ac:dyDescent="0.2">
      <c r="A144" s="420"/>
      <c r="B144" s="423"/>
      <c r="C144" s="425"/>
      <c r="D144" s="423"/>
      <c r="E144" s="423"/>
      <c r="F144" s="423"/>
      <c r="G144" s="423"/>
      <c r="H144" s="423"/>
      <c r="I144" s="423"/>
      <c r="J144" s="423"/>
      <c r="K144" s="423"/>
      <c r="L144" s="423"/>
      <c r="M144" s="423"/>
      <c r="N144" s="534"/>
    </row>
    <row r="145" spans="1:14" s="520" customFormat="1" x14ac:dyDescent="0.2">
      <c r="A145" s="420"/>
      <c r="B145" s="423"/>
      <c r="C145" s="425"/>
      <c r="D145" s="423"/>
      <c r="E145" s="423"/>
      <c r="F145" s="423"/>
      <c r="G145" s="423"/>
      <c r="H145" s="423"/>
      <c r="I145" s="423"/>
      <c r="J145" s="423"/>
      <c r="K145" s="423"/>
      <c r="L145" s="423"/>
      <c r="M145" s="423"/>
      <c r="N145" s="534"/>
    </row>
    <row r="146" spans="1:14" s="520" customFormat="1" x14ac:dyDescent="0.2">
      <c r="A146" s="420"/>
      <c r="B146" s="423"/>
      <c r="C146" s="425"/>
      <c r="D146" s="423"/>
      <c r="E146" s="423"/>
      <c r="F146" s="423"/>
      <c r="G146" s="423"/>
      <c r="H146" s="423"/>
      <c r="I146" s="423"/>
      <c r="J146" s="423"/>
      <c r="K146" s="423"/>
      <c r="L146" s="423"/>
      <c r="M146" s="423"/>
      <c r="N146" s="534"/>
    </row>
    <row r="147" spans="1:14" s="520" customFormat="1" x14ac:dyDescent="0.2">
      <c r="A147" s="420"/>
      <c r="B147" s="423"/>
      <c r="C147" s="425"/>
      <c r="D147" s="423"/>
      <c r="E147" s="423"/>
      <c r="F147" s="423"/>
      <c r="G147" s="423"/>
      <c r="H147" s="423"/>
      <c r="I147" s="423"/>
      <c r="J147" s="423"/>
      <c r="K147" s="423"/>
      <c r="L147" s="423"/>
      <c r="M147" s="423"/>
      <c r="N147" s="534"/>
    </row>
    <row r="148" spans="1:14" s="533" customFormat="1" ht="36.75" customHeight="1" x14ac:dyDescent="0.2">
      <c r="A148" s="420"/>
      <c r="B148" s="423"/>
      <c r="C148" s="425"/>
      <c r="D148" s="423"/>
      <c r="E148" s="423"/>
      <c r="F148" s="423"/>
      <c r="G148" s="423"/>
      <c r="H148" s="423"/>
      <c r="I148" s="423"/>
      <c r="J148" s="423"/>
      <c r="K148" s="423"/>
      <c r="L148" s="423"/>
      <c r="M148" s="423"/>
      <c r="N148" s="534"/>
    </row>
    <row r="149" spans="1:14" s="520" customFormat="1" ht="9.75" customHeight="1" x14ac:dyDescent="0.2">
      <c r="A149" s="420"/>
      <c r="B149" s="423"/>
      <c r="C149" s="425"/>
      <c r="D149" s="423"/>
      <c r="E149" s="423"/>
      <c r="F149" s="423"/>
      <c r="G149" s="423"/>
      <c r="H149" s="423"/>
      <c r="I149" s="423"/>
      <c r="J149" s="423"/>
      <c r="K149" s="423"/>
      <c r="L149" s="423"/>
      <c r="M149" s="423"/>
      <c r="N149" s="534"/>
    </row>
    <row r="150" spans="1:14" s="520" customFormat="1" ht="12.75" customHeight="1" x14ac:dyDescent="0.2">
      <c r="A150" s="420"/>
      <c r="B150" s="423"/>
      <c r="C150" s="425"/>
      <c r="D150" s="423"/>
      <c r="E150" s="423"/>
      <c r="F150" s="423"/>
      <c r="G150" s="423"/>
      <c r="H150" s="423"/>
      <c r="I150" s="423"/>
      <c r="J150" s="423"/>
      <c r="K150" s="423"/>
      <c r="L150" s="423"/>
      <c r="M150" s="423"/>
      <c r="N150" s="534"/>
    </row>
    <row r="151" spans="1:14" s="520" customFormat="1" x14ac:dyDescent="0.2">
      <c r="A151" s="420"/>
      <c r="B151" s="423"/>
      <c r="C151" s="425"/>
      <c r="D151" s="423"/>
      <c r="E151" s="423"/>
      <c r="F151" s="423"/>
      <c r="G151" s="423"/>
      <c r="H151" s="423"/>
      <c r="I151" s="423"/>
      <c r="J151" s="423"/>
      <c r="K151" s="423"/>
      <c r="L151" s="423"/>
      <c r="M151" s="423"/>
      <c r="N151" s="534"/>
    </row>
    <row r="152" spans="1:14" s="520" customFormat="1" x14ac:dyDescent="0.2">
      <c r="A152" s="420"/>
      <c r="B152" s="423"/>
      <c r="C152" s="425"/>
      <c r="D152" s="423"/>
      <c r="E152" s="423"/>
      <c r="F152" s="423"/>
      <c r="G152" s="423"/>
      <c r="H152" s="423"/>
      <c r="I152" s="423"/>
      <c r="J152" s="423"/>
      <c r="K152" s="423"/>
      <c r="L152" s="423"/>
      <c r="M152" s="423"/>
      <c r="N152" s="534"/>
    </row>
    <row r="153" spans="1:14" s="520" customFormat="1" x14ac:dyDescent="0.2">
      <c r="A153" s="420"/>
      <c r="B153" s="423"/>
      <c r="C153" s="425"/>
      <c r="D153" s="423"/>
      <c r="E153" s="423"/>
      <c r="F153" s="423"/>
      <c r="G153" s="423"/>
      <c r="H153" s="423"/>
      <c r="I153" s="423"/>
      <c r="J153" s="423"/>
      <c r="K153" s="423"/>
      <c r="L153" s="423"/>
      <c r="M153" s="423"/>
      <c r="N153" s="534"/>
    </row>
    <row r="154" spans="1:14" s="533" customFormat="1" ht="33.75" customHeight="1" x14ac:dyDescent="0.2">
      <c r="A154" s="420"/>
      <c r="B154" s="423"/>
      <c r="C154" s="425"/>
      <c r="D154" s="423"/>
      <c r="E154" s="423"/>
      <c r="F154" s="423"/>
      <c r="G154" s="423"/>
      <c r="H154" s="423"/>
      <c r="I154" s="423"/>
      <c r="J154" s="423"/>
      <c r="K154" s="423"/>
      <c r="L154" s="423"/>
      <c r="M154" s="423"/>
      <c r="N154" s="534"/>
    </row>
    <row r="155" spans="1:14" s="520" customFormat="1" ht="9.75" customHeight="1" x14ac:dyDescent="0.2">
      <c r="A155" s="420"/>
      <c r="B155" s="423"/>
      <c r="C155" s="425"/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534"/>
    </row>
    <row r="156" spans="1:14" s="520" customFormat="1" ht="12.75" customHeight="1" x14ac:dyDescent="0.2">
      <c r="A156" s="420"/>
      <c r="B156" s="423"/>
      <c r="C156" s="425"/>
      <c r="D156" s="423"/>
      <c r="E156" s="423"/>
      <c r="F156" s="423"/>
      <c r="G156" s="423"/>
      <c r="H156" s="423"/>
      <c r="I156" s="423"/>
      <c r="J156" s="423"/>
      <c r="K156" s="423"/>
      <c r="L156" s="423"/>
      <c r="M156" s="423"/>
      <c r="N156" s="534"/>
    </row>
    <row r="157" spans="1:14" s="520" customFormat="1" x14ac:dyDescent="0.2">
      <c r="A157" s="420"/>
      <c r="B157" s="423"/>
      <c r="C157" s="425"/>
      <c r="D157" s="423"/>
      <c r="E157" s="423"/>
      <c r="F157" s="423"/>
      <c r="G157" s="423"/>
      <c r="H157" s="423"/>
      <c r="I157" s="423"/>
      <c r="J157" s="423"/>
      <c r="K157" s="423"/>
      <c r="L157" s="423"/>
      <c r="M157" s="423"/>
      <c r="N157" s="534"/>
    </row>
    <row r="158" spans="1:14" s="520" customFormat="1" x14ac:dyDescent="0.2">
      <c r="A158" s="420"/>
      <c r="B158" s="423"/>
      <c r="C158" s="425"/>
      <c r="D158" s="423"/>
      <c r="E158" s="423"/>
      <c r="F158" s="423"/>
      <c r="G158" s="423"/>
      <c r="H158" s="423"/>
      <c r="I158" s="423"/>
      <c r="J158" s="423"/>
      <c r="K158" s="423"/>
      <c r="L158" s="423"/>
      <c r="M158" s="423"/>
      <c r="N158" s="534"/>
    </row>
    <row r="159" spans="1:14" s="520" customFormat="1" x14ac:dyDescent="0.2">
      <c r="A159" s="420"/>
      <c r="B159" s="423"/>
      <c r="C159" s="425"/>
      <c r="D159" s="423"/>
      <c r="E159" s="423"/>
      <c r="F159" s="423"/>
      <c r="G159" s="423"/>
      <c r="H159" s="423"/>
      <c r="I159" s="423"/>
      <c r="J159" s="423"/>
      <c r="K159" s="423"/>
      <c r="L159" s="423"/>
      <c r="M159" s="423"/>
      <c r="N159" s="534"/>
    </row>
    <row r="160" spans="1:14" s="520" customFormat="1" x14ac:dyDescent="0.2">
      <c r="A160" s="420"/>
      <c r="B160" s="423"/>
      <c r="C160" s="425"/>
      <c r="D160" s="423"/>
      <c r="E160" s="423"/>
      <c r="F160" s="423"/>
      <c r="G160" s="423"/>
      <c r="H160" s="423"/>
      <c r="I160" s="423"/>
      <c r="J160" s="423"/>
      <c r="K160" s="423"/>
      <c r="L160" s="423"/>
      <c r="M160" s="423"/>
      <c r="N160" s="534"/>
    </row>
    <row r="161" spans="1:14" s="532" customFormat="1" ht="14.25" customHeight="1" x14ac:dyDescent="0.2">
      <c r="A161" s="420"/>
      <c r="B161" s="423"/>
      <c r="C161" s="425"/>
      <c r="D161" s="423"/>
      <c r="E161" s="423"/>
      <c r="F161" s="423"/>
      <c r="G161" s="423"/>
      <c r="H161" s="423"/>
      <c r="I161" s="423"/>
      <c r="J161" s="423"/>
      <c r="K161" s="423"/>
      <c r="L161" s="423"/>
      <c r="M161" s="423"/>
      <c r="N161" s="534"/>
    </row>
    <row r="162" spans="1:14" s="520" customFormat="1" x14ac:dyDescent="0.2">
      <c r="A162" s="420"/>
      <c r="B162" s="423"/>
      <c r="C162" s="425"/>
      <c r="D162" s="423"/>
      <c r="E162" s="423"/>
      <c r="F162" s="423"/>
      <c r="G162" s="423"/>
      <c r="H162" s="423"/>
      <c r="I162" s="423"/>
      <c r="J162" s="423"/>
      <c r="K162" s="423"/>
      <c r="L162" s="423"/>
      <c r="M162" s="423"/>
      <c r="N162" s="534"/>
    </row>
    <row r="163" spans="1:14" s="536" customFormat="1" ht="23.25" customHeight="1" x14ac:dyDescent="0.2">
      <c r="A163" s="420"/>
      <c r="B163" s="423"/>
      <c r="C163" s="425"/>
      <c r="D163" s="423"/>
      <c r="E163" s="423"/>
      <c r="F163" s="423"/>
      <c r="G163" s="423"/>
      <c r="H163" s="423"/>
      <c r="I163" s="423"/>
      <c r="J163" s="423"/>
      <c r="K163" s="423"/>
      <c r="L163" s="423"/>
      <c r="M163" s="423"/>
      <c r="N163" s="534"/>
    </row>
    <row r="164" spans="1:14" s="520" customFormat="1" x14ac:dyDescent="0.2">
      <c r="A164" s="420"/>
      <c r="B164" s="423"/>
      <c r="C164" s="425"/>
      <c r="D164" s="423"/>
      <c r="E164" s="423"/>
      <c r="F164" s="423"/>
      <c r="G164" s="423"/>
      <c r="H164" s="423"/>
      <c r="I164" s="423"/>
      <c r="J164" s="423"/>
      <c r="K164" s="423"/>
      <c r="L164" s="423"/>
      <c r="M164" s="423"/>
      <c r="N164" s="534"/>
    </row>
    <row r="165" spans="1:14" s="535" customFormat="1" ht="15.75" customHeight="1" x14ac:dyDescent="0.2">
      <c r="A165" s="420"/>
      <c r="B165" s="423"/>
      <c r="C165" s="425"/>
      <c r="D165" s="423"/>
      <c r="E165" s="423"/>
      <c r="F165" s="423"/>
      <c r="G165" s="423"/>
      <c r="H165" s="423"/>
      <c r="I165" s="423"/>
      <c r="J165" s="423"/>
      <c r="K165" s="423"/>
      <c r="L165" s="423"/>
      <c r="M165" s="423"/>
      <c r="N165" s="534"/>
    </row>
    <row r="166" spans="1:14" s="535" customFormat="1" ht="12.75" customHeight="1" x14ac:dyDescent="0.2">
      <c r="A166" s="420"/>
      <c r="B166" s="423"/>
      <c r="C166" s="425"/>
      <c r="D166" s="423"/>
      <c r="E166" s="423"/>
      <c r="F166" s="423"/>
      <c r="G166" s="423"/>
      <c r="H166" s="423"/>
      <c r="I166" s="423"/>
      <c r="J166" s="423"/>
      <c r="K166" s="423"/>
      <c r="L166" s="423"/>
      <c r="M166" s="423"/>
      <c r="N166" s="534"/>
    </row>
    <row r="167" spans="1:14" s="535" customFormat="1" ht="12.75" customHeight="1" x14ac:dyDescent="0.2">
      <c r="A167" s="420"/>
      <c r="B167" s="423"/>
      <c r="C167" s="425"/>
      <c r="D167" s="423"/>
      <c r="E167" s="423"/>
      <c r="F167" s="423"/>
      <c r="G167" s="423"/>
      <c r="H167" s="423"/>
      <c r="I167" s="423"/>
      <c r="J167" s="423"/>
      <c r="K167" s="423"/>
      <c r="L167" s="423"/>
      <c r="M167" s="423"/>
      <c r="N167" s="534"/>
    </row>
    <row r="168" spans="1:14" s="535" customFormat="1" ht="12" customHeight="1" x14ac:dyDescent="0.2">
      <c r="A168" s="420"/>
      <c r="B168" s="423"/>
      <c r="C168" s="425"/>
      <c r="D168" s="423"/>
      <c r="E168" s="423"/>
      <c r="F168" s="423"/>
      <c r="G168" s="423"/>
      <c r="H168" s="423"/>
      <c r="I168" s="423"/>
      <c r="J168" s="423"/>
      <c r="K168" s="423"/>
      <c r="L168" s="423"/>
      <c r="M168" s="423"/>
      <c r="N168" s="534"/>
    </row>
    <row r="169" spans="1:14" s="532" customFormat="1" ht="24" customHeight="1" x14ac:dyDescent="0.2">
      <c r="A169" s="420"/>
      <c r="B169" s="423"/>
      <c r="C169" s="425"/>
      <c r="D169" s="423"/>
      <c r="E169" s="423"/>
      <c r="F169" s="423"/>
      <c r="G169" s="423"/>
      <c r="H169" s="423"/>
      <c r="I169" s="423"/>
      <c r="J169" s="423"/>
      <c r="K169" s="423"/>
      <c r="L169" s="423"/>
      <c r="M169" s="423"/>
      <c r="N169" s="534"/>
    </row>
    <row r="170" spans="1:14" s="520" customFormat="1" ht="11.25" customHeight="1" x14ac:dyDescent="0.2">
      <c r="A170" s="420"/>
      <c r="B170" s="423"/>
      <c r="C170" s="425"/>
      <c r="D170" s="423"/>
      <c r="E170" s="423"/>
      <c r="F170" s="423"/>
      <c r="G170" s="423"/>
      <c r="H170" s="423"/>
      <c r="I170" s="423"/>
      <c r="J170" s="423"/>
      <c r="K170" s="423"/>
      <c r="L170" s="423"/>
      <c r="M170" s="423"/>
      <c r="N170" s="534"/>
    </row>
    <row r="171" spans="1:14" s="520" customFormat="1" ht="12.75" customHeight="1" x14ac:dyDescent="0.2">
      <c r="A171" s="420"/>
      <c r="B171" s="423"/>
      <c r="C171" s="425"/>
      <c r="D171" s="423"/>
      <c r="E171" s="423"/>
      <c r="F171" s="423"/>
      <c r="G171" s="423"/>
      <c r="H171" s="423"/>
      <c r="I171" s="423"/>
      <c r="J171" s="423"/>
      <c r="K171" s="423"/>
      <c r="L171" s="423"/>
      <c r="M171" s="423"/>
      <c r="N171" s="534"/>
    </row>
    <row r="172" spans="1:14" s="520" customFormat="1" x14ac:dyDescent="0.2">
      <c r="A172" s="420"/>
      <c r="B172" s="423"/>
      <c r="C172" s="425"/>
      <c r="D172" s="423"/>
      <c r="E172" s="423"/>
      <c r="F172" s="423"/>
      <c r="G172" s="423"/>
      <c r="H172" s="423"/>
      <c r="I172" s="423"/>
      <c r="J172" s="423"/>
      <c r="K172" s="423"/>
      <c r="L172" s="423"/>
      <c r="M172" s="423"/>
      <c r="N172" s="534"/>
    </row>
    <row r="173" spans="1:14" s="520" customFormat="1" x14ac:dyDescent="0.2">
      <c r="A173" s="420"/>
      <c r="B173" s="423"/>
      <c r="C173" s="425"/>
      <c r="D173" s="423"/>
      <c r="E173" s="423"/>
      <c r="F173" s="423"/>
      <c r="G173" s="423"/>
      <c r="H173" s="423"/>
      <c r="I173" s="423"/>
      <c r="J173" s="423"/>
      <c r="K173" s="423"/>
      <c r="L173" s="423"/>
      <c r="M173" s="423"/>
      <c r="N173" s="534"/>
    </row>
    <row r="174" spans="1:14" s="520" customFormat="1" x14ac:dyDescent="0.2">
      <c r="A174" s="420"/>
      <c r="B174" s="423"/>
      <c r="C174" s="425"/>
      <c r="D174" s="423"/>
      <c r="E174" s="423"/>
      <c r="F174" s="423"/>
      <c r="G174" s="423"/>
      <c r="H174" s="423"/>
      <c r="I174" s="423"/>
      <c r="J174" s="423"/>
      <c r="K174" s="423"/>
      <c r="L174" s="423"/>
      <c r="M174" s="423"/>
      <c r="N174" s="534"/>
    </row>
    <row r="175" spans="1:14" s="520" customFormat="1" x14ac:dyDescent="0.2">
      <c r="A175" s="420"/>
      <c r="B175" s="423"/>
      <c r="C175" s="425"/>
      <c r="D175" s="423"/>
      <c r="E175" s="423"/>
      <c r="F175" s="423"/>
      <c r="G175" s="423"/>
      <c r="H175" s="423"/>
      <c r="I175" s="423"/>
      <c r="J175" s="423"/>
      <c r="K175" s="423"/>
      <c r="L175" s="423"/>
      <c r="M175" s="423"/>
      <c r="N175" s="534"/>
    </row>
    <row r="176" spans="1:14" s="520" customFormat="1" ht="21.75" customHeight="1" x14ac:dyDescent="0.2">
      <c r="A176" s="420"/>
      <c r="B176" s="423"/>
      <c r="C176" s="425"/>
      <c r="D176" s="423"/>
      <c r="E176" s="423"/>
      <c r="F176" s="423"/>
      <c r="G176" s="423"/>
      <c r="H176" s="423"/>
      <c r="I176" s="423"/>
      <c r="J176" s="423"/>
      <c r="K176" s="423"/>
      <c r="L176" s="423"/>
      <c r="M176" s="423"/>
      <c r="N176" s="534"/>
    </row>
    <row r="177" spans="1:14" s="520" customFormat="1" ht="12.75" customHeight="1" x14ac:dyDescent="0.2">
      <c r="A177" s="420"/>
      <c r="B177" s="423"/>
      <c r="C177" s="425"/>
      <c r="D177" s="423"/>
      <c r="E177" s="423"/>
      <c r="F177" s="423"/>
      <c r="G177" s="423"/>
      <c r="H177" s="423"/>
      <c r="I177" s="423"/>
      <c r="J177" s="423"/>
      <c r="K177" s="423"/>
      <c r="L177" s="423"/>
      <c r="M177" s="423"/>
      <c r="N177" s="534"/>
    </row>
    <row r="178" spans="1:14" s="520" customFormat="1" x14ac:dyDescent="0.2">
      <c r="A178" s="420"/>
      <c r="B178" s="423"/>
      <c r="C178" s="425"/>
      <c r="D178" s="423"/>
      <c r="E178" s="423"/>
      <c r="F178" s="423"/>
      <c r="G178" s="423"/>
      <c r="H178" s="423"/>
      <c r="I178" s="423"/>
      <c r="J178" s="423"/>
      <c r="K178" s="423"/>
      <c r="L178" s="423"/>
      <c r="M178" s="423"/>
      <c r="N178" s="534"/>
    </row>
    <row r="179" spans="1:14" s="520" customFormat="1" x14ac:dyDescent="0.2">
      <c r="A179" s="420"/>
      <c r="B179" s="423"/>
      <c r="C179" s="425"/>
      <c r="D179" s="423"/>
      <c r="E179" s="423"/>
      <c r="F179" s="423"/>
      <c r="G179" s="423"/>
      <c r="H179" s="423"/>
      <c r="I179" s="423"/>
      <c r="J179" s="423"/>
      <c r="K179" s="423"/>
      <c r="L179" s="423"/>
      <c r="M179" s="423"/>
      <c r="N179" s="534"/>
    </row>
    <row r="180" spans="1:14" s="520" customFormat="1" x14ac:dyDescent="0.2">
      <c r="A180" s="420"/>
      <c r="B180" s="423"/>
      <c r="C180" s="425"/>
      <c r="D180" s="423"/>
      <c r="E180" s="423"/>
      <c r="F180" s="423"/>
      <c r="G180" s="423"/>
      <c r="H180" s="423"/>
      <c r="I180" s="423"/>
      <c r="J180" s="423"/>
      <c r="K180" s="423"/>
      <c r="L180" s="423"/>
      <c r="M180" s="423"/>
      <c r="N180" s="534"/>
    </row>
    <row r="181" spans="1:14" s="520" customFormat="1" x14ac:dyDescent="0.2">
      <c r="A181" s="420"/>
      <c r="B181" s="423"/>
      <c r="C181" s="425"/>
      <c r="D181" s="423"/>
      <c r="E181" s="423"/>
      <c r="F181" s="423"/>
      <c r="G181" s="423"/>
      <c r="H181" s="423"/>
      <c r="I181" s="423"/>
      <c r="J181" s="423"/>
      <c r="K181" s="423"/>
      <c r="L181" s="423"/>
      <c r="M181" s="423"/>
      <c r="N181" s="534"/>
    </row>
    <row r="182" spans="1:14" s="520" customFormat="1" x14ac:dyDescent="0.2">
      <c r="A182" s="420"/>
      <c r="B182" s="423"/>
      <c r="C182" s="425"/>
      <c r="D182" s="423"/>
      <c r="E182" s="423"/>
      <c r="F182" s="423"/>
      <c r="G182" s="423"/>
      <c r="H182" s="423"/>
      <c r="I182" s="423"/>
      <c r="J182" s="423"/>
      <c r="K182" s="423"/>
      <c r="L182" s="423"/>
      <c r="M182" s="423"/>
      <c r="N182" s="534"/>
    </row>
    <row r="183" spans="1:14" s="520" customFormat="1" ht="32.25" customHeight="1" x14ac:dyDescent="0.2">
      <c r="A183" s="420"/>
      <c r="B183" s="423"/>
      <c r="C183" s="425"/>
      <c r="D183" s="423"/>
      <c r="E183" s="423"/>
      <c r="F183" s="423"/>
      <c r="G183" s="423"/>
      <c r="H183" s="423"/>
      <c r="I183" s="423"/>
      <c r="J183" s="423"/>
      <c r="K183" s="423"/>
      <c r="L183" s="423"/>
      <c r="M183" s="423"/>
      <c r="N183" s="534"/>
    </row>
    <row r="184" spans="1:14" s="520" customFormat="1" ht="15" customHeight="1" x14ac:dyDescent="0.2">
      <c r="A184" s="420"/>
      <c r="B184" s="423"/>
      <c r="C184" s="425"/>
      <c r="D184" s="423"/>
      <c r="E184" s="423"/>
      <c r="F184" s="423"/>
      <c r="G184" s="423"/>
      <c r="H184" s="423"/>
      <c r="I184" s="423"/>
      <c r="J184" s="423"/>
      <c r="K184" s="423"/>
      <c r="L184" s="423"/>
      <c r="M184" s="423"/>
      <c r="N184" s="534"/>
    </row>
    <row r="185" spans="1:14" s="520" customFormat="1" ht="12.75" customHeight="1" x14ac:dyDescent="0.2">
      <c r="A185" s="420"/>
      <c r="B185" s="423"/>
      <c r="C185" s="425"/>
      <c r="D185" s="423"/>
      <c r="E185" s="423"/>
      <c r="F185" s="423"/>
      <c r="G185" s="423"/>
      <c r="H185" s="423"/>
      <c r="I185" s="423"/>
      <c r="J185" s="423"/>
      <c r="K185" s="423"/>
      <c r="L185" s="423"/>
      <c r="M185" s="423"/>
      <c r="N185" s="534"/>
    </row>
    <row r="186" spans="1:14" s="520" customFormat="1" x14ac:dyDescent="0.2">
      <c r="A186" s="420"/>
      <c r="B186" s="423"/>
      <c r="C186" s="425"/>
      <c r="D186" s="423"/>
      <c r="E186" s="423"/>
      <c r="F186" s="423"/>
      <c r="G186" s="423"/>
      <c r="H186" s="423"/>
      <c r="I186" s="423"/>
      <c r="J186" s="423"/>
      <c r="K186" s="423"/>
      <c r="L186" s="423"/>
      <c r="M186" s="423"/>
      <c r="N186" s="534"/>
    </row>
    <row r="187" spans="1:14" s="520" customFormat="1" x14ac:dyDescent="0.2">
      <c r="A187" s="420"/>
      <c r="B187" s="423"/>
      <c r="C187" s="425"/>
      <c r="D187" s="423"/>
      <c r="E187" s="423"/>
      <c r="F187" s="423"/>
      <c r="G187" s="423"/>
      <c r="H187" s="423"/>
      <c r="I187" s="423"/>
      <c r="J187" s="423"/>
      <c r="K187" s="423"/>
      <c r="L187" s="423"/>
      <c r="M187" s="423"/>
      <c r="N187" s="534"/>
    </row>
    <row r="188" spans="1:14" s="520" customFormat="1" x14ac:dyDescent="0.2">
      <c r="A188" s="420"/>
      <c r="B188" s="423"/>
      <c r="C188" s="425"/>
      <c r="D188" s="423"/>
      <c r="E188" s="423"/>
      <c r="F188" s="423"/>
      <c r="G188" s="423"/>
      <c r="H188" s="423"/>
      <c r="I188" s="423"/>
      <c r="J188" s="423"/>
      <c r="K188" s="423"/>
      <c r="L188" s="423"/>
      <c r="M188" s="423"/>
      <c r="N188" s="534"/>
    </row>
    <row r="189" spans="1:14" s="520" customFormat="1" ht="11.25" customHeight="1" x14ac:dyDescent="0.2">
      <c r="A189" s="420"/>
      <c r="B189" s="423"/>
      <c r="C189" s="425"/>
      <c r="D189" s="423"/>
      <c r="E189" s="423"/>
      <c r="F189" s="423"/>
      <c r="G189" s="423"/>
      <c r="H189" s="423"/>
      <c r="I189" s="423"/>
      <c r="J189" s="423"/>
      <c r="K189" s="423"/>
      <c r="L189" s="423"/>
      <c r="M189" s="423"/>
      <c r="N189" s="534"/>
    </row>
    <row r="190" spans="1:14" s="520" customFormat="1" ht="12.75" customHeight="1" x14ac:dyDescent="0.2">
      <c r="A190" s="420"/>
      <c r="B190" s="423"/>
      <c r="C190" s="425"/>
      <c r="D190" s="423"/>
      <c r="E190" s="423"/>
      <c r="F190" s="423"/>
      <c r="G190" s="423"/>
      <c r="H190" s="423"/>
      <c r="I190" s="423"/>
      <c r="J190" s="423"/>
      <c r="K190" s="423"/>
      <c r="L190" s="423"/>
      <c r="M190" s="423"/>
      <c r="N190" s="534"/>
    </row>
    <row r="191" spans="1:14" s="520" customFormat="1" ht="12.75" customHeight="1" x14ac:dyDescent="0.2">
      <c r="A191" s="420"/>
      <c r="B191" s="423"/>
      <c r="C191" s="425"/>
      <c r="D191" s="423"/>
      <c r="E191" s="423"/>
      <c r="F191" s="423"/>
      <c r="G191" s="423"/>
      <c r="H191" s="423"/>
      <c r="I191" s="423"/>
      <c r="J191" s="423"/>
      <c r="K191" s="423"/>
      <c r="L191" s="423"/>
      <c r="M191" s="423"/>
      <c r="N191" s="534"/>
    </row>
    <row r="192" spans="1:14" s="520" customFormat="1" x14ac:dyDescent="0.2">
      <c r="A192" s="420"/>
      <c r="B192" s="423"/>
      <c r="C192" s="425"/>
      <c r="D192" s="423"/>
      <c r="E192" s="423"/>
      <c r="F192" s="423"/>
      <c r="G192" s="423"/>
      <c r="H192" s="423"/>
      <c r="I192" s="423"/>
      <c r="J192" s="423"/>
      <c r="K192" s="423"/>
      <c r="L192" s="423"/>
      <c r="M192" s="423"/>
      <c r="N192" s="534"/>
    </row>
    <row r="193" spans="1:14" s="520" customFormat="1" x14ac:dyDescent="0.2">
      <c r="A193" s="420"/>
      <c r="B193" s="423"/>
      <c r="C193" s="425"/>
      <c r="D193" s="423"/>
      <c r="E193" s="423"/>
      <c r="F193" s="423"/>
      <c r="G193" s="423"/>
      <c r="H193" s="423"/>
      <c r="I193" s="423"/>
      <c r="J193" s="423"/>
      <c r="K193" s="423"/>
      <c r="L193" s="423"/>
      <c r="M193" s="423"/>
      <c r="N193" s="534"/>
    </row>
    <row r="194" spans="1:14" s="520" customFormat="1" x14ac:dyDescent="0.2">
      <c r="A194" s="420"/>
      <c r="B194" s="423"/>
      <c r="C194" s="425"/>
      <c r="D194" s="423"/>
      <c r="E194" s="423"/>
      <c r="F194" s="423"/>
      <c r="G194" s="423"/>
      <c r="H194" s="423"/>
      <c r="I194" s="423"/>
      <c r="J194" s="423"/>
      <c r="K194" s="423"/>
      <c r="L194" s="423"/>
      <c r="M194" s="423"/>
      <c r="N194" s="534"/>
    </row>
    <row r="195" spans="1:14" s="520" customFormat="1" x14ac:dyDescent="0.2">
      <c r="A195" s="420"/>
      <c r="B195" s="423"/>
      <c r="C195" s="425"/>
      <c r="D195" s="423"/>
      <c r="E195" s="423"/>
      <c r="F195" s="423"/>
      <c r="G195" s="423"/>
      <c r="H195" s="423"/>
      <c r="I195" s="423"/>
      <c r="J195" s="423"/>
      <c r="K195" s="423"/>
      <c r="L195" s="423"/>
      <c r="M195" s="423"/>
      <c r="N195" s="534"/>
    </row>
    <row r="196" spans="1:14" s="533" customFormat="1" ht="24.75" customHeight="1" x14ac:dyDescent="0.2">
      <c r="A196" s="420"/>
      <c r="B196" s="423"/>
      <c r="C196" s="425"/>
      <c r="D196" s="423"/>
      <c r="E196" s="423"/>
      <c r="F196" s="423"/>
      <c r="G196" s="423"/>
      <c r="H196" s="423"/>
      <c r="I196" s="423"/>
      <c r="J196" s="423"/>
      <c r="K196" s="423"/>
      <c r="L196" s="423"/>
      <c r="M196" s="423"/>
      <c r="N196" s="534"/>
    </row>
    <row r="197" spans="1:14" s="520" customFormat="1" ht="12.75" customHeight="1" x14ac:dyDescent="0.2">
      <c r="A197" s="420"/>
      <c r="B197" s="423"/>
      <c r="C197" s="425"/>
      <c r="D197" s="423"/>
      <c r="E197" s="423"/>
      <c r="F197" s="423"/>
      <c r="G197" s="423"/>
      <c r="H197" s="423"/>
      <c r="I197" s="423"/>
      <c r="J197" s="423"/>
      <c r="K197" s="423"/>
      <c r="L197" s="423"/>
      <c r="M197" s="423"/>
      <c r="N197" s="534"/>
    </row>
    <row r="198" spans="1:14" s="520" customFormat="1" ht="12.75" customHeight="1" x14ac:dyDescent="0.2">
      <c r="A198" s="420"/>
      <c r="B198" s="423"/>
      <c r="C198" s="425"/>
      <c r="D198" s="423"/>
      <c r="E198" s="423"/>
      <c r="F198" s="423"/>
      <c r="G198" s="423"/>
      <c r="H198" s="423"/>
      <c r="I198" s="423"/>
      <c r="J198" s="423"/>
      <c r="K198" s="423"/>
      <c r="L198" s="423"/>
      <c r="M198" s="423"/>
      <c r="N198" s="534"/>
    </row>
    <row r="199" spans="1:14" s="520" customFormat="1" x14ac:dyDescent="0.2">
      <c r="A199" s="420"/>
      <c r="B199" s="423"/>
      <c r="C199" s="425"/>
      <c r="D199" s="423"/>
      <c r="E199" s="423"/>
      <c r="F199" s="423"/>
      <c r="G199" s="423"/>
      <c r="H199" s="423"/>
      <c r="I199" s="423"/>
      <c r="J199" s="423"/>
      <c r="K199" s="423"/>
      <c r="L199" s="423"/>
      <c r="M199" s="423"/>
      <c r="N199" s="534"/>
    </row>
    <row r="200" spans="1:14" s="520" customFormat="1" x14ac:dyDescent="0.2">
      <c r="A200" s="420"/>
      <c r="B200" s="423"/>
      <c r="C200" s="425"/>
      <c r="D200" s="423"/>
      <c r="E200" s="423"/>
      <c r="F200" s="423"/>
      <c r="G200" s="423"/>
      <c r="H200" s="423"/>
      <c r="I200" s="423"/>
      <c r="J200" s="423"/>
      <c r="K200" s="423"/>
      <c r="L200" s="423"/>
      <c r="M200" s="423"/>
      <c r="N200" s="534"/>
    </row>
    <row r="201" spans="1:14" s="520" customFormat="1" x14ac:dyDescent="0.2">
      <c r="A201" s="420"/>
      <c r="B201" s="423"/>
      <c r="C201" s="425"/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534"/>
    </row>
    <row r="202" spans="1:14" s="533" customFormat="1" ht="23.25" customHeight="1" thickBot="1" x14ac:dyDescent="0.25">
      <c r="A202" s="543"/>
      <c r="B202" s="423"/>
      <c r="C202" s="425"/>
      <c r="D202" s="423"/>
      <c r="E202" s="423"/>
      <c r="F202" s="423"/>
      <c r="G202" s="423"/>
      <c r="H202" s="423"/>
      <c r="I202" s="423"/>
      <c r="J202" s="423"/>
      <c r="K202" s="423"/>
      <c r="L202" s="423"/>
      <c r="M202" s="423"/>
      <c r="N202" s="534"/>
    </row>
    <row r="203" spans="1:14" s="520" customFormat="1" ht="15" customHeight="1" x14ac:dyDescent="0.2">
      <c r="A203" s="420"/>
      <c r="B203" s="423"/>
      <c r="C203" s="425"/>
      <c r="D203" s="423"/>
      <c r="E203" s="423"/>
      <c r="F203" s="423"/>
      <c r="G203" s="423"/>
      <c r="H203" s="423"/>
      <c r="I203" s="423"/>
      <c r="J203" s="423"/>
      <c r="K203" s="423"/>
      <c r="L203" s="423"/>
      <c r="M203" s="423"/>
      <c r="N203" s="534"/>
    </row>
    <row r="204" spans="1:14" s="520" customFormat="1" ht="12.75" customHeight="1" x14ac:dyDescent="0.2">
      <c r="A204" s="420"/>
      <c r="B204" s="423"/>
      <c r="C204" s="425"/>
      <c r="D204" s="423"/>
      <c r="E204" s="423"/>
      <c r="F204" s="423"/>
      <c r="G204" s="423"/>
      <c r="H204" s="423"/>
      <c r="I204" s="423"/>
      <c r="J204" s="423"/>
      <c r="K204" s="423"/>
      <c r="L204" s="423"/>
      <c r="M204" s="423"/>
      <c r="N204" s="534"/>
    </row>
    <row r="205" spans="1:14" s="520" customFormat="1" x14ac:dyDescent="0.2">
      <c r="A205" s="420"/>
      <c r="B205" s="423"/>
      <c r="C205" s="425"/>
      <c r="D205" s="423"/>
      <c r="E205" s="423"/>
      <c r="F205" s="423"/>
      <c r="G205" s="423"/>
      <c r="H205" s="423"/>
      <c r="I205" s="423"/>
      <c r="J205" s="423"/>
      <c r="K205" s="423"/>
      <c r="L205" s="423"/>
      <c r="M205" s="423"/>
      <c r="N205" s="534"/>
    </row>
    <row r="206" spans="1:14" s="520" customFormat="1" x14ac:dyDescent="0.2">
      <c r="A206" s="420"/>
      <c r="B206" s="423"/>
      <c r="C206" s="425"/>
      <c r="D206" s="423"/>
      <c r="E206" s="423"/>
      <c r="F206" s="423"/>
      <c r="G206" s="423"/>
      <c r="H206" s="423"/>
      <c r="I206" s="423"/>
      <c r="J206" s="423"/>
      <c r="K206" s="423"/>
      <c r="L206" s="423"/>
      <c r="M206" s="423"/>
      <c r="N206" s="534"/>
    </row>
    <row r="207" spans="1:14" s="533" customFormat="1" ht="12.75" customHeight="1" x14ac:dyDescent="0.2">
      <c r="A207" s="420"/>
      <c r="B207" s="423"/>
      <c r="C207" s="425"/>
      <c r="D207" s="423"/>
      <c r="E207" s="423"/>
      <c r="F207" s="423"/>
      <c r="G207" s="423"/>
      <c r="H207" s="423"/>
      <c r="I207" s="423"/>
      <c r="J207" s="423"/>
      <c r="K207" s="423"/>
      <c r="L207" s="423"/>
      <c r="M207" s="423"/>
      <c r="N207" s="534"/>
    </row>
    <row r="208" spans="1:14" s="520" customFormat="1" ht="9.75" customHeight="1" x14ac:dyDescent="0.2">
      <c r="A208" s="420"/>
      <c r="B208" s="423"/>
      <c r="C208" s="425"/>
      <c r="D208" s="423"/>
      <c r="E208" s="423"/>
      <c r="F208" s="423"/>
      <c r="G208" s="423"/>
      <c r="H208" s="423"/>
      <c r="I208" s="423"/>
      <c r="J208" s="423"/>
      <c r="K208" s="423"/>
      <c r="L208" s="423"/>
      <c r="M208" s="423"/>
      <c r="N208" s="534"/>
    </row>
    <row r="209" spans="1:14" s="520" customFormat="1" ht="12.75" customHeight="1" x14ac:dyDescent="0.2">
      <c r="A209" s="420"/>
      <c r="B209" s="423"/>
      <c r="C209" s="425"/>
      <c r="D209" s="423"/>
      <c r="E209" s="423"/>
      <c r="F209" s="423"/>
      <c r="G209" s="423"/>
      <c r="H209" s="423"/>
      <c r="I209" s="423"/>
      <c r="J209" s="423"/>
      <c r="K209" s="423"/>
      <c r="L209" s="423"/>
      <c r="M209" s="423"/>
      <c r="N209" s="534"/>
    </row>
    <row r="210" spans="1:14" s="520" customFormat="1" x14ac:dyDescent="0.2">
      <c r="A210" s="420"/>
      <c r="B210" s="423"/>
      <c r="C210" s="425"/>
      <c r="D210" s="423"/>
      <c r="E210" s="423"/>
      <c r="F210" s="423"/>
      <c r="G210" s="423"/>
      <c r="H210" s="423"/>
      <c r="I210" s="423"/>
      <c r="J210" s="423"/>
      <c r="K210" s="423"/>
      <c r="L210" s="423"/>
      <c r="M210" s="423"/>
      <c r="N210" s="534"/>
    </row>
    <row r="211" spans="1:14" s="520" customFormat="1" x14ac:dyDescent="0.2">
      <c r="A211" s="420"/>
      <c r="B211" s="423"/>
      <c r="C211" s="425"/>
      <c r="D211" s="423"/>
      <c r="E211" s="423"/>
      <c r="F211" s="423"/>
      <c r="G211" s="423"/>
      <c r="H211" s="423"/>
      <c r="I211" s="423"/>
      <c r="J211" s="423"/>
      <c r="K211" s="423"/>
      <c r="L211" s="423"/>
      <c r="M211" s="423"/>
      <c r="N211" s="534"/>
    </row>
    <row r="212" spans="1:14" s="532" customFormat="1" ht="24" customHeight="1" x14ac:dyDescent="0.2">
      <c r="A212" s="420"/>
      <c r="B212" s="423"/>
      <c r="C212" s="425"/>
      <c r="D212" s="423"/>
      <c r="E212" s="423"/>
      <c r="F212" s="423"/>
      <c r="G212" s="423"/>
      <c r="H212" s="423"/>
      <c r="I212" s="423"/>
      <c r="J212" s="423"/>
      <c r="K212" s="423"/>
      <c r="L212" s="423"/>
      <c r="M212" s="423"/>
      <c r="N212" s="534"/>
    </row>
    <row r="213" spans="1:14" s="520" customFormat="1" ht="11.25" customHeight="1" x14ac:dyDescent="0.2">
      <c r="A213" s="420"/>
      <c r="B213" s="423"/>
      <c r="C213" s="425"/>
      <c r="D213" s="423"/>
      <c r="E213" s="423"/>
      <c r="F213" s="423"/>
      <c r="G213" s="423"/>
      <c r="H213" s="423"/>
      <c r="I213" s="423"/>
      <c r="J213" s="423"/>
      <c r="K213" s="423"/>
      <c r="L213" s="423"/>
      <c r="M213" s="423"/>
      <c r="N213" s="534"/>
    </row>
    <row r="214" spans="1:14" s="520" customFormat="1" ht="12.75" customHeight="1" thickBot="1" x14ac:dyDescent="0.25">
      <c r="A214" s="420"/>
      <c r="B214" s="423"/>
      <c r="C214" s="425"/>
      <c r="D214" s="423"/>
      <c r="E214" s="423"/>
      <c r="F214" s="423"/>
      <c r="G214" s="423"/>
      <c r="H214" s="423"/>
      <c r="I214" s="423"/>
      <c r="J214" s="423"/>
      <c r="K214" s="423"/>
      <c r="L214" s="423"/>
      <c r="M214" s="423"/>
      <c r="N214" s="534"/>
    </row>
    <row r="215" spans="1:14" s="520" customFormat="1" x14ac:dyDescent="0.2">
      <c r="A215" s="538"/>
      <c r="B215" s="423"/>
      <c r="C215" s="425"/>
      <c r="D215" s="423"/>
      <c r="E215" s="423"/>
      <c r="F215" s="423"/>
      <c r="G215" s="423"/>
      <c r="H215" s="423"/>
      <c r="I215" s="423"/>
      <c r="J215" s="423"/>
      <c r="K215" s="423"/>
      <c r="L215" s="423"/>
      <c r="M215" s="423"/>
      <c r="N215" s="534"/>
    </row>
    <row r="216" spans="1:14" s="520" customFormat="1" x14ac:dyDescent="0.2">
      <c r="A216" s="541"/>
      <c r="B216" s="423"/>
      <c r="C216" s="425"/>
      <c r="D216" s="423"/>
      <c r="E216" s="423"/>
      <c r="F216" s="423"/>
      <c r="G216" s="423"/>
      <c r="H216" s="423"/>
      <c r="I216" s="423"/>
      <c r="J216" s="423"/>
      <c r="K216" s="423"/>
      <c r="L216" s="423"/>
      <c r="M216" s="423"/>
      <c r="N216" s="534"/>
    </row>
    <row r="217" spans="1:14" s="520" customFormat="1" x14ac:dyDescent="0.2">
      <c r="A217" s="541"/>
      <c r="B217" s="423"/>
      <c r="C217" s="425"/>
      <c r="D217" s="423"/>
      <c r="E217" s="423"/>
      <c r="F217" s="423"/>
      <c r="G217" s="423"/>
      <c r="H217" s="423"/>
      <c r="I217" s="423"/>
      <c r="J217" s="423"/>
      <c r="K217" s="423"/>
      <c r="L217" s="423"/>
      <c r="M217" s="423"/>
      <c r="N217" s="534"/>
    </row>
    <row r="218" spans="1:14" s="520" customFormat="1" x14ac:dyDescent="0.2">
      <c r="A218" s="541"/>
      <c r="B218" s="423"/>
      <c r="C218" s="425"/>
      <c r="D218" s="423"/>
      <c r="E218" s="423"/>
      <c r="F218" s="423"/>
      <c r="G218" s="423"/>
      <c r="H218" s="423"/>
      <c r="I218" s="423"/>
      <c r="J218" s="423"/>
      <c r="K218" s="423"/>
      <c r="L218" s="423"/>
      <c r="M218" s="423"/>
      <c r="N218" s="534"/>
    </row>
    <row r="219" spans="1:14" s="520" customFormat="1" ht="12" customHeight="1" x14ac:dyDescent="0.2">
      <c r="A219" s="541"/>
      <c r="B219" s="423"/>
      <c r="C219" s="425"/>
      <c r="D219" s="423"/>
      <c r="E219" s="423"/>
      <c r="F219" s="423"/>
      <c r="G219" s="423"/>
      <c r="H219" s="423"/>
      <c r="I219" s="423"/>
      <c r="J219" s="423"/>
      <c r="K219" s="423"/>
      <c r="L219" s="423"/>
      <c r="M219" s="423"/>
      <c r="N219" s="534"/>
    </row>
    <row r="220" spans="1:14" s="520" customFormat="1" ht="10.5" customHeight="1" x14ac:dyDescent="0.2">
      <c r="A220" s="541"/>
      <c r="B220" s="423"/>
      <c r="C220" s="425"/>
      <c r="D220" s="423"/>
      <c r="E220" s="423"/>
      <c r="F220" s="423"/>
      <c r="G220" s="423"/>
      <c r="H220" s="423"/>
      <c r="I220" s="423"/>
      <c r="J220" s="423"/>
      <c r="K220" s="423"/>
      <c r="L220" s="423"/>
      <c r="M220" s="423"/>
      <c r="N220" s="534"/>
    </row>
    <row r="221" spans="1:14" s="520" customFormat="1" x14ac:dyDescent="0.2">
      <c r="A221" s="541"/>
      <c r="B221" s="423"/>
      <c r="C221" s="425"/>
      <c r="D221" s="423"/>
      <c r="E221" s="423"/>
      <c r="F221" s="423"/>
      <c r="G221" s="423"/>
      <c r="H221" s="423"/>
      <c r="I221" s="423"/>
      <c r="J221" s="423"/>
      <c r="K221" s="423"/>
      <c r="L221" s="423"/>
      <c r="M221" s="423"/>
      <c r="N221" s="534"/>
    </row>
    <row r="222" spans="1:14" s="520" customFormat="1" x14ac:dyDescent="0.2">
      <c r="A222" s="541"/>
      <c r="B222" s="423"/>
      <c r="C222" s="425"/>
      <c r="D222" s="423"/>
      <c r="E222" s="423"/>
      <c r="F222" s="423"/>
      <c r="G222" s="423"/>
      <c r="H222" s="423"/>
      <c r="I222" s="423"/>
      <c r="J222" s="423"/>
      <c r="K222" s="423"/>
      <c r="L222" s="423"/>
      <c r="M222" s="423"/>
      <c r="N222" s="534"/>
    </row>
    <row r="223" spans="1:14" s="520" customFormat="1" ht="13.5" thickBot="1" x14ac:dyDescent="0.25">
      <c r="A223" s="543"/>
      <c r="B223" s="423"/>
      <c r="C223" s="425"/>
      <c r="D223" s="423"/>
      <c r="E223" s="423"/>
      <c r="F223" s="423"/>
      <c r="G223" s="423"/>
      <c r="H223" s="423"/>
      <c r="I223" s="423"/>
      <c r="J223" s="423"/>
      <c r="K223" s="423"/>
      <c r="L223" s="423"/>
      <c r="M223" s="423"/>
      <c r="N223" s="534"/>
    </row>
    <row r="224" spans="1:14" s="520" customFormat="1" x14ac:dyDescent="0.2">
      <c r="A224" s="538"/>
      <c r="B224" s="423"/>
      <c r="C224" s="425"/>
      <c r="D224" s="423"/>
      <c r="E224" s="423"/>
      <c r="F224" s="423"/>
      <c r="G224" s="423"/>
      <c r="H224" s="423"/>
      <c r="I224" s="423"/>
      <c r="J224" s="423"/>
      <c r="K224" s="423"/>
      <c r="L224" s="423"/>
      <c r="M224" s="423"/>
      <c r="N224" s="534"/>
    </row>
    <row r="225" spans="1:14" s="520" customFormat="1" x14ac:dyDescent="0.2">
      <c r="A225" s="541"/>
      <c r="B225" s="423"/>
      <c r="C225" s="425"/>
      <c r="D225" s="423"/>
      <c r="E225" s="423"/>
      <c r="F225" s="423"/>
      <c r="G225" s="423"/>
      <c r="H225" s="423"/>
      <c r="I225" s="423"/>
      <c r="J225" s="423"/>
      <c r="K225" s="423"/>
      <c r="L225" s="423"/>
      <c r="M225" s="423"/>
      <c r="N225" s="534"/>
    </row>
    <row r="226" spans="1:14" s="520" customFormat="1" ht="32.25" customHeight="1" x14ac:dyDescent="0.2">
      <c r="A226" s="541"/>
      <c r="B226" s="423"/>
      <c r="C226" s="425"/>
      <c r="D226" s="423"/>
      <c r="E226" s="423"/>
      <c r="F226" s="423"/>
      <c r="G226" s="423"/>
      <c r="H226" s="423"/>
      <c r="I226" s="423"/>
      <c r="J226" s="423"/>
      <c r="K226" s="423"/>
      <c r="L226" s="423"/>
      <c r="M226" s="423"/>
      <c r="N226" s="534"/>
    </row>
    <row r="227" spans="1:14" s="520" customFormat="1" ht="15" customHeight="1" x14ac:dyDescent="0.2">
      <c r="A227" s="541"/>
      <c r="B227" s="423"/>
      <c r="C227" s="425"/>
      <c r="D227" s="423"/>
      <c r="E227" s="423"/>
      <c r="F227" s="423"/>
      <c r="G227" s="423"/>
      <c r="H227" s="423"/>
      <c r="I227" s="423"/>
      <c r="J227" s="423"/>
      <c r="K227" s="423"/>
      <c r="L227" s="423"/>
      <c r="M227" s="423"/>
      <c r="N227" s="534"/>
    </row>
    <row r="228" spans="1:14" s="520" customFormat="1" ht="12.75" customHeight="1" x14ac:dyDescent="0.2">
      <c r="A228" s="541"/>
      <c r="B228" s="423"/>
      <c r="C228" s="425"/>
      <c r="D228" s="423"/>
      <c r="E228" s="423"/>
      <c r="F228" s="423"/>
      <c r="G228" s="423"/>
      <c r="H228" s="423"/>
      <c r="I228" s="423"/>
      <c r="J228" s="423"/>
      <c r="K228" s="423"/>
      <c r="L228" s="423"/>
      <c r="M228" s="423"/>
      <c r="N228" s="534"/>
    </row>
    <row r="229" spans="1:14" s="520" customFormat="1" x14ac:dyDescent="0.2">
      <c r="A229" s="541"/>
      <c r="B229" s="423"/>
      <c r="C229" s="425"/>
      <c r="D229" s="423"/>
      <c r="E229" s="423"/>
      <c r="F229" s="423"/>
      <c r="G229" s="423"/>
      <c r="H229" s="423"/>
      <c r="I229" s="423"/>
      <c r="J229" s="423"/>
      <c r="K229" s="423"/>
      <c r="L229" s="423"/>
      <c r="M229" s="423"/>
      <c r="N229" s="534"/>
    </row>
    <row r="230" spans="1:14" s="520" customFormat="1" x14ac:dyDescent="0.2">
      <c r="A230" s="541"/>
      <c r="B230" s="423"/>
      <c r="C230" s="425"/>
      <c r="D230" s="423"/>
      <c r="E230" s="423"/>
      <c r="F230" s="423"/>
      <c r="G230" s="423"/>
      <c r="H230" s="423"/>
      <c r="I230" s="423"/>
      <c r="J230" s="423"/>
      <c r="K230" s="423"/>
      <c r="L230" s="423"/>
      <c r="M230" s="423"/>
      <c r="N230" s="537"/>
    </row>
    <row r="231" spans="1:14" s="520" customFormat="1" x14ac:dyDescent="0.2">
      <c r="A231" s="541"/>
      <c r="B231" s="423"/>
      <c r="C231" s="425"/>
      <c r="D231" s="423"/>
      <c r="E231" s="423"/>
      <c r="F231" s="423"/>
      <c r="G231" s="423"/>
      <c r="H231" s="423"/>
      <c r="I231" s="423"/>
      <c r="J231" s="423"/>
      <c r="K231" s="423"/>
      <c r="L231" s="423"/>
      <c r="M231" s="423"/>
      <c r="N231" s="537"/>
    </row>
    <row r="232" spans="1:14" s="520" customFormat="1" ht="21.75" customHeight="1" x14ac:dyDescent="0.2">
      <c r="A232" s="541"/>
      <c r="B232" s="423"/>
      <c r="C232" s="425"/>
      <c r="D232" s="423"/>
      <c r="E232" s="423"/>
      <c r="F232" s="423"/>
      <c r="G232" s="423"/>
      <c r="H232" s="423"/>
      <c r="I232" s="423"/>
      <c r="J232" s="423"/>
      <c r="K232" s="423"/>
      <c r="L232" s="423"/>
      <c r="M232" s="423"/>
      <c r="N232" s="537"/>
    </row>
    <row r="233" spans="1:14" s="520" customFormat="1" ht="12.75" customHeight="1" x14ac:dyDescent="0.2">
      <c r="A233" s="541"/>
      <c r="B233" s="423"/>
      <c r="C233" s="425"/>
      <c r="D233" s="423"/>
      <c r="E233" s="423"/>
      <c r="F233" s="423"/>
      <c r="G233" s="423"/>
      <c r="H233" s="423"/>
      <c r="I233" s="423"/>
      <c r="J233" s="423"/>
      <c r="K233" s="423"/>
      <c r="L233" s="423"/>
      <c r="M233" s="423"/>
      <c r="N233" s="537"/>
    </row>
    <row r="234" spans="1:14" s="520" customFormat="1" ht="12.75" customHeight="1" x14ac:dyDescent="0.2">
      <c r="A234" s="541"/>
      <c r="B234" s="423"/>
      <c r="C234" s="425"/>
      <c r="D234" s="423"/>
      <c r="E234" s="423"/>
      <c r="F234" s="423"/>
      <c r="G234" s="423"/>
      <c r="H234" s="423"/>
      <c r="I234" s="423"/>
      <c r="J234" s="423"/>
      <c r="K234" s="423"/>
      <c r="L234" s="423"/>
      <c r="M234" s="423"/>
      <c r="N234" s="537"/>
    </row>
    <row r="235" spans="1:14" s="520" customFormat="1" ht="13.5" thickBot="1" x14ac:dyDescent="0.25">
      <c r="A235" s="543"/>
      <c r="B235" s="423"/>
      <c r="C235" s="425"/>
      <c r="D235" s="423"/>
      <c r="E235" s="423"/>
      <c r="F235" s="423"/>
      <c r="G235" s="423"/>
      <c r="H235" s="423"/>
      <c r="I235" s="423"/>
      <c r="J235" s="423"/>
      <c r="K235" s="423"/>
      <c r="L235" s="423"/>
      <c r="M235" s="423"/>
      <c r="N235" s="537"/>
    </row>
    <row r="236" spans="1:14" s="520" customFormat="1" x14ac:dyDescent="0.2">
      <c r="A236" s="420"/>
      <c r="B236" s="423"/>
      <c r="C236" s="425"/>
      <c r="D236" s="423"/>
      <c r="E236" s="423"/>
      <c r="F236" s="423"/>
      <c r="G236" s="423"/>
      <c r="H236" s="423"/>
      <c r="I236" s="423"/>
      <c r="J236" s="423"/>
      <c r="K236" s="423"/>
      <c r="L236" s="423"/>
      <c r="M236" s="423"/>
      <c r="N236" s="537"/>
    </row>
    <row r="237" spans="1:14" s="520" customFormat="1" x14ac:dyDescent="0.2">
      <c r="A237" s="420"/>
      <c r="B237" s="423"/>
      <c r="C237" s="425"/>
      <c r="D237" s="423"/>
      <c r="E237" s="423"/>
      <c r="F237" s="423"/>
      <c r="G237" s="423"/>
      <c r="H237" s="423"/>
      <c r="I237" s="423"/>
      <c r="J237" s="423"/>
      <c r="K237" s="423"/>
      <c r="L237" s="423"/>
      <c r="M237" s="423"/>
      <c r="N237" s="537"/>
    </row>
    <row r="238" spans="1:14" s="520" customFormat="1" x14ac:dyDescent="0.2">
      <c r="A238" s="420"/>
      <c r="B238" s="423"/>
      <c r="C238" s="425"/>
      <c r="D238" s="423"/>
      <c r="E238" s="423"/>
      <c r="F238" s="423"/>
      <c r="G238" s="423"/>
      <c r="H238" s="423"/>
      <c r="I238" s="423"/>
      <c r="J238" s="423"/>
      <c r="K238" s="423"/>
      <c r="L238" s="423"/>
      <c r="M238" s="423"/>
      <c r="N238" s="537"/>
    </row>
    <row r="239" spans="1:14" s="532" customFormat="1" ht="35.25" customHeight="1" x14ac:dyDescent="0.2">
      <c r="A239" s="420"/>
      <c r="B239" s="423"/>
      <c r="C239" s="425"/>
      <c r="D239" s="423"/>
      <c r="E239" s="423"/>
      <c r="F239" s="423"/>
      <c r="G239" s="423"/>
      <c r="H239" s="423"/>
      <c r="I239" s="423"/>
      <c r="J239" s="423"/>
      <c r="K239" s="423"/>
      <c r="L239" s="423"/>
      <c r="M239" s="423"/>
      <c r="N239" s="537"/>
    </row>
    <row r="240" spans="1:14" s="520" customFormat="1" ht="11.25" customHeight="1" x14ac:dyDescent="0.2">
      <c r="A240" s="420"/>
      <c r="B240" s="423"/>
      <c r="C240" s="425"/>
      <c r="D240" s="423"/>
      <c r="E240" s="423"/>
      <c r="F240" s="423"/>
      <c r="G240" s="423"/>
      <c r="H240" s="423"/>
      <c r="I240" s="423"/>
      <c r="J240" s="423"/>
      <c r="K240" s="423"/>
      <c r="L240" s="423"/>
      <c r="M240" s="423"/>
      <c r="N240" s="537"/>
    </row>
    <row r="241" spans="1:14" s="520" customFormat="1" ht="12.75" customHeight="1" x14ac:dyDescent="0.2">
      <c r="A241" s="420"/>
      <c r="B241" s="423"/>
      <c r="C241" s="425"/>
      <c r="D241" s="423"/>
      <c r="E241" s="423"/>
      <c r="F241" s="423"/>
      <c r="G241" s="423"/>
      <c r="H241" s="423"/>
      <c r="I241" s="423"/>
      <c r="J241" s="423"/>
      <c r="K241" s="423"/>
      <c r="L241" s="423"/>
      <c r="M241" s="423"/>
      <c r="N241" s="537"/>
    </row>
    <row r="242" spans="1:14" s="532" customFormat="1" ht="14.25" customHeight="1" x14ac:dyDescent="0.2">
      <c r="A242" s="420"/>
      <c r="B242" s="423"/>
      <c r="C242" s="425"/>
      <c r="D242" s="423"/>
      <c r="E242" s="423"/>
      <c r="F242" s="423"/>
      <c r="G242" s="423"/>
      <c r="H242" s="423"/>
      <c r="I242" s="423"/>
      <c r="J242" s="423"/>
      <c r="K242" s="423"/>
      <c r="L242" s="423"/>
      <c r="M242" s="423"/>
      <c r="N242" s="537"/>
    </row>
    <row r="243" spans="1:14" s="520" customFormat="1" ht="11.25" customHeight="1" x14ac:dyDescent="0.2">
      <c r="A243" s="420"/>
      <c r="B243" s="423"/>
      <c r="C243" s="425"/>
      <c r="D243" s="423"/>
      <c r="E243" s="423"/>
      <c r="F243" s="423"/>
      <c r="G243" s="423"/>
      <c r="H243" s="423"/>
      <c r="I243" s="423"/>
      <c r="J243" s="423"/>
      <c r="K243" s="423"/>
      <c r="L243" s="423"/>
      <c r="M243" s="423"/>
      <c r="N243" s="537"/>
    </row>
    <row r="244" spans="1:14" s="520" customFormat="1" ht="12.75" customHeight="1" x14ac:dyDescent="0.2">
      <c r="A244" s="420"/>
      <c r="B244" s="423"/>
      <c r="C244" s="425"/>
      <c r="D244" s="423"/>
      <c r="E244" s="423"/>
      <c r="F244" s="423"/>
      <c r="G244" s="423"/>
      <c r="H244" s="423"/>
      <c r="I244" s="423"/>
      <c r="J244" s="423"/>
      <c r="K244" s="423"/>
      <c r="L244" s="423"/>
      <c r="M244" s="423"/>
      <c r="N244" s="537"/>
    </row>
    <row r="245" spans="1:14" s="532" customFormat="1" ht="23.25" customHeight="1" x14ac:dyDescent="0.2">
      <c r="A245" s="420"/>
      <c r="B245" s="423"/>
      <c r="C245" s="425"/>
      <c r="D245" s="423"/>
      <c r="E245" s="423"/>
      <c r="F245" s="423"/>
      <c r="G245" s="423"/>
      <c r="H245" s="423"/>
      <c r="I245" s="423"/>
      <c r="J245" s="423"/>
      <c r="K245" s="423"/>
      <c r="L245" s="423"/>
      <c r="M245" s="423"/>
      <c r="N245" s="537"/>
    </row>
    <row r="246" spans="1:14" s="520" customFormat="1" ht="11.25" customHeight="1" x14ac:dyDescent="0.2">
      <c r="A246" s="420"/>
      <c r="B246" s="423"/>
      <c r="C246" s="425"/>
      <c r="D246" s="423"/>
      <c r="E246" s="423"/>
      <c r="F246" s="423"/>
      <c r="G246" s="423"/>
      <c r="H246" s="423"/>
      <c r="I246" s="423"/>
      <c r="J246" s="423"/>
      <c r="K246" s="423"/>
      <c r="L246" s="423"/>
      <c r="M246" s="423"/>
      <c r="N246" s="537"/>
    </row>
    <row r="247" spans="1:14" s="520" customFormat="1" x14ac:dyDescent="0.2">
      <c r="A247" s="420"/>
      <c r="B247" s="423"/>
      <c r="C247" s="425"/>
      <c r="D247" s="423"/>
      <c r="E247" s="423"/>
      <c r="F247" s="423"/>
      <c r="G247" s="423"/>
      <c r="H247" s="423"/>
      <c r="I247" s="423"/>
      <c r="J247" s="423"/>
      <c r="K247" s="423"/>
      <c r="L247" s="423"/>
      <c r="M247" s="423"/>
      <c r="N247" s="537"/>
    </row>
    <row r="248" spans="1:14" s="520" customFormat="1" x14ac:dyDescent="0.2">
      <c r="A248" s="420"/>
      <c r="B248" s="423"/>
      <c r="C248" s="425"/>
      <c r="D248" s="423"/>
      <c r="E248" s="423"/>
      <c r="F248" s="423"/>
      <c r="G248" s="423"/>
      <c r="H248" s="423"/>
      <c r="I248" s="423"/>
      <c r="J248" s="423"/>
      <c r="K248" s="423"/>
      <c r="L248" s="423"/>
      <c r="M248" s="423"/>
      <c r="N248" s="537"/>
    </row>
    <row r="249" spans="1:14" s="532" customFormat="1" ht="23.25" customHeight="1" x14ac:dyDescent="0.2">
      <c r="A249" s="420"/>
      <c r="B249" s="423"/>
      <c r="C249" s="425"/>
      <c r="D249" s="423"/>
      <c r="E249" s="423"/>
      <c r="F249" s="423"/>
      <c r="G249" s="423"/>
      <c r="H249" s="423"/>
      <c r="I249" s="423"/>
      <c r="J249" s="423"/>
      <c r="K249" s="423"/>
      <c r="L249" s="423"/>
      <c r="M249" s="423"/>
      <c r="N249" s="537"/>
    </row>
    <row r="250" spans="1:14" s="520" customFormat="1" ht="11.25" customHeight="1" x14ac:dyDescent="0.2">
      <c r="A250" s="420"/>
      <c r="B250" s="423"/>
      <c r="C250" s="425"/>
      <c r="D250" s="423"/>
      <c r="E250" s="423"/>
      <c r="F250" s="423"/>
      <c r="G250" s="423"/>
      <c r="H250" s="423"/>
      <c r="I250" s="423"/>
      <c r="J250" s="423"/>
      <c r="K250" s="423"/>
      <c r="L250" s="423"/>
      <c r="M250" s="423"/>
      <c r="N250" s="537"/>
    </row>
    <row r="251" spans="1:14" s="520" customFormat="1" x14ac:dyDescent="0.2">
      <c r="A251" s="420"/>
      <c r="B251" s="423"/>
      <c r="C251" s="425"/>
      <c r="D251" s="423"/>
      <c r="E251" s="423"/>
      <c r="F251" s="423"/>
      <c r="G251" s="423"/>
      <c r="H251" s="423"/>
      <c r="I251" s="423"/>
      <c r="J251" s="423"/>
      <c r="K251" s="423"/>
      <c r="L251" s="423"/>
      <c r="M251" s="423"/>
      <c r="N251" s="537"/>
    </row>
    <row r="252" spans="1:14" x14ac:dyDescent="0.2">
      <c r="A252" s="420"/>
      <c r="B252" s="423"/>
      <c r="C252" s="425"/>
      <c r="D252" s="423"/>
      <c r="E252" s="423"/>
      <c r="F252" s="423"/>
      <c r="G252" s="423"/>
      <c r="H252" s="423"/>
      <c r="N252" s="537"/>
    </row>
    <row r="253" spans="1:14" x14ac:dyDescent="0.2">
      <c r="A253" s="420"/>
      <c r="B253" s="423"/>
      <c r="C253" s="425"/>
      <c r="D253" s="423"/>
      <c r="E253" s="423"/>
      <c r="F253" s="423"/>
      <c r="G253" s="423"/>
      <c r="H253" s="423"/>
      <c r="N253" s="537"/>
    </row>
    <row r="254" spans="1:14" x14ac:dyDescent="0.2">
      <c r="A254" s="420"/>
      <c r="B254" s="423"/>
      <c r="C254" s="425"/>
      <c r="D254" s="423"/>
      <c r="E254" s="423"/>
      <c r="F254" s="423"/>
      <c r="G254" s="423"/>
      <c r="H254" s="423"/>
      <c r="N254" s="537"/>
    </row>
    <row r="255" spans="1:14" x14ac:dyDescent="0.2">
      <c r="A255" s="420"/>
      <c r="B255" s="423"/>
      <c r="C255" s="425"/>
      <c r="D255" s="423"/>
      <c r="E255" s="423"/>
      <c r="F255" s="423"/>
      <c r="G255" s="423"/>
      <c r="H255" s="423"/>
      <c r="N255" s="537"/>
    </row>
    <row r="256" spans="1:14" ht="13.5" thickBot="1" x14ac:dyDescent="0.25">
      <c r="A256" s="420"/>
      <c r="B256" s="423"/>
      <c r="C256" s="425"/>
      <c r="D256" s="423"/>
      <c r="E256" s="423"/>
      <c r="F256" s="423"/>
      <c r="G256" s="423"/>
      <c r="H256" s="423"/>
      <c r="N256" s="537"/>
    </row>
    <row r="257" spans="1:14" x14ac:dyDescent="0.2">
      <c r="A257" s="538"/>
      <c r="B257" s="423"/>
      <c r="C257" s="425"/>
      <c r="D257" s="423"/>
      <c r="E257" s="423"/>
      <c r="F257" s="423"/>
      <c r="G257" s="423"/>
      <c r="H257" s="423"/>
      <c r="N257" s="537"/>
    </row>
    <row r="258" spans="1:14" x14ac:dyDescent="0.2">
      <c r="A258" s="541"/>
      <c r="B258" s="423"/>
      <c r="C258" s="425"/>
      <c r="D258" s="423"/>
      <c r="E258" s="423"/>
      <c r="F258" s="423"/>
      <c r="G258" s="423"/>
      <c r="H258" s="423"/>
      <c r="N258" s="537"/>
    </row>
    <row r="259" spans="1:14" x14ac:dyDescent="0.2">
      <c r="A259" s="541"/>
      <c r="B259" s="423"/>
      <c r="C259" s="425"/>
      <c r="D259" s="423"/>
      <c r="E259" s="423"/>
      <c r="F259" s="423"/>
      <c r="G259" s="423"/>
      <c r="H259" s="423"/>
      <c r="N259" s="534"/>
    </row>
    <row r="260" spans="1:14" x14ac:dyDescent="0.2">
      <c r="A260" s="541"/>
      <c r="B260" s="423"/>
      <c r="C260" s="425"/>
      <c r="D260" s="423"/>
      <c r="E260" s="423"/>
      <c r="F260" s="423"/>
      <c r="G260" s="423"/>
      <c r="H260" s="423"/>
      <c r="N260" s="534"/>
    </row>
    <row r="261" spans="1:14" x14ac:dyDescent="0.2">
      <c r="A261" s="541"/>
      <c r="B261" s="423"/>
      <c r="C261" s="425"/>
      <c r="D261" s="423"/>
      <c r="E261" s="423"/>
      <c r="F261" s="423"/>
      <c r="G261" s="423"/>
      <c r="H261" s="423"/>
      <c r="N261" s="534"/>
    </row>
    <row r="262" spans="1:14" x14ac:dyDescent="0.2">
      <c r="A262" s="541"/>
      <c r="B262" s="423"/>
      <c r="C262" s="425"/>
      <c r="D262" s="423"/>
      <c r="E262" s="423"/>
      <c r="F262" s="423"/>
      <c r="G262" s="423"/>
      <c r="H262" s="423"/>
      <c r="N262" s="534"/>
    </row>
    <row r="263" spans="1:14" x14ac:dyDescent="0.2">
      <c r="A263" s="541"/>
      <c r="B263" s="423"/>
      <c r="C263" s="425"/>
      <c r="D263" s="423"/>
      <c r="E263" s="423"/>
      <c r="F263" s="423"/>
      <c r="G263" s="423"/>
      <c r="H263" s="423"/>
      <c r="N263" s="534"/>
    </row>
    <row r="264" spans="1:14" x14ac:dyDescent="0.2">
      <c r="A264" s="541"/>
      <c r="B264" s="423"/>
      <c r="C264" s="425"/>
      <c r="D264" s="423"/>
      <c r="E264" s="423"/>
      <c r="F264" s="423"/>
      <c r="G264" s="423"/>
      <c r="H264" s="423"/>
      <c r="N264" s="534"/>
    </row>
    <row r="265" spans="1:14" ht="13.5" thickBot="1" x14ac:dyDescent="0.25">
      <c r="A265" s="543"/>
      <c r="B265" s="423"/>
      <c r="C265" s="425"/>
      <c r="D265" s="423"/>
      <c r="E265" s="423"/>
      <c r="F265" s="423"/>
      <c r="G265" s="423"/>
      <c r="H265" s="423"/>
      <c r="N265" s="534"/>
    </row>
    <row r="266" spans="1:14" x14ac:dyDescent="0.2">
      <c r="A266" s="538"/>
      <c r="B266" s="423"/>
      <c r="C266" s="425"/>
      <c r="D266" s="423"/>
      <c r="E266" s="423"/>
      <c r="F266" s="423"/>
      <c r="G266" s="423"/>
      <c r="H266" s="423"/>
      <c r="N266" s="534"/>
    </row>
    <row r="267" spans="1:14" x14ac:dyDescent="0.2">
      <c r="A267" s="541"/>
      <c r="B267" s="423"/>
      <c r="C267" s="425"/>
      <c r="D267" s="423"/>
      <c r="E267" s="423"/>
      <c r="F267" s="423"/>
      <c r="G267" s="423"/>
      <c r="H267" s="423"/>
      <c r="N267" s="534"/>
    </row>
    <row r="268" spans="1:14" x14ac:dyDescent="0.2">
      <c r="A268" s="541"/>
      <c r="B268" s="423"/>
      <c r="C268" s="425"/>
      <c r="D268" s="423"/>
      <c r="E268" s="423"/>
      <c r="F268" s="423"/>
      <c r="G268" s="423"/>
      <c r="H268" s="423"/>
      <c r="N268" s="534"/>
    </row>
    <row r="269" spans="1:14" x14ac:dyDescent="0.2">
      <c r="A269" s="541"/>
      <c r="B269" s="423"/>
      <c r="C269" s="425"/>
      <c r="D269" s="423"/>
      <c r="E269" s="423"/>
      <c r="F269" s="423"/>
      <c r="G269" s="423"/>
      <c r="H269" s="423"/>
      <c r="N269" s="534"/>
    </row>
    <row r="270" spans="1:14" x14ac:dyDescent="0.2">
      <c r="A270" s="541"/>
      <c r="B270" s="423"/>
      <c r="C270" s="425"/>
      <c r="D270" s="423"/>
      <c r="E270" s="423"/>
      <c r="F270" s="423"/>
      <c r="G270" s="423"/>
      <c r="H270" s="423"/>
      <c r="N270" s="534"/>
    </row>
    <row r="271" spans="1:14" x14ac:dyDescent="0.2">
      <c r="A271" s="541"/>
      <c r="B271" s="423"/>
      <c r="C271" s="425"/>
      <c r="D271" s="423"/>
      <c r="E271" s="423"/>
      <c r="F271" s="423"/>
      <c r="G271" s="423"/>
      <c r="H271" s="423"/>
      <c r="N271" s="534"/>
    </row>
    <row r="272" spans="1:14" x14ac:dyDescent="0.2">
      <c r="A272" s="541"/>
      <c r="B272" s="423"/>
      <c r="C272" s="425"/>
      <c r="D272" s="423"/>
      <c r="E272" s="423"/>
      <c r="F272" s="423"/>
      <c r="G272" s="423"/>
      <c r="H272" s="423"/>
      <c r="N272" s="534"/>
    </row>
    <row r="273" spans="1:14" x14ac:dyDescent="0.2">
      <c r="A273" s="541"/>
      <c r="B273" s="423"/>
      <c r="C273" s="425"/>
      <c r="D273" s="423"/>
      <c r="E273" s="423"/>
      <c r="F273" s="423"/>
      <c r="G273" s="423"/>
      <c r="H273" s="423"/>
      <c r="N273" s="534"/>
    </row>
    <row r="274" spans="1:14" ht="13.5" thickBot="1" x14ac:dyDescent="0.25">
      <c r="A274" s="543"/>
      <c r="B274" s="423"/>
      <c r="C274" s="425"/>
      <c r="D274" s="423"/>
      <c r="E274" s="423"/>
      <c r="F274" s="423"/>
      <c r="G274" s="423"/>
      <c r="H274" s="423"/>
      <c r="N274" s="534"/>
    </row>
    <row r="275" spans="1:14" x14ac:dyDescent="0.2">
      <c r="A275" s="420"/>
      <c r="B275" s="423"/>
      <c r="C275" s="425"/>
      <c r="D275" s="423"/>
      <c r="E275" s="423"/>
      <c r="F275" s="423"/>
      <c r="G275" s="423"/>
      <c r="H275" s="423"/>
      <c r="N275" s="534"/>
    </row>
    <row r="276" spans="1:14" x14ac:dyDescent="0.2">
      <c r="A276" s="420"/>
      <c r="B276" s="423"/>
      <c r="C276" s="425"/>
      <c r="D276" s="423"/>
      <c r="E276" s="423"/>
      <c r="F276" s="423"/>
      <c r="G276" s="423"/>
      <c r="H276" s="423"/>
      <c r="N276" s="534"/>
    </row>
    <row r="277" spans="1:14" x14ac:dyDescent="0.2">
      <c r="A277" s="420"/>
      <c r="B277" s="423"/>
      <c r="C277" s="425"/>
      <c r="D277" s="423"/>
      <c r="E277" s="423"/>
      <c r="F277" s="423"/>
      <c r="G277" s="423"/>
      <c r="H277" s="423"/>
      <c r="N277" s="534"/>
    </row>
    <row r="278" spans="1:14" x14ac:dyDescent="0.2">
      <c r="A278" s="420"/>
      <c r="B278" s="423"/>
      <c r="C278" s="425"/>
      <c r="D278" s="423"/>
      <c r="E278" s="423"/>
      <c r="F278" s="423"/>
      <c r="G278" s="423"/>
      <c r="H278" s="423"/>
      <c r="N278" s="534"/>
    </row>
    <row r="279" spans="1:14" x14ac:dyDescent="0.2">
      <c r="A279" s="420"/>
      <c r="B279" s="423"/>
      <c r="C279" s="425"/>
      <c r="D279" s="423"/>
      <c r="E279" s="423"/>
      <c r="F279" s="423"/>
      <c r="G279" s="423"/>
      <c r="H279" s="423"/>
      <c r="N279" s="534"/>
    </row>
    <row r="280" spans="1:14" x14ac:dyDescent="0.2">
      <c r="A280" s="420"/>
      <c r="B280" s="423"/>
      <c r="C280" s="425"/>
      <c r="D280" s="423"/>
      <c r="E280" s="423"/>
      <c r="F280" s="423"/>
      <c r="G280" s="423"/>
      <c r="H280" s="423"/>
      <c r="N280" s="534"/>
    </row>
    <row r="281" spans="1:14" x14ac:dyDescent="0.2">
      <c r="A281" s="420"/>
      <c r="B281" s="423"/>
      <c r="C281" s="425"/>
      <c r="D281" s="423"/>
      <c r="E281" s="423"/>
      <c r="F281" s="423"/>
      <c r="G281" s="423"/>
      <c r="H281" s="423"/>
      <c r="N281" s="534"/>
    </row>
    <row r="282" spans="1:14" x14ac:dyDescent="0.2">
      <c r="A282" s="420"/>
      <c r="B282" s="423"/>
      <c r="C282" s="425"/>
      <c r="D282" s="423"/>
      <c r="E282" s="423"/>
      <c r="F282" s="423"/>
      <c r="G282" s="423"/>
      <c r="H282" s="423"/>
      <c r="N282" s="534"/>
    </row>
    <row r="283" spans="1:14" x14ac:dyDescent="0.2">
      <c r="A283" s="420"/>
      <c r="B283" s="423"/>
      <c r="C283" s="425"/>
      <c r="D283" s="423"/>
      <c r="E283" s="423"/>
      <c r="F283" s="423"/>
      <c r="G283" s="423"/>
      <c r="H283" s="423"/>
      <c r="N283" s="534"/>
    </row>
    <row r="284" spans="1:14" x14ac:dyDescent="0.2">
      <c r="A284" s="420"/>
      <c r="B284" s="423"/>
      <c r="C284" s="425"/>
      <c r="D284" s="423"/>
      <c r="E284" s="423"/>
      <c r="F284" s="423"/>
      <c r="G284" s="423"/>
      <c r="H284" s="423"/>
      <c r="N284" s="534"/>
    </row>
    <row r="285" spans="1:14" x14ac:dyDescent="0.2">
      <c r="A285" s="420"/>
      <c r="B285" s="423"/>
      <c r="C285" s="425"/>
      <c r="D285" s="423"/>
      <c r="E285" s="423"/>
      <c r="F285" s="423"/>
      <c r="G285" s="423"/>
      <c r="H285" s="423"/>
      <c r="N285" s="534"/>
    </row>
    <row r="286" spans="1:14" x14ac:dyDescent="0.2">
      <c r="A286" s="420"/>
      <c r="B286" s="423"/>
      <c r="C286" s="425"/>
      <c r="D286" s="423"/>
      <c r="E286" s="423"/>
      <c r="F286" s="423"/>
      <c r="G286" s="423"/>
      <c r="H286" s="423"/>
      <c r="N286" s="534"/>
    </row>
    <row r="287" spans="1:14" x14ac:dyDescent="0.2">
      <c r="A287" s="420"/>
      <c r="B287" s="423"/>
      <c r="C287" s="425"/>
      <c r="D287" s="423"/>
      <c r="E287" s="423"/>
      <c r="F287" s="423"/>
      <c r="G287" s="423"/>
      <c r="H287" s="423"/>
      <c r="N287" s="534"/>
    </row>
    <row r="288" spans="1:14" x14ac:dyDescent="0.2">
      <c r="A288" s="420"/>
      <c r="B288" s="423"/>
      <c r="C288" s="425"/>
      <c r="D288" s="423"/>
      <c r="E288" s="423"/>
      <c r="F288" s="423"/>
      <c r="G288" s="423"/>
      <c r="H288" s="423"/>
      <c r="N288" s="534"/>
    </row>
    <row r="289" spans="1:14" x14ac:dyDescent="0.2">
      <c r="A289" s="420"/>
      <c r="B289" s="423"/>
      <c r="C289" s="425"/>
      <c r="D289" s="423"/>
      <c r="E289" s="423"/>
      <c r="F289" s="423"/>
      <c r="G289" s="423"/>
      <c r="H289" s="423"/>
      <c r="N289" s="534"/>
    </row>
    <row r="290" spans="1:14" x14ac:dyDescent="0.2">
      <c r="A290" s="420"/>
      <c r="B290" s="423"/>
      <c r="C290" s="425"/>
      <c r="D290" s="423"/>
      <c r="E290" s="423"/>
      <c r="F290" s="423"/>
      <c r="G290" s="423"/>
      <c r="H290" s="423"/>
      <c r="N290" s="534"/>
    </row>
    <row r="291" spans="1:14" x14ac:dyDescent="0.2">
      <c r="A291" s="420"/>
      <c r="B291" s="423"/>
      <c r="C291" s="425"/>
      <c r="D291" s="423"/>
      <c r="E291" s="423"/>
      <c r="F291" s="423"/>
      <c r="G291" s="423"/>
      <c r="H291" s="423"/>
      <c r="N291" s="534"/>
    </row>
    <row r="292" spans="1:14" ht="13.5" thickBot="1" x14ac:dyDescent="0.25">
      <c r="A292" s="420"/>
      <c r="B292" s="423"/>
      <c r="C292" s="425"/>
      <c r="D292" s="423"/>
      <c r="E292" s="423"/>
      <c r="F292" s="423"/>
      <c r="G292" s="423"/>
      <c r="H292" s="423"/>
      <c r="N292" s="534"/>
    </row>
    <row r="293" spans="1:14" x14ac:dyDescent="0.2">
      <c r="A293" s="538"/>
      <c r="B293" s="423"/>
      <c r="C293" s="425"/>
      <c r="D293" s="423"/>
      <c r="E293" s="423"/>
      <c r="F293" s="423"/>
      <c r="G293" s="423"/>
      <c r="H293" s="423"/>
      <c r="N293" s="534"/>
    </row>
    <row r="294" spans="1:14" x14ac:dyDescent="0.2">
      <c r="A294" s="541"/>
      <c r="B294" s="423"/>
      <c r="C294" s="425"/>
      <c r="D294" s="423"/>
      <c r="E294" s="423"/>
      <c r="F294" s="423"/>
      <c r="G294" s="423"/>
      <c r="H294" s="423"/>
      <c r="N294" s="534"/>
    </row>
    <row r="295" spans="1:14" x14ac:dyDescent="0.2">
      <c r="A295" s="541"/>
      <c r="B295" s="423"/>
      <c r="C295" s="425"/>
      <c r="D295" s="423"/>
      <c r="E295" s="423"/>
      <c r="F295" s="423"/>
      <c r="G295" s="423"/>
      <c r="H295" s="423"/>
      <c r="N295" s="534"/>
    </row>
    <row r="296" spans="1:14" x14ac:dyDescent="0.2">
      <c r="A296" s="541"/>
      <c r="B296" s="423"/>
      <c r="C296" s="425"/>
      <c r="D296" s="423"/>
      <c r="E296" s="423"/>
      <c r="F296" s="423"/>
      <c r="G296" s="423"/>
      <c r="H296" s="423"/>
      <c r="N296" s="534"/>
    </row>
    <row r="297" spans="1:14" x14ac:dyDescent="0.2">
      <c r="A297" s="541"/>
      <c r="B297" s="423"/>
      <c r="C297" s="425"/>
      <c r="D297" s="423"/>
      <c r="E297" s="423"/>
      <c r="F297" s="423"/>
      <c r="G297" s="423"/>
      <c r="H297" s="423"/>
      <c r="N297" s="534"/>
    </row>
    <row r="298" spans="1:14" x14ac:dyDescent="0.2">
      <c r="A298" s="541"/>
      <c r="B298" s="423"/>
      <c r="C298" s="425"/>
      <c r="D298" s="423"/>
      <c r="E298" s="423"/>
      <c r="F298" s="423"/>
      <c r="G298" s="423"/>
      <c r="H298" s="423"/>
      <c r="N298" s="534"/>
    </row>
    <row r="299" spans="1:14" x14ac:dyDescent="0.2">
      <c r="A299" s="541"/>
      <c r="B299" s="423"/>
      <c r="C299" s="425"/>
      <c r="D299" s="423"/>
      <c r="E299" s="423"/>
      <c r="F299" s="423"/>
      <c r="G299" s="423"/>
      <c r="H299" s="423"/>
      <c r="N299" s="534"/>
    </row>
    <row r="300" spans="1:14" x14ac:dyDescent="0.2">
      <c r="A300" s="541"/>
      <c r="B300" s="423"/>
      <c r="C300" s="425"/>
      <c r="D300" s="423"/>
      <c r="E300" s="423"/>
      <c r="F300" s="423"/>
      <c r="G300" s="423"/>
      <c r="H300" s="423"/>
      <c r="N300" s="534"/>
    </row>
    <row r="301" spans="1:14" ht="13.5" thickBot="1" x14ac:dyDescent="0.25">
      <c r="A301" s="543"/>
      <c r="B301" s="423"/>
      <c r="C301" s="425"/>
      <c r="D301" s="423"/>
      <c r="E301" s="423"/>
      <c r="F301" s="423"/>
      <c r="G301" s="423"/>
      <c r="H301" s="423"/>
      <c r="N301" s="534"/>
    </row>
    <row r="302" spans="1:14" x14ac:dyDescent="0.2">
      <c r="A302" s="538"/>
      <c r="B302" s="423"/>
      <c r="C302" s="425"/>
      <c r="D302" s="423"/>
      <c r="E302" s="423"/>
      <c r="F302" s="423"/>
      <c r="G302" s="423"/>
      <c r="H302" s="423"/>
      <c r="N302" s="534"/>
    </row>
    <row r="303" spans="1:14" x14ac:dyDescent="0.2">
      <c r="A303" s="541"/>
      <c r="B303" s="423"/>
      <c r="C303" s="425"/>
      <c r="D303" s="423"/>
      <c r="E303" s="423"/>
      <c r="F303" s="423"/>
      <c r="G303" s="423"/>
      <c r="H303" s="423"/>
      <c r="N303" s="534"/>
    </row>
    <row r="304" spans="1:14" x14ac:dyDescent="0.2">
      <c r="A304" s="541"/>
      <c r="B304" s="423"/>
      <c r="C304" s="425"/>
      <c r="D304" s="423"/>
      <c r="E304" s="423"/>
      <c r="F304" s="423"/>
      <c r="G304" s="423"/>
      <c r="H304" s="423"/>
      <c r="N304" s="534"/>
    </row>
    <row r="305" spans="1:14" x14ac:dyDescent="0.2">
      <c r="A305" s="541"/>
      <c r="B305" s="423"/>
      <c r="C305" s="425"/>
      <c r="D305" s="423"/>
      <c r="E305" s="423"/>
      <c r="F305" s="423"/>
      <c r="G305" s="423"/>
      <c r="H305" s="423"/>
      <c r="N305" s="534"/>
    </row>
    <row r="306" spans="1:14" x14ac:dyDescent="0.2">
      <c r="A306" s="541"/>
      <c r="B306" s="423"/>
      <c r="C306" s="425"/>
      <c r="D306" s="423"/>
      <c r="E306" s="423"/>
      <c r="F306" s="423"/>
      <c r="G306" s="423"/>
      <c r="H306" s="423"/>
      <c r="N306" s="534"/>
    </row>
    <row r="307" spans="1:14" x14ac:dyDescent="0.2">
      <c r="A307" s="541"/>
      <c r="B307" s="423"/>
      <c r="C307" s="425"/>
      <c r="D307" s="423"/>
      <c r="E307" s="423"/>
      <c r="F307" s="423"/>
      <c r="G307" s="423"/>
      <c r="H307" s="423"/>
      <c r="N307" s="534"/>
    </row>
    <row r="308" spans="1:14" x14ac:dyDescent="0.2">
      <c r="A308" s="541"/>
      <c r="B308" s="423"/>
      <c r="C308" s="425"/>
      <c r="D308" s="423"/>
      <c r="E308" s="423"/>
      <c r="F308" s="423"/>
      <c r="G308" s="423"/>
      <c r="H308" s="423"/>
      <c r="N308" s="534"/>
    </row>
    <row r="309" spans="1:14" x14ac:dyDescent="0.2">
      <c r="A309" s="541"/>
      <c r="B309" s="423"/>
      <c r="C309" s="425"/>
      <c r="D309" s="423"/>
      <c r="E309" s="423"/>
      <c r="F309" s="423"/>
      <c r="G309" s="423"/>
      <c r="H309" s="423"/>
      <c r="N309" s="534"/>
    </row>
    <row r="310" spans="1:14" ht="13.5" thickBot="1" x14ac:dyDescent="0.25">
      <c r="A310" s="543"/>
      <c r="B310" s="423"/>
      <c r="C310" s="425"/>
      <c r="D310" s="423"/>
      <c r="E310" s="423"/>
      <c r="F310" s="423"/>
      <c r="G310" s="423"/>
      <c r="H310" s="423"/>
      <c r="N310" s="534"/>
    </row>
    <row r="311" spans="1:14" x14ac:dyDescent="0.2">
      <c r="A311" s="420"/>
      <c r="B311" s="423"/>
      <c r="C311" s="425"/>
      <c r="D311" s="423"/>
      <c r="E311" s="423"/>
      <c r="F311" s="423"/>
      <c r="G311" s="423"/>
      <c r="H311" s="423"/>
      <c r="N311" s="534"/>
    </row>
    <row r="312" spans="1:14" x14ac:dyDescent="0.2">
      <c r="A312" s="420"/>
      <c r="B312" s="423"/>
      <c r="C312" s="425"/>
      <c r="D312" s="423"/>
      <c r="E312" s="423"/>
      <c r="F312" s="423"/>
      <c r="G312" s="423"/>
      <c r="H312" s="423"/>
      <c r="N312" s="534"/>
    </row>
    <row r="313" spans="1:14" x14ac:dyDescent="0.2">
      <c r="A313" s="420"/>
      <c r="B313" s="423"/>
      <c r="C313" s="425"/>
      <c r="D313" s="423"/>
      <c r="E313" s="423"/>
      <c r="F313" s="423"/>
      <c r="G313" s="423"/>
      <c r="H313" s="423"/>
      <c r="N313" s="534"/>
    </row>
    <row r="314" spans="1:14" x14ac:dyDescent="0.2">
      <c r="A314" s="420"/>
      <c r="B314" s="423"/>
      <c r="C314" s="425"/>
      <c r="D314" s="423"/>
      <c r="E314" s="423"/>
      <c r="F314" s="423"/>
      <c r="G314" s="423"/>
      <c r="H314" s="423"/>
      <c r="N314" s="534"/>
    </row>
    <row r="315" spans="1:14" x14ac:dyDescent="0.2">
      <c r="A315" s="420"/>
      <c r="B315" s="423"/>
      <c r="C315" s="425"/>
      <c r="D315" s="423"/>
      <c r="E315" s="423"/>
      <c r="F315" s="423"/>
      <c r="G315" s="423"/>
      <c r="H315" s="423"/>
      <c r="N315" s="534"/>
    </row>
    <row r="316" spans="1:14" x14ac:dyDescent="0.2">
      <c r="A316" s="420"/>
      <c r="B316" s="423"/>
      <c r="C316" s="425"/>
      <c r="D316" s="423"/>
      <c r="E316" s="423"/>
      <c r="F316" s="423"/>
      <c r="G316" s="423"/>
      <c r="H316" s="423"/>
      <c r="N316" s="534"/>
    </row>
    <row r="317" spans="1:14" x14ac:dyDescent="0.2">
      <c r="A317" s="420"/>
      <c r="B317" s="423"/>
      <c r="C317" s="425"/>
      <c r="D317" s="423"/>
      <c r="E317" s="423"/>
      <c r="F317" s="423"/>
      <c r="G317" s="423"/>
      <c r="H317" s="423"/>
      <c r="N317" s="534"/>
    </row>
    <row r="318" spans="1:14" x14ac:dyDescent="0.2">
      <c r="A318" s="420"/>
      <c r="B318" s="423"/>
      <c r="C318" s="425"/>
      <c r="D318" s="423"/>
      <c r="E318" s="423"/>
      <c r="F318" s="423"/>
      <c r="G318" s="423"/>
      <c r="H318" s="423"/>
      <c r="N318" s="534"/>
    </row>
    <row r="319" spans="1:14" x14ac:dyDescent="0.2">
      <c r="A319" s="420"/>
      <c r="B319" s="423"/>
      <c r="C319" s="425"/>
      <c r="D319" s="423"/>
      <c r="E319" s="423"/>
      <c r="F319" s="423"/>
      <c r="G319" s="423"/>
      <c r="H319" s="423"/>
      <c r="N319" s="534"/>
    </row>
    <row r="320" spans="1:14" x14ac:dyDescent="0.2">
      <c r="A320" s="420"/>
      <c r="B320" s="423"/>
      <c r="C320" s="425"/>
      <c r="D320" s="423"/>
      <c r="E320" s="423"/>
      <c r="F320" s="423"/>
      <c r="G320" s="423"/>
      <c r="H320" s="423"/>
      <c r="N320" s="534"/>
    </row>
    <row r="321" spans="1:14" x14ac:dyDescent="0.2">
      <c r="A321" s="420"/>
      <c r="B321" s="423"/>
      <c r="C321" s="425"/>
      <c r="D321" s="423"/>
      <c r="E321" s="423"/>
      <c r="F321" s="423"/>
      <c r="G321" s="423"/>
      <c r="H321" s="423"/>
      <c r="N321" s="534"/>
    </row>
    <row r="322" spans="1:14" x14ac:dyDescent="0.2">
      <c r="A322" s="420"/>
      <c r="B322" s="423"/>
      <c r="C322" s="425"/>
      <c r="D322" s="423"/>
      <c r="E322" s="423"/>
      <c r="F322" s="423"/>
      <c r="G322" s="423"/>
      <c r="H322" s="423"/>
      <c r="N322" s="534"/>
    </row>
    <row r="323" spans="1:14" x14ac:dyDescent="0.2">
      <c r="A323" s="420"/>
      <c r="B323" s="423"/>
      <c r="C323" s="425"/>
      <c r="D323" s="423"/>
      <c r="E323" s="423"/>
      <c r="F323" s="423"/>
      <c r="G323" s="423"/>
      <c r="H323" s="423"/>
      <c r="N323" s="534"/>
    </row>
    <row r="324" spans="1:14" x14ac:dyDescent="0.2">
      <c r="A324" s="420"/>
      <c r="B324" s="423"/>
      <c r="C324" s="425"/>
      <c r="D324" s="423"/>
      <c r="E324" s="423"/>
      <c r="F324" s="423"/>
      <c r="G324" s="423"/>
      <c r="H324" s="423"/>
      <c r="N324" s="534"/>
    </row>
    <row r="325" spans="1:14" x14ac:dyDescent="0.2">
      <c r="A325" s="420"/>
      <c r="B325" s="423"/>
      <c r="C325" s="425"/>
      <c r="D325" s="423"/>
      <c r="E325" s="423"/>
      <c r="F325" s="423"/>
      <c r="G325" s="423"/>
      <c r="H325" s="423"/>
      <c r="N325" s="534"/>
    </row>
    <row r="326" spans="1:14" x14ac:dyDescent="0.2">
      <c r="A326" s="420"/>
      <c r="B326" s="423"/>
      <c r="C326" s="425"/>
      <c r="D326" s="423"/>
      <c r="E326" s="423"/>
      <c r="F326" s="423"/>
      <c r="G326" s="423"/>
      <c r="H326" s="423"/>
      <c r="N326" s="534"/>
    </row>
    <row r="327" spans="1:14" x14ac:dyDescent="0.2">
      <c r="A327" s="420"/>
      <c r="B327" s="423"/>
      <c r="C327" s="425"/>
      <c r="D327" s="423"/>
      <c r="E327" s="423"/>
      <c r="F327" s="423"/>
      <c r="G327" s="423"/>
      <c r="H327" s="423"/>
      <c r="N327" s="534"/>
    </row>
    <row r="328" spans="1:14" ht="13.5" thickBot="1" x14ac:dyDescent="0.25">
      <c r="A328" s="420"/>
      <c r="B328" s="423"/>
      <c r="C328" s="425"/>
      <c r="D328" s="423"/>
      <c r="E328" s="423"/>
      <c r="F328" s="423"/>
      <c r="G328" s="423"/>
      <c r="H328" s="423"/>
      <c r="N328" s="534"/>
    </row>
    <row r="329" spans="1:14" x14ac:dyDescent="0.2">
      <c r="A329" s="538"/>
      <c r="B329" s="423"/>
      <c r="C329" s="425"/>
      <c r="D329" s="423"/>
      <c r="E329" s="423"/>
      <c r="F329" s="423"/>
      <c r="G329" s="423"/>
      <c r="H329" s="423"/>
      <c r="N329" s="534"/>
    </row>
    <row r="330" spans="1:14" x14ac:dyDescent="0.2">
      <c r="A330" s="541"/>
      <c r="B330" s="423"/>
      <c r="C330" s="425"/>
      <c r="D330" s="423"/>
      <c r="E330" s="423"/>
      <c r="F330" s="423"/>
      <c r="G330" s="423"/>
      <c r="H330" s="423"/>
      <c r="N330" s="534"/>
    </row>
    <row r="331" spans="1:14" x14ac:dyDescent="0.2">
      <c r="A331" s="541"/>
      <c r="B331" s="423"/>
      <c r="C331" s="425"/>
      <c r="D331" s="423"/>
      <c r="E331" s="423"/>
      <c r="F331" s="423"/>
      <c r="G331" s="423"/>
      <c r="H331" s="423"/>
      <c r="N331" s="534"/>
    </row>
    <row r="332" spans="1:14" x14ac:dyDescent="0.2">
      <c r="A332" s="541"/>
      <c r="B332" s="423"/>
      <c r="C332" s="425"/>
      <c r="D332" s="423"/>
      <c r="E332" s="423"/>
      <c r="F332" s="423"/>
      <c r="G332" s="423"/>
      <c r="H332" s="423"/>
      <c r="N332" s="534"/>
    </row>
    <row r="333" spans="1:14" x14ac:dyDescent="0.2">
      <c r="A333" s="541"/>
      <c r="B333" s="423"/>
      <c r="C333" s="425"/>
      <c r="D333" s="423"/>
      <c r="E333" s="423"/>
      <c r="F333" s="423"/>
      <c r="G333" s="423"/>
      <c r="H333" s="423"/>
      <c r="N333" s="534"/>
    </row>
    <row r="334" spans="1:14" x14ac:dyDescent="0.2">
      <c r="A334" s="541"/>
      <c r="B334" s="423"/>
      <c r="C334" s="425"/>
      <c r="D334" s="423"/>
      <c r="E334" s="423"/>
      <c r="F334" s="423"/>
      <c r="G334" s="423"/>
      <c r="H334" s="423"/>
      <c r="N334" s="534"/>
    </row>
    <row r="335" spans="1:14" x14ac:dyDescent="0.2">
      <c r="A335" s="541"/>
      <c r="B335" s="423"/>
      <c r="C335" s="425"/>
      <c r="D335" s="423"/>
      <c r="E335" s="423"/>
      <c r="F335" s="423"/>
      <c r="G335" s="423"/>
      <c r="H335" s="423"/>
      <c r="N335" s="534"/>
    </row>
    <row r="336" spans="1:14" x14ac:dyDescent="0.2">
      <c r="A336" s="541"/>
      <c r="B336" s="423"/>
      <c r="C336" s="425"/>
      <c r="D336" s="423"/>
      <c r="E336" s="423"/>
      <c r="F336" s="423"/>
      <c r="G336" s="423"/>
      <c r="H336" s="423"/>
      <c r="N336" s="534"/>
    </row>
    <row r="337" spans="1:14" ht="13.5" thickBot="1" x14ac:dyDescent="0.25">
      <c r="A337" s="543"/>
      <c r="B337" s="423"/>
      <c r="C337" s="425"/>
      <c r="D337" s="423"/>
      <c r="E337" s="423"/>
      <c r="F337" s="423"/>
      <c r="G337" s="423"/>
      <c r="H337" s="423"/>
      <c r="N337" s="534"/>
    </row>
    <row r="338" spans="1:14" x14ac:dyDescent="0.2">
      <c r="A338" s="538"/>
      <c r="B338" s="423"/>
      <c r="C338" s="425"/>
      <c r="D338" s="423"/>
      <c r="E338" s="423"/>
      <c r="F338" s="423"/>
      <c r="G338" s="423"/>
      <c r="H338" s="423"/>
      <c r="N338" s="534"/>
    </row>
    <row r="339" spans="1:14" x14ac:dyDescent="0.2">
      <c r="A339" s="541"/>
      <c r="B339" s="423"/>
      <c r="C339" s="425"/>
      <c r="D339" s="423"/>
      <c r="E339" s="423"/>
      <c r="F339" s="423"/>
      <c r="G339" s="423"/>
      <c r="H339" s="423"/>
      <c r="N339" s="534"/>
    </row>
    <row r="340" spans="1:14" x14ac:dyDescent="0.2">
      <c r="A340" s="541"/>
      <c r="B340" s="423"/>
      <c r="C340" s="425"/>
      <c r="D340" s="423"/>
      <c r="E340" s="423"/>
      <c r="F340" s="423"/>
      <c r="G340" s="423"/>
      <c r="H340" s="423"/>
      <c r="N340" s="534"/>
    </row>
    <row r="341" spans="1:14" x14ac:dyDescent="0.2">
      <c r="A341" s="541"/>
      <c r="B341" s="423"/>
      <c r="C341" s="425"/>
      <c r="D341" s="423"/>
      <c r="E341" s="423"/>
      <c r="F341" s="423"/>
      <c r="G341" s="423"/>
      <c r="H341" s="423"/>
      <c r="N341" s="534"/>
    </row>
    <row r="342" spans="1:14" x14ac:dyDescent="0.2">
      <c r="A342" s="541"/>
      <c r="B342" s="423"/>
      <c r="C342" s="425"/>
      <c r="D342" s="423"/>
      <c r="E342" s="423"/>
      <c r="F342" s="423"/>
      <c r="G342" s="423"/>
      <c r="H342" s="423"/>
      <c r="N342" s="534"/>
    </row>
    <row r="343" spans="1:14" x14ac:dyDescent="0.2">
      <c r="A343" s="541"/>
      <c r="B343" s="423"/>
      <c r="C343" s="425"/>
      <c r="D343" s="423"/>
      <c r="E343" s="423"/>
      <c r="F343" s="423"/>
      <c r="G343" s="423"/>
      <c r="H343" s="423"/>
      <c r="N343" s="534"/>
    </row>
    <row r="344" spans="1:14" x14ac:dyDescent="0.2">
      <c r="A344" s="541"/>
      <c r="B344" s="423"/>
      <c r="C344" s="425"/>
      <c r="D344" s="423"/>
      <c r="E344" s="423"/>
      <c r="F344" s="423"/>
      <c r="G344" s="423"/>
      <c r="H344" s="423"/>
      <c r="N344" s="534"/>
    </row>
    <row r="345" spans="1:14" x14ac:dyDescent="0.2">
      <c r="A345" s="541"/>
      <c r="B345" s="423"/>
      <c r="C345" s="425"/>
      <c r="D345" s="423"/>
      <c r="E345" s="423"/>
      <c r="F345" s="423"/>
      <c r="G345" s="423"/>
      <c r="H345" s="423"/>
      <c r="N345" s="534"/>
    </row>
    <row r="346" spans="1:14" ht="13.5" thickBot="1" x14ac:dyDescent="0.25">
      <c r="A346" s="543"/>
      <c r="B346" s="423"/>
      <c r="C346" s="425"/>
      <c r="D346" s="423"/>
      <c r="E346" s="423"/>
      <c r="F346" s="423"/>
      <c r="G346" s="423"/>
      <c r="H346" s="423"/>
      <c r="N346" s="534"/>
    </row>
    <row r="347" spans="1:14" x14ac:dyDescent="0.2">
      <c r="A347" s="420"/>
      <c r="B347" s="423"/>
      <c r="C347" s="425"/>
      <c r="D347" s="423"/>
      <c r="E347" s="423"/>
      <c r="F347" s="423"/>
      <c r="G347" s="423"/>
      <c r="H347" s="423"/>
      <c r="N347" s="534"/>
    </row>
    <row r="348" spans="1:14" x14ac:dyDescent="0.2">
      <c r="A348" s="420"/>
      <c r="B348" s="423"/>
      <c r="C348" s="425"/>
      <c r="D348" s="423"/>
      <c r="E348" s="423"/>
      <c r="F348" s="423"/>
      <c r="G348" s="423"/>
      <c r="H348" s="423"/>
      <c r="N348" s="534"/>
    </row>
    <row r="349" spans="1:14" x14ac:dyDescent="0.2">
      <c r="A349" s="420"/>
      <c r="B349" s="423"/>
      <c r="C349" s="425"/>
      <c r="D349" s="423"/>
      <c r="E349" s="423"/>
      <c r="F349" s="423"/>
      <c r="G349" s="423"/>
      <c r="H349" s="423"/>
      <c r="N349" s="534"/>
    </row>
    <row r="350" spans="1:14" x14ac:dyDescent="0.2">
      <c r="A350" s="420"/>
      <c r="B350" s="423"/>
      <c r="C350" s="425"/>
      <c r="D350" s="423"/>
      <c r="E350" s="423"/>
      <c r="F350" s="423"/>
      <c r="G350" s="423"/>
      <c r="H350" s="423"/>
      <c r="N350" s="534"/>
    </row>
    <row r="351" spans="1:14" x14ac:dyDescent="0.2">
      <c r="A351" s="420"/>
      <c r="B351" s="423"/>
      <c r="C351" s="425"/>
      <c r="D351" s="423"/>
      <c r="E351" s="423"/>
      <c r="F351" s="423"/>
      <c r="G351" s="423"/>
      <c r="H351" s="423"/>
      <c r="N351" s="534"/>
    </row>
    <row r="352" spans="1:14" x14ac:dyDescent="0.2">
      <c r="A352" s="420"/>
      <c r="B352" s="423"/>
      <c r="C352" s="425"/>
      <c r="D352" s="423"/>
      <c r="E352" s="423"/>
      <c r="F352" s="423"/>
      <c r="G352" s="423"/>
      <c r="H352" s="423"/>
      <c r="N352" s="534"/>
    </row>
    <row r="353" spans="1:14" x14ac:dyDescent="0.2">
      <c r="A353" s="420"/>
      <c r="B353" s="423"/>
      <c r="C353" s="425"/>
      <c r="D353" s="423"/>
      <c r="E353" s="423"/>
      <c r="F353" s="423"/>
      <c r="G353" s="423"/>
      <c r="H353" s="423"/>
      <c r="N353" s="534"/>
    </row>
    <row r="354" spans="1:14" x14ac:dyDescent="0.2">
      <c r="A354" s="420"/>
      <c r="B354" s="423"/>
      <c r="C354" s="425"/>
      <c r="D354" s="423"/>
      <c r="E354" s="423"/>
      <c r="F354" s="423"/>
      <c r="G354" s="423"/>
      <c r="H354" s="423"/>
      <c r="N354" s="534"/>
    </row>
    <row r="355" spans="1:14" x14ac:dyDescent="0.2">
      <c r="A355" s="420"/>
      <c r="B355" s="423"/>
      <c r="C355" s="425"/>
      <c r="D355" s="423"/>
      <c r="E355" s="423"/>
      <c r="F355" s="423"/>
      <c r="G355" s="423"/>
      <c r="H355" s="423"/>
      <c r="N355" s="534"/>
    </row>
    <row r="356" spans="1:14" x14ac:dyDescent="0.2">
      <c r="A356" s="420"/>
      <c r="B356" s="423"/>
      <c r="C356" s="425"/>
      <c r="D356" s="423"/>
      <c r="E356" s="423"/>
      <c r="F356" s="423"/>
      <c r="G356" s="423"/>
      <c r="H356" s="423"/>
      <c r="N356" s="534"/>
    </row>
    <row r="357" spans="1:14" x14ac:dyDescent="0.2">
      <c r="A357" s="420"/>
      <c r="B357" s="423"/>
      <c r="C357" s="425"/>
      <c r="D357" s="423"/>
      <c r="E357" s="423"/>
      <c r="F357" s="423"/>
      <c r="G357" s="423"/>
      <c r="H357" s="423"/>
      <c r="N357" s="534"/>
    </row>
    <row r="358" spans="1:14" x14ac:dyDescent="0.2">
      <c r="A358" s="420"/>
      <c r="B358" s="423"/>
      <c r="C358" s="425"/>
      <c r="D358" s="423"/>
      <c r="E358" s="423"/>
      <c r="F358" s="423"/>
      <c r="G358" s="423"/>
      <c r="H358" s="423"/>
      <c r="N358" s="534"/>
    </row>
    <row r="359" spans="1:14" x14ac:dyDescent="0.2">
      <c r="A359" s="420"/>
      <c r="B359" s="423"/>
      <c r="C359" s="425"/>
      <c r="D359" s="423"/>
      <c r="E359" s="423"/>
      <c r="F359" s="423"/>
      <c r="G359" s="423"/>
      <c r="H359" s="423"/>
      <c r="N359" s="534"/>
    </row>
    <row r="360" spans="1:14" x14ac:dyDescent="0.2">
      <c r="A360" s="420"/>
      <c r="B360" s="423"/>
      <c r="C360" s="425"/>
      <c r="D360" s="423"/>
      <c r="E360" s="423"/>
      <c r="F360" s="423"/>
      <c r="G360" s="423"/>
      <c r="H360" s="423"/>
      <c r="N360" s="534"/>
    </row>
    <row r="361" spans="1:14" x14ac:dyDescent="0.2">
      <c r="A361" s="420"/>
      <c r="B361" s="423"/>
      <c r="C361" s="425"/>
      <c r="D361" s="423"/>
      <c r="E361" s="423"/>
      <c r="F361" s="423"/>
      <c r="G361" s="423"/>
      <c r="H361" s="423"/>
      <c r="N361" s="534"/>
    </row>
    <row r="362" spans="1:14" x14ac:dyDescent="0.2">
      <c r="A362" s="420"/>
      <c r="B362" s="423"/>
      <c r="C362" s="425"/>
      <c r="D362" s="423"/>
      <c r="E362" s="423"/>
      <c r="F362" s="423"/>
      <c r="G362" s="423"/>
      <c r="H362" s="423"/>
      <c r="N362" s="534"/>
    </row>
    <row r="363" spans="1:14" x14ac:dyDescent="0.2">
      <c r="A363" s="420"/>
      <c r="B363" s="423"/>
      <c r="C363" s="425"/>
      <c r="D363" s="423"/>
      <c r="E363" s="423"/>
      <c r="F363" s="423"/>
      <c r="G363" s="423"/>
      <c r="H363" s="423"/>
      <c r="N363" s="534"/>
    </row>
    <row r="364" spans="1:14" x14ac:dyDescent="0.2">
      <c r="A364" s="420"/>
      <c r="B364" s="423"/>
      <c r="C364" s="425"/>
      <c r="D364" s="423"/>
      <c r="E364" s="423"/>
      <c r="F364" s="423"/>
      <c r="G364" s="423"/>
      <c r="H364" s="423"/>
      <c r="N364" s="534"/>
    </row>
    <row r="365" spans="1:14" ht="13.5" thickBot="1" x14ac:dyDescent="0.25">
      <c r="A365" s="420"/>
      <c r="B365" s="423"/>
      <c r="C365" s="425"/>
      <c r="D365" s="423"/>
      <c r="E365" s="423"/>
      <c r="F365" s="423"/>
      <c r="G365" s="423"/>
      <c r="H365" s="423"/>
      <c r="N365" s="534"/>
    </row>
    <row r="366" spans="1:14" x14ac:dyDescent="0.2">
      <c r="A366" s="538"/>
      <c r="B366" s="423"/>
      <c r="C366" s="425"/>
      <c r="D366" s="423"/>
      <c r="E366" s="423"/>
      <c r="F366" s="423"/>
      <c r="G366" s="423"/>
      <c r="H366" s="423"/>
      <c r="N366" s="534"/>
    </row>
    <row r="367" spans="1:14" x14ac:dyDescent="0.2">
      <c r="A367" s="541"/>
      <c r="B367" s="423"/>
      <c r="C367" s="425"/>
      <c r="D367" s="423"/>
      <c r="E367" s="423"/>
      <c r="F367" s="423"/>
      <c r="G367" s="423"/>
      <c r="H367" s="423"/>
      <c r="N367" s="534"/>
    </row>
    <row r="368" spans="1:14" x14ac:dyDescent="0.2">
      <c r="A368" s="541"/>
      <c r="B368" s="423"/>
      <c r="C368" s="425"/>
      <c r="D368" s="423"/>
      <c r="E368" s="423"/>
      <c r="F368" s="423"/>
      <c r="G368" s="423"/>
      <c r="H368" s="423"/>
      <c r="N368" s="534"/>
    </row>
    <row r="369" spans="1:14" x14ac:dyDescent="0.2">
      <c r="A369" s="541"/>
      <c r="B369" s="423"/>
      <c r="C369" s="425"/>
      <c r="D369" s="423"/>
      <c r="E369" s="423"/>
      <c r="F369" s="423"/>
      <c r="G369" s="423"/>
      <c r="H369" s="423"/>
      <c r="N369" s="534"/>
    </row>
    <row r="370" spans="1:14" x14ac:dyDescent="0.2">
      <c r="A370" s="541"/>
      <c r="B370" s="423"/>
      <c r="C370" s="425"/>
      <c r="D370" s="423"/>
      <c r="E370" s="423"/>
      <c r="F370" s="423"/>
      <c r="G370" s="423"/>
      <c r="H370" s="423"/>
      <c r="N370" s="534"/>
    </row>
    <row r="371" spans="1:14" x14ac:dyDescent="0.2">
      <c r="A371" s="541"/>
      <c r="B371" s="423"/>
      <c r="C371" s="425"/>
      <c r="D371" s="423"/>
      <c r="E371" s="423"/>
      <c r="F371" s="423"/>
      <c r="G371" s="423"/>
      <c r="H371" s="423"/>
      <c r="N371" s="534"/>
    </row>
    <row r="372" spans="1:14" x14ac:dyDescent="0.2">
      <c r="A372" s="541"/>
      <c r="B372" s="423"/>
      <c r="C372" s="425"/>
      <c r="D372" s="423"/>
      <c r="E372" s="423"/>
      <c r="F372" s="423"/>
      <c r="G372" s="423"/>
      <c r="H372" s="423"/>
      <c r="N372" s="534"/>
    </row>
    <row r="373" spans="1:14" x14ac:dyDescent="0.2">
      <c r="A373" s="541"/>
      <c r="B373" s="423"/>
      <c r="C373" s="425"/>
      <c r="D373" s="423"/>
      <c r="E373" s="423"/>
      <c r="F373" s="423"/>
      <c r="G373" s="423"/>
      <c r="H373" s="423"/>
      <c r="N373" s="534"/>
    </row>
    <row r="374" spans="1:14" ht="13.5" thickBot="1" x14ac:dyDescent="0.25">
      <c r="A374" s="543"/>
      <c r="B374" s="423"/>
      <c r="C374" s="425"/>
      <c r="D374" s="423"/>
      <c r="E374" s="423"/>
      <c r="F374" s="423"/>
      <c r="G374" s="423"/>
      <c r="H374" s="423"/>
      <c r="N374" s="534"/>
    </row>
    <row r="375" spans="1:14" x14ac:dyDescent="0.2">
      <c r="A375" s="420"/>
      <c r="B375" s="423"/>
      <c r="C375" s="425"/>
      <c r="D375" s="423"/>
      <c r="E375" s="423"/>
      <c r="F375" s="423"/>
      <c r="G375" s="423"/>
      <c r="H375" s="423"/>
      <c r="N375" s="534"/>
    </row>
    <row r="376" spans="1:14" x14ac:dyDescent="0.2">
      <c r="A376" s="420"/>
      <c r="B376" s="423"/>
      <c r="C376" s="425"/>
      <c r="D376" s="423"/>
      <c r="E376" s="423"/>
      <c r="F376" s="423"/>
      <c r="G376" s="423"/>
      <c r="H376" s="423"/>
      <c r="N376" s="534"/>
    </row>
    <row r="377" spans="1:14" x14ac:dyDescent="0.2">
      <c r="A377" s="420"/>
      <c r="B377" s="423"/>
      <c r="C377" s="425"/>
      <c r="D377" s="423"/>
      <c r="E377" s="423"/>
      <c r="F377" s="423"/>
      <c r="G377" s="423"/>
      <c r="H377" s="423"/>
      <c r="N377" s="534"/>
    </row>
    <row r="378" spans="1:14" x14ac:dyDescent="0.2">
      <c r="A378" s="420"/>
      <c r="B378" s="423"/>
      <c r="C378" s="425"/>
      <c r="D378" s="423"/>
      <c r="E378" s="423"/>
      <c r="F378" s="423"/>
      <c r="G378" s="423"/>
      <c r="H378" s="423"/>
      <c r="N378" s="534"/>
    </row>
    <row r="379" spans="1:14" x14ac:dyDescent="0.2">
      <c r="A379" s="420"/>
      <c r="B379" s="423"/>
      <c r="C379" s="425"/>
      <c r="D379" s="423"/>
      <c r="E379" s="423"/>
      <c r="F379" s="423"/>
      <c r="G379" s="423"/>
      <c r="H379" s="423"/>
      <c r="N379" s="534"/>
    </row>
    <row r="380" spans="1:14" x14ac:dyDescent="0.2">
      <c r="A380" s="420"/>
      <c r="B380" s="423"/>
      <c r="C380" s="425"/>
      <c r="D380" s="423"/>
      <c r="E380" s="423"/>
      <c r="F380" s="423"/>
      <c r="G380" s="423"/>
      <c r="H380" s="423"/>
      <c r="N380" s="534"/>
    </row>
    <row r="381" spans="1:14" x14ac:dyDescent="0.2">
      <c r="A381" s="420"/>
      <c r="B381" s="423"/>
      <c r="C381" s="425"/>
      <c r="D381" s="423"/>
      <c r="E381" s="423"/>
      <c r="F381" s="423"/>
      <c r="G381" s="423"/>
      <c r="H381" s="423"/>
      <c r="N381" s="534"/>
    </row>
    <row r="382" spans="1:14" x14ac:dyDescent="0.2">
      <c r="A382" s="420"/>
      <c r="B382" s="423"/>
      <c r="C382" s="425"/>
      <c r="D382" s="423"/>
      <c r="E382" s="423"/>
      <c r="F382" s="423"/>
      <c r="G382" s="423"/>
      <c r="H382" s="423"/>
      <c r="N382" s="534"/>
    </row>
    <row r="383" spans="1:14" ht="13.5" thickBot="1" x14ac:dyDescent="0.25">
      <c r="A383" s="420"/>
      <c r="B383" s="423"/>
      <c r="C383" s="425"/>
      <c r="D383" s="423"/>
      <c r="E383" s="423"/>
      <c r="F383" s="423"/>
      <c r="G383" s="423"/>
      <c r="H383" s="423"/>
      <c r="N383" s="534"/>
    </row>
    <row r="384" spans="1:14" x14ac:dyDescent="0.2">
      <c r="A384" s="538"/>
      <c r="B384" s="539"/>
      <c r="C384" s="976"/>
      <c r="D384" s="539"/>
      <c r="E384" s="539"/>
      <c r="F384" s="539"/>
      <c r="G384" s="539"/>
      <c r="H384" s="539"/>
      <c r="I384" s="539"/>
      <c r="J384" s="539"/>
      <c r="K384" s="539"/>
      <c r="L384" s="539"/>
      <c r="M384" s="539"/>
      <c r="N384" s="540"/>
    </row>
    <row r="385" spans="1:14" x14ac:dyDescent="0.2">
      <c r="A385" s="541"/>
      <c r="B385" s="423"/>
      <c r="C385" s="425"/>
      <c r="D385" s="423"/>
      <c r="E385" s="423"/>
      <c r="F385" s="423"/>
      <c r="G385" s="423"/>
      <c r="H385" s="423"/>
      <c r="N385" s="542"/>
    </row>
    <row r="386" spans="1:14" x14ac:dyDescent="0.2">
      <c r="A386" s="541"/>
      <c r="B386" s="423"/>
      <c r="C386" s="425"/>
      <c r="D386" s="423"/>
      <c r="E386" s="423"/>
      <c r="F386" s="423"/>
      <c r="G386" s="423"/>
      <c r="H386" s="423"/>
      <c r="N386" s="542"/>
    </row>
    <row r="387" spans="1:14" x14ac:dyDescent="0.2">
      <c r="A387" s="541"/>
      <c r="B387" s="423"/>
      <c r="C387" s="425"/>
      <c r="D387" s="423"/>
      <c r="E387" s="423"/>
      <c r="F387" s="423"/>
      <c r="G387" s="423"/>
      <c r="H387" s="423"/>
      <c r="N387" s="542"/>
    </row>
    <row r="388" spans="1:14" x14ac:dyDescent="0.2">
      <c r="A388" s="541"/>
      <c r="B388" s="423"/>
      <c r="C388" s="425"/>
      <c r="D388" s="423"/>
      <c r="E388" s="423"/>
      <c r="F388" s="423"/>
      <c r="G388" s="423"/>
      <c r="H388" s="423"/>
      <c r="N388" s="542"/>
    </row>
    <row r="389" spans="1:14" x14ac:dyDescent="0.2">
      <c r="A389" s="541"/>
      <c r="B389" s="423"/>
      <c r="C389" s="425"/>
      <c r="D389" s="423"/>
      <c r="E389" s="423"/>
      <c r="F389" s="423"/>
      <c r="G389" s="423"/>
      <c r="H389" s="423"/>
      <c r="N389" s="542"/>
    </row>
    <row r="390" spans="1:14" x14ac:dyDescent="0.2">
      <c r="A390" s="541"/>
      <c r="B390" s="423"/>
      <c r="C390" s="425"/>
      <c r="D390" s="423"/>
      <c r="E390" s="423"/>
      <c r="F390" s="423"/>
      <c r="G390" s="423"/>
      <c r="H390" s="423"/>
      <c r="N390" s="542"/>
    </row>
    <row r="391" spans="1:14" x14ac:dyDescent="0.2">
      <c r="A391" s="541"/>
      <c r="B391" s="423"/>
      <c r="C391" s="425"/>
      <c r="D391" s="423"/>
      <c r="E391" s="423"/>
      <c r="F391" s="423"/>
      <c r="G391" s="423"/>
      <c r="H391" s="423"/>
      <c r="N391" s="542"/>
    </row>
    <row r="392" spans="1:14" ht="13.5" thickBot="1" x14ac:dyDescent="0.25">
      <c r="A392" s="543"/>
      <c r="B392" s="544"/>
      <c r="C392" s="545"/>
      <c r="D392" s="544"/>
      <c r="E392" s="544"/>
      <c r="F392" s="544"/>
      <c r="G392" s="544"/>
      <c r="H392" s="544"/>
      <c r="I392" s="544"/>
      <c r="J392" s="544"/>
      <c r="K392" s="544"/>
      <c r="L392" s="544"/>
      <c r="M392" s="544"/>
      <c r="N392" s="546"/>
    </row>
    <row r="393" spans="1:14" x14ac:dyDescent="0.2">
      <c r="A393" s="420"/>
      <c r="B393" s="423"/>
      <c r="C393" s="425"/>
      <c r="D393" s="423"/>
      <c r="E393" s="423"/>
      <c r="F393" s="423"/>
      <c r="G393" s="423"/>
      <c r="H393" s="423"/>
      <c r="N393" s="534"/>
    </row>
    <row r="394" spans="1:14" x14ac:dyDescent="0.2">
      <c r="A394" s="420"/>
      <c r="B394" s="423"/>
      <c r="C394" s="425"/>
      <c r="D394" s="423"/>
      <c r="E394" s="423"/>
      <c r="F394" s="423"/>
      <c r="G394" s="423"/>
      <c r="H394" s="423"/>
      <c r="N394" s="534"/>
    </row>
    <row r="395" spans="1:14" x14ac:dyDescent="0.2">
      <c r="A395" s="420"/>
      <c r="B395" s="423"/>
      <c r="C395" s="425"/>
      <c r="D395" s="423"/>
      <c r="E395" s="423"/>
      <c r="F395" s="423"/>
      <c r="G395" s="423"/>
      <c r="H395" s="423"/>
      <c r="N395" s="534"/>
    </row>
    <row r="396" spans="1:14" x14ac:dyDescent="0.2">
      <c r="A396" s="420"/>
      <c r="B396" s="423"/>
      <c r="C396" s="425"/>
      <c r="D396" s="423"/>
      <c r="E396" s="423"/>
      <c r="F396" s="423"/>
      <c r="G396" s="423"/>
      <c r="H396" s="423"/>
      <c r="N396" s="534"/>
    </row>
    <row r="397" spans="1:14" x14ac:dyDescent="0.2">
      <c r="A397" s="420"/>
      <c r="B397" s="423"/>
      <c r="C397" s="425"/>
      <c r="D397" s="423"/>
      <c r="E397" s="423"/>
      <c r="F397" s="423"/>
      <c r="G397" s="423"/>
      <c r="H397" s="423"/>
      <c r="N397" s="534"/>
    </row>
    <row r="398" spans="1:14" x14ac:dyDescent="0.2">
      <c r="A398" s="420"/>
      <c r="B398" s="423"/>
      <c r="C398" s="425"/>
      <c r="D398" s="423"/>
      <c r="E398" s="423"/>
      <c r="F398" s="423"/>
      <c r="G398" s="423"/>
      <c r="H398" s="423"/>
      <c r="N398" s="534"/>
    </row>
    <row r="399" spans="1:14" x14ac:dyDescent="0.2">
      <c r="A399" s="420"/>
      <c r="B399" s="423"/>
      <c r="C399" s="425"/>
      <c r="D399" s="423"/>
      <c r="E399" s="423"/>
      <c r="F399" s="423"/>
      <c r="G399" s="423"/>
      <c r="H399" s="423"/>
      <c r="N399" s="534"/>
    </row>
    <row r="400" spans="1:14" x14ac:dyDescent="0.2">
      <c r="A400" s="420"/>
      <c r="B400" s="423"/>
      <c r="C400" s="425"/>
      <c r="D400" s="423"/>
      <c r="E400" s="423"/>
      <c r="F400" s="423"/>
      <c r="G400" s="423"/>
      <c r="H400" s="423"/>
      <c r="N400" s="534"/>
    </row>
    <row r="401" spans="1:14" x14ac:dyDescent="0.2">
      <c r="A401" s="420"/>
      <c r="B401" s="423"/>
      <c r="C401" s="425"/>
      <c r="D401" s="423"/>
      <c r="E401" s="423"/>
      <c r="F401" s="423"/>
      <c r="G401" s="423"/>
      <c r="H401" s="423"/>
      <c r="N401" s="534"/>
    </row>
    <row r="402" spans="1:14" x14ac:dyDescent="0.2">
      <c r="A402" s="420"/>
      <c r="B402" s="423"/>
      <c r="C402" s="425"/>
      <c r="D402" s="423"/>
      <c r="E402" s="423"/>
      <c r="F402" s="423"/>
      <c r="G402" s="423"/>
      <c r="H402" s="423"/>
      <c r="N402" s="534"/>
    </row>
    <row r="403" spans="1:14" x14ac:dyDescent="0.2">
      <c r="A403" s="420"/>
      <c r="B403" s="423"/>
      <c r="C403" s="425"/>
      <c r="D403" s="423"/>
      <c r="E403" s="423"/>
      <c r="F403" s="423"/>
      <c r="G403" s="423"/>
      <c r="H403" s="423"/>
      <c r="N403" s="534"/>
    </row>
    <row r="404" spans="1:14" x14ac:dyDescent="0.2">
      <c r="A404" s="420"/>
      <c r="B404" s="423"/>
      <c r="C404" s="425"/>
      <c r="D404" s="423"/>
      <c r="E404" s="423"/>
      <c r="F404" s="423"/>
      <c r="G404" s="423"/>
      <c r="H404" s="423"/>
      <c r="N404" s="534"/>
    </row>
    <row r="405" spans="1:14" x14ac:dyDescent="0.2">
      <c r="A405" s="420"/>
      <c r="B405" s="423"/>
      <c r="C405" s="425"/>
      <c r="D405" s="423"/>
      <c r="E405" s="423"/>
      <c r="F405" s="423"/>
      <c r="G405" s="423"/>
      <c r="H405" s="423"/>
      <c r="N405" s="534"/>
    </row>
    <row r="406" spans="1:14" x14ac:dyDescent="0.2">
      <c r="A406" s="420"/>
      <c r="B406" s="423"/>
      <c r="C406" s="425"/>
      <c r="D406" s="423"/>
      <c r="E406" s="423"/>
      <c r="F406" s="423"/>
      <c r="G406" s="423"/>
      <c r="H406" s="423"/>
      <c r="N406" s="534"/>
    </row>
    <row r="407" spans="1:14" x14ac:dyDescent="0.2">
      <c r="A407" s="420"/>
      <c r="B407" s="423"/>
      <c r="C407" s="425"/>
      <c r="D407" s="423"/>
      <c r="E407" s="423"/>
      <c r="F407" s="423"/>
      <c r="G407" s="423"/>
      <c r="H407" s="423"/>
      <c r="N407" s="534"/>
    </row>
    <row r="408" spans="1:14" x14ac:dyDescent="0.2">
      <c r="A408" s="420"/>
      <c r="B408" s="423"/>
      <c r="C408" s="425"/>
      <c r="D408" s="423"/>
      <c r="E408" s="423"/>
      <c r="F408" s="423"/>
      <c r="G408" s="423"/>
      <c r="H408" s="423"/>
      <c r="N408" s="534"/>
    </row>
    <row r="409" spans="1:14" x14ac:dyDescent="0.2">
      <c r="A409" s="420"/>
      <c r="B409" s="423"/>
      <c r="C409" s="425"/>
      <c r="D409" s="423"/>
      <c r="E409" s="423"/>
      <c r="F409" s="423"/>
      <c r="G409" s="423"/>
      <c r="H409" s="423"/>
      <c r="N409" s="534"/>
    </row>
    <row r="410" spans="1:14" x14ac:dyDescent="0.2">
      <c r="A410" s="420"/>
      <c r="B410" s="423"/>
      <c r="C410" s="425"/>
      <c r="D410" s="423"/>
      <c r="E410" s="423"/>
      <c r="F410" s="423"/>
      <c r="G410" s="423"/>
      <c r="H410" s="423"/>
      <c r="N410" s="534"/>
    </row>
    <row r="411" spans="1:14" x14ac:dyDescent="0.2">
      <c r="A411" s="420"/>
      <c r="B411" s="423"/>
      <c r="C411" s="425"/>
      <c r="D411" s="423"/>
      <c r="E411" s="423"/>
      <c r="F411" s="423"/>
      <c r="G411" s="423"/>
      <c r="H411" s="423"/>
      <c r="N411" s="534"/>
    </row>
    <row r="412" spans="1:14" x14ac:dyDescent="0.2">
      <c r="A412" s="420"/>
      <c r="B412" s="423"/>
      <c r="C412" s="425"/>
      <c r="D412" s="423"/>
      <c r="E412" s="423"/>
      <c r="F412" s="423"/>
      <c r="G412" s="423"/>
      <c r="H412" s="423"/>
      <c r="N412" s="534"/>
    </row>
    <row r="413" spans="1:14" x14ac:dyDescent="0.2">
      <c r="A413" s="420"/>
      <c r="B413" s="423"/>
      <c r="C413" s="425"/>
      <c r="D413" s="423"/>
      <c r="E413" s="423"/>
      <c r="F413" s="423"/>
      <c r="G413" s="423"/>
      <c r="H413" s="423"/>
      <c r="N413" s="534"/>
    </row>
    <row r="414" spans="1:14" x14ac:dyDescent="0.2">
      <c r="A414" s="420"/>
      <c r="B414" s="423"/>
      <c r="C414" s="425"/>
      <c r="D414" s="423"/>
      <c r="E414" s="423"/>
      <c r="F414" s="423"/>
      <c r="G414" s="423"/>
      <c r="H414" s="423"/>
      <c r="N414" s="534"/>
    </row>
    <row r="415" spans="1:14" x14ac:dyDescent="0.2">
      <c r="A415" s="420"/>
      <c r="B415" s="423"/>
      <c r="C415" s="425"/>
      <c r="D415" s="423"/>
      <c r="E415" s="423"/>
      <c r="F415" s="423"/>
      <c r="G415" s="423"/>
      <c r="H415" s="423"/>
      <c r="N415" s="534"/>
    </row>
    <row r="416" spans="1:14" x14ac:dyDescent="0.2">
      <c r="A416" s="420"/>
      <c r="B416" s="423"/>
      <c r="C416" s="425"/>
      <c r="D416" s="423"/>
      <c r="E416" s="423"/>
      <c r="F416" s="423"/>
      <c r="G416" s="423"/>
      <c r="H416" s="423"/>
      <c r="N416" s="534"/>
    </row>
    <row r="417" spans="1:14" x14ac:dyDescent="0.2">
      <c r="A417" s="420"/>
      <c r="B417" s="423"/>
      <c r="C417" s="425"/>
      <c r="D417" s="423"/>
      <c r="E417" s="423"/>
      <c r="F417" s="423"/>
      <c r="G417" s="423"/>
      <c r="H417" s="423"/>
      <c r="N417" s="534"/>
    </row>
    <row r="418" spans="1:14" x14ac:dyDescent="0.2">
      <c r="A418" s="420"/>
      <c r="B418" s="423"/>
      <c r="C418" s="425"/>
      <c r="D418" s="423"/>
      <c r="E418" s="423"/>
      <c r="F418" s="423"/>
      <c r="G418" s="423"/>
      <c r="H418" s="423"/>
      <c r="N418" s="534"/>
    </row>
    <row r="419" spans="1:14" ht="13.5" thickBot="1" x14ac:dyDescent="0.25">
      <c r="A419" s="420"/>
      <c r="B419" s="423"/>
      <c r="C419" s="425"/>
      <c r="D419" s="423"/>
      <c r="E419" s="423"/>
      <c r="F419" s="423"/>
      <c r="G419" s="423"/>
      <c r="H419" s="423"/>
      <c r="N419" s="534"/>
    </row>
    <row r="420" spans="1:14" x14ac:dyDescent="0.2">
      <c r="A420" s="538"/>
      <c r="B420" s="539"/>
      <c r="C420" s="976"/>
      <c r="D420" s="539"/>
      <c r="E420" s="539"/>
      <c r="F420" s="539"/>
      <c r="G420" s="539"/>
      <c r="H420" s="539"/>
      <c r="I420" s="539"/>
      <c r="J420" s="539"/>
      <c r="K420" s="539"/>
      <c r="L420" s="539"/>
      <c r="M420" s="539"/>
      <c r="N420" s="540"/>
    </row>
    <row r="421" spans="1:14" x14ac:dyDescent="0.2">
      <c r="A421" s="541"/>
      <c r="B421" s="423"/>
      <c r="C421" s="425"/>
      <c r="D421" s="423"/>
      <c r="E421" s="423"/>
      <c r="F421" s="423"/>
      <c r="G421" s="423"/>
      <c r="H421" s="423"/>
      <c r="N421" s="542"/>
    </row>
    <row r="422" spans="1:14" x14ac:dyDescent="0.2">
      <c r="A422" s="541"/>
      <c r="B422" s="423"/>
      <c r="C422" s="425"/>
      <c r="D422" s="423"/>
      <c r="E422" s="423"/>
      <c r="F422" s="423"/>
      <c r="G422" s="423"/>
      <c r="H422" s="423"/>
      <c r="N422" s="542"/>
    </row>
    <row r="423" spans="1:14" x14ac:dyDescent="0.2">
      <c r="A423" s="541"/>
      <c r="B423" s="423"/>
      <c r="C423" s="425"/>
      <c r="D423" s="423"/>
      <c r="E423" s="423"/>
      <c r="F423" s="423"/>
      <c r="G423" s="423"/>
      <c r="H423" s="423"/>
      <c r="N423" s="542"/>
    </row>
    <row r="424" spans="1:14" x14ac:dyDescent="0.2">
      <c r="A424" s="541"/>
      <c r="B424" s="423"/>
      <c r="C424" s="425"/>
      <c r="D424" s="423"/>
      <c r="E424" s="423"/>
      <c r="F424" s="423"/>
      <c r="G424" s="423"/>
      <c r="H424" s="423"/>
      <c r="N424" s="542"/>
    </row>
    <row r="425" spans="1:14" x14ac:dyDescent="0.2">
      <c r="A425" s="541"/>
      <c r="B425" s="423"/>
      <c r="C425" s="425"/>
      <c r="D425" s="423"/>
      <c r="E425" s="423"/>
      <c r="F425" s="423"/>
      <c r="G425" s="423"/>
      <c r="H425" s="423"/>
      <c r="N425" s="542"/>
    </row>
    <row r="426" spans="1:14" x14ac:dyDescent="0.2">
      <c r="A426" s="541"/>
      <c r="B426" s="423"/>
      <c r="C426" s="425"/>
      <c r="D426" s="423"/>
      <c r="E426" s="423"/>
      <c r="F426" s="423"/>
      <c r="G426" s="423"/>
      <c r="H426" s="423"/>
      <c r="N426" s="542"/>
    </row>
    <row r="427" spans="1:14" x14ac:dyDescent="0.2">
      <c r="A427" s="541"/>
      <c r="B427" s="423"/>
      <c r="C427" s="425"/>
      <c r="D427" s="423"/>
      <c r="E427" s="423"/>
      <c r="F427" s="423"/>
      <c r="G427" s="423"/>
      <c r="H427" s="423"/>
      <c r="N427" s="542"/>
    </row>
    <row r="428" spans="1:14" x14ac:dyDescent="0.2">
      <c r="A428" s="541"/>
      <c r="B428" s="423"/>
      <c r="C428" s="425"/>
      <c r="D428" s="423"/>
      <c r="E428" s="423"/>
      <c r="F428" s="423"/>
      <c r="G428" s="423"/>
      <c r="H428" s="423"/>
      <c r="N428" s="542"/>
    </row>
    <row r="429" spans="1:14" x14ac:dyDescent="0.2">
      <c r="A429" s="541"/>
      <c r="B429" s="423"/>
      <c r="C429" s="425"/>
      <c r="D429" s="423"/>
      <c r="E429" s="423"/>
      <c r="F429" s="423"/>
      <c r="G429" s="423"/>
      <c r="H429" s="423"/>
      <c r="N429" s="542"/>
    </row>
    <row r="430" spans="1:14" x14ac:dyDescent="0.2">
      <c r="A430" s="541"/>
      <c r="B430" s="423"/>
      <c r="C430" s="425"/>
      <c r="D430" s="423"/>
      <c r="E430" s="423"/>
      <c r="F430" s="423"/>
      <c r="G430" s="423"/>
      <c r="H430" s="423"/>
      <c r="N430" s="542"/>
    </row>
    <row r="431" spans="1:14" x14ac:dyDescent="0.2">
      <c r="A431" s="541"/>
      <c r="B431" s="423"/>
      <c r="C431" s="425"/>
      <c r="D431" s="423"/>
      <c r="E431" s="423"/>
      <c r="F431" s="423"/>
      <c r="G431" s="423"/>
      <c r="H431" s="423"/>
      <c r="N431" s="542"/>
    </row>
    <row r="432" spans="1:14" x14ac:dyDescent="0.2">
      <c r="A432" s="541"/>
      <c r="B432" s="423"/>
      <c r="C432" s="425"/>
      <c r="D432" s="423"/>
      <c r="E432" s="423"/>
      <c r="F432" s="423"/>
      <c r="G432" s="423"/>
      <c r="H432" s="423"/>
      <c r="N432" s="542"/>
    </row>
    <row r="433" spans="1:14" ht="13.5" thickBot="1" x14ac:dyDescent="0.25">
      <c r="A433" s="543"/>
      <c r="B433" s="544"/>
      <c r="C433" s="545"/>
      <c r="D433" s="544"/>
      <c r="E433" s="544"/>
      <c r="F433" s="544"/>
      <c r="G433" s="544"/>
      <c r="H433" s="544"/>
      <c r="I433" s="544"/>
      <c r="J433" s="544"/>
      <c r="K433" s="544"/>
      <c r="L433" s="544"/>
      <c r="M433" s="544"/>
      <c r="N433" s="546"/>
    </row>
    <row r="434" spans="1:14" x14ac:dyDescent="0.2">
      <c r="A434" s="538"/>
      <c r="B434" s="539"/>
      <c r="C434" s="976"/>
      <c r="D434" s="539"/>
      <c r="E434" s="539"/>
      <c r="F434" s="539"/>
      <c r="G434" s="539"/>
      <c r="H434" s="539"/>
      <c r="I434" s="539"/>
      <c r="J434" s="539"/>
      <c r="K434" s="539"/>
      <c r="L434" s="539"/>
      <c r="M434" s="539"/>
      <c r="N434" s="540"/>
    </row>
    <row r="435" spans="1:14" x14ac:dyDescent="0.2">
      <c r="A435" s="541"/>
      <c r="B435" s="423"/>
      <c r="C435" s="425"/>
      <c r="D435" s="423"/>
      <c r="E435" s="423"/>
      <c r="F435" s="423"/>
      <c r="G435" s="423"/>
      <c r="H435" s="423"/>
      <c r="N435" s="542"/>
    </row>
    <row r="436" spans="1:14" x14ac:dyDescent="0.2">
      <c r="A436" s="541"/>
      <c r="B436" s="423"/>
      <c r="C436" s="425"/>
      <c r="D436" s="423"/>
      <c r="E436" s="423"/>
      <c r="F436" s="423"/>
      <c r="G436" s="423"/>
      <c r="H436" s="423"/>
      <c r="N436" s="542"/>
    </row>
    <row r="437" spans="1:14" x14ac:dyDescent="0.2">
      <c r="A437" s="541"/>
      <c r="B437" s="423"/>
      <c r="C437" s="425"/>
      <c r="D437" s="423"/>
      <c r="E437" s="423"/>
      <c r="F437" s="423"/>
      <c r="G437" s="423"/>
      <c r="H437" s="423"/>
      <c r="N437" s="542"/>
    </row>
    <row r="438" spans="1:14" x14ac:dyDescent="0.2">
      <c r="A438" s="541"/>
      <c r="B438" s="423"/>
      <c r="C438" s="425"/>
      <c r="D438" s="423"/>
      <c r="E438" s="423"/>
      <c r="F438" s="423"/>
      <c r="G438" s="423"/>
      <c r="H438" s="423"/>
      <c r="N438" s="542"/>
    </row>
    <row r="439" spans="1:14" x14ac:dyDescent="0.2">
      <c r="A439" s="541"/>
      <c r="B439" s="423"/>
      <c r="C439" s="425"/>
      <c r="D439" s="423"/>
      <c r="E439" s="423"/>
      <c r="F439" s="423"/>
      <c r="G439" s="423"/>
      <c r="H439" s="423"/>
      <c r="N439" s="542"/>
    </row>
    <row r="440" spans="1:14" x14ac:dyDescent="0.2">
      <c r="A440" s="541"/>
      <c r="B440" s="423"/>
      <c r="C440" s="425"/>
      <c r="D440" s="423"/>
      <c r="E440" s="423"/>
      <c r="F440" s="423"/>
      <c r="G440" s="423"/>
      <c r="H440" s="423"/>
      <c r="N440" s="542"/>
    </row>
    <row r="441" spans="1:14" x14ac:dyDescent="0.2">
      <c r="A441" s="541"/>
      <c r="B441" s="423"/>
      <c r="C441" s="425"/>
      <c r="D441" s="423"/>
      <c r="E441" s="423"/>
      <c r="F441" s="423"/>
      <c r="G441" s="423"/>
      <c r="H441" s="423"/>
      <c r="N441" s="542"/>
    </row>
    <row r="442" spans="1:14" x14ac:dyDescent="0.2">
      <c r="A442" s="541"/>
      <c r="B442" s="423"/>
      <c r="C442" s="425"/>
      <c r="D442" s="423"/>
      <c r="E442" s="423"/>
      <c r="F442" s="423"/>
      <c r="G442" s="423"/>
      <c r="H442" s="423"/>
      <c r="N442" s="542"/>
    </row>
    <row r="443" spans="1:14" x14ac:dyDescent="0.2">
      <c r="A443" s="541"/>
      <c r="B443" s="423"/>
      <c r="C443" s="425"/>
      <c r="D443" s="423"/>
      <c r="E443" s="423"/>
      <c r="F443" s="423"/>
      <c r="G443" s="423"/>
      <c r="H443" s="423"/>
      <c r="N443" s="542"/>
    </row>
    <row r="444" spans="1:14" x14ac:dyDescent="0.2">
      <c r="A444" s="541"/>
      <c r="B444" s="423"/>
      <c r="C444" s="425"/>
      <c r="D444" s="423"/>
      <c r="E444" s="423"/>
      <c r="F444" s="423"/>
      <c r="G444" s="423"/>
      <c r="H444" s="423"/>
      <c r="N444" s="542"/>
    </row>
    <row r="445" spans="1:14" x14ac:dyDescent="0.2">
      <c r="A445" s="541"/>
      <c r="B445" s="423"/>
      <c r="C445" s="425"/>
      <c r="D445" s="423"/>
      <c r="E445" s="423"/>
      <c r="F445" s="423"/>
      <c r="G445" s="423"/>
      <c r="H445" s="423"/>
      <c r="N445" s="542"/>
    </row>
    <row r="446" spans="1:14" x14ac:dyDescent="0.2">
      <c r="A446" s="541"/>
      <c r="B446" s="423"/>
      <c r="C446" s="425"/>
      <c r="D446" s="423"/>
      <c r="E446" s="423"/>
      <c r="F446" s="423"/>
      <c r="G446" s="423"/>
      <c r="H446" s="423"/>
      <c r="N446" s="542"/>
    </row>
    <row r="447" spans="1:14" ht="13.5" thickBot="1" x14ac:dyDescent="0.25">
      <c r="A447" s="543"/>
      <c r="B447" s="544"/>
      <c r="C447" s="545"/>
      <c r="D447" s="544"/>
      <c r="E447" s="544"/>
      <c r="F447" s="544"/>
      <c r="G447" s="544"/>
      <c r="H447" s="544"/>
      <c r="I447" s="544"/>
      <c r="J447" s="544"/>
      <c r="K447" s="544"/>
      <c r="L447" s="544"/>
      <c r="M447" s="544"/>
      <c r="N447" s="546"/>
    </row>
    <row r="448" spans="1:14" x14ac:dyDescent="0.2">
      <c r="A448" s="420"/>
      <c r="B448" s="423"/>
      <c r="C448" s="425"/>
      <c r="D448" s="423"/>
      <c r="E448" s="423"/>
      <c r="F448" s="423"/>
      <c r="G448" s="423"/>
      <c r="H448" s="423"/>
      <c r="N448" s="534"/>
    </row>
    <row r="449" spans="1:14" x14ac:dyDescent="0.2">
      <c r="A449" s="420"/>
      <c r="B449" s="423"/>
      <c r="C449" s="425"/>
      <c r="D449" s="423"/>
      <c r="E449" s="423"/>
      <c r="F449" s="423"/>
      <c r="G449" s="423"/>
      <c r="H449" s="423"/>
      <c r="N449" s="534"/>
    </row>
    <row r="450" spans="1:14" x14ac:dyDescent="0.2">
      <c r="A450" s="420"/>
      <c r="B450" s="423"/>
      <c r="C450" s="425"/>
      <c r="D450" s="423"/>
      <c r="E450" s="423"/>
      <c r="F450" s="423"/>
      <c r="G450" s="423"/>
      <c r="H450" s="423"/>
      <c r="N450" s="534"/>
    </row>
    <row r="451" spans="1:14" x14ac:dyDescent="0.2">
      <c r="A451" s="420"/>
      <c r="B451" s="423"/>
      <c r="C451" s="425"/>
      <c r="D451" s="423"/>
      <c r="E451" s="423"/>
      <c r="F451" s="423"/>
      <c r="G451" s="423"/>
      <c r="H451" s="423"/>
      <c r="N451" s="534"/>
    </row>
    <row r="452" spans="1:14" x14ac:dyDescent="0.2">
      <c r="A452" s="420"/>
      <c r="B452" s="423"/>
      <c r="C452" s="425"/>
      <c r="D452" s="423"/>
      <c r="E452" s="423"/>
      <c r="F452" s="423"/>
      <c r="G452" s="423"/>
      <c r="H452" s="423"/>
      <c r="N452" s="534"/>
    </row>
    <row r="453" spans="1:14" x14ac:dyDescent="0.2">
      <c r="A453" s="420"/>
      <c r="B453" s="423"/>
      <c r="C453" s="425"/>
      <c r="D453" s="423"/>
      <c r="E453" s="423"/>
      <c r="F453" s="423"/>
      <c r="G453" s="423"/>
      <c r="H453" s="423"/>
      <c r="N453" s="534"/>
    </row>
    <row r="454" spans="1:14" x14ac:dyDescent="0.2">
      <c r="A454" s="420"/>
      <c r="B454" s="423"/>
      <c r="C454" s="425"/>
      <c r="D454" s="423"/>
      <c r="E454" s="423"/>
      <c r="F454" s="423"/>
      <c r="G454" s="423"/>
      <c r="H454" s="423"/>
      <c r="N454" s="534"/>
    </row>
    <row r="455" spans="1:14" x14ac:dyDescent="0.2">
      <c r="A455" s="420"/>
      <c r="B455" s="423"/>
      <c r="C455" s="425"/>
      <c r="D455" s="423"/>
      <c r="E455" s="423"/>
      <c r="F455" s="423"/>
      <c r="G455" s="423"/>
      <c r="H455" s="423"/>
      <c r="N455" s="534"/>
    </row>
    <row r="456" spans="1:14" ht="13.5" thickBot="1" x14ac:dyDescent="0.25">
      <c r="A456" s="420"/>
      <c r="B456" s="423"/>
      <c r="C456" s="425"/>
      <c r="D456" s="423"/>
      <c r="E456" s="423"/>
      <c r="F456" s="423"/>
      <c r="G456" s="423"/>
      <c r="H456" s="423"/>
      <c r="N456" s="534"/>
    </row>
    <row r="457" spans="1:14" x14ac:dyDescent="0.2">
      <c r="A457" s="538"/>
      <c r="B457" s="539"/>
      <c r="C457" s="976"/>
      <c r="D457" s="539"/>
      <c r="E457" s="539"/>
      <c r="F457" s="539"/>
      <c r="G457" s="539"/>
      <c r="H457" s="539"/>
      <c r="I457" s="539"/>
      <c r="J457" s="539"/>
      <c r="K457" s="539"/>
      <c r="L457" s="539"/>
      <c r="M457" s="539"/>
      <c r="N457" s="540"/>
    </row>
    <row r="458" spans="1:14" x14ac:dyDescent="0.2">
      <c r="A458" s="541"/>
      <c r="B458" s="423"/>
      <c r="C458" s="425"/>
      <c r="D458" s="423"/>
      <c r="E458" s="423"/>
      <c r="F458" s="423"/>
      <c r="G458" s="423"/>
      <c r="H458" s="423"/>
      <c r="N458" s="542"/>
    </row>
    <row r="459" spans="1:14" x14ac:dyDescent="0.2">
      <c r="A459" s="541"/>
      <c r="B459" s="423"/>
      <c r="C459" s="425"/>
      <c r="D459" s="423"/>
      <c r="E459" s="423"/>
      <c r="F459" s="423"/>
      <c r="G459" s="423"/>
      <c r="H459" s="423"/>
      <c r="N459" s="542"/>
    </row>
    <row r="460" spans="1:14" x14ac:dyDescent="0.2">
      <c r="A460" s="541"/>
      <c r="B460" s="423"/>
      <c r="C460" s="425"/>
      <c r="D460" s="423"/>
      <c r="E460" s="423"/>
      <c r="F460" s="423"/>
      <c r="G460" s="423"/>
      <c r="H460" s="423"/>
      <c r="N460" s="542"/>
    </row>
    <row r="461" spans="1:14" x14ac:dyDescent="0.2">
      <c r="A461" s="541"/>
      <c r="B461" s="423"/>
      <c r="C461" s="425"/>
      <c r="D461" s="423"/>
      <c r="E461" s="423"/>
      <c r="F461" s="423"/>
      <c r="G461" s="423"/>
      <c r="H461" s="423"/>
      <c r="N461" s="542"/>
    </row>
    <row r="462" spans="1:14" x14ac:dyDescent="0.2">
      <c r="A462" s="541"/>
      <c r="B462" s="423"/>
      <c r="C462" s="425"/>
      <c r="D462" s="423"/>
      <c r="E462" s="423"/>
      <c r="F462" s="423"/>
      <c r="G462" s="423"/>
      <c r="H462" s="423"/>
      <c r="N462" s="542"/>
    </row>
    <row r="463" spans="1:14" x14ac:dyDescent="0.2">
      <c r="A463" s="541"/>
      <c r="B463" s="423"/>
      <c r="C463" s="425"/>
      <c r="D463" s="423"/>
      <c r="E463" s="423"/>
      <c r="F463" s="423"/>
      <c r="G463" s="423"/>
      <c r="H463" s="423"/>
      <c r="N463" s="542"/>
    </row>
    <row r="464" spans="1:14" x14ac:dyDescent="0.2">
      <c r="A464" s="541"/>
      <c r="B464" s="423"/>
      <c r="C464" s="425"/>
      <c r="D464" s="423"/>
      <c r="E464" s="423"/>
      <c r="F464" s="423"/>
      <c r="G464" s="423"/>
      <c r="H464" s="423"/>
      <c r="N464" s="542"/>
    </row>
    <row r="465" spans="1:14" ht="13.5" thickBot="1" x14ac:dyDescent="0.25">
      <c r="A465" s="543"/>
      <c r="B465" s="544"/>
      <c r="C465" s="545"/>
      <c r="D465" s="544"/>
      <c r="E465" s="544"/>
      <c r="F465" s="544"/>
      <c r="G465" s="544"/>
      <c r="H465" s="544"/>
      <c r="I465" s="544"/>
      <c r="J465" s="544"/>
      <c r="K465" s="544"/>
      <c r="L465" s="544"/>
      <c r="M465" s="544"/>
      <c r="N465" s="546"/>
    </row>
    <row r="466" spans="1:14" x14ac:dyDescent="0.2">
      <c r="A466" s="420"/>
      <c r="B466" s="423"/>
      <c r="C466" s="425"/>
      <c r="D466" s="423"/>
      <c r="E466" s="423"/>
      <c r="F466" s="423"/>
      <c r="G466" s="423"/>
      <c r="H466" s="423"/>
      <c r="N466" s="534"/>
    </row>
    <row r="467" spans="1:14" x14ac:dyDescent="0.2">
      <c r="A467" s="420"/>
      <c r="B467" s="423"/>
      <c r="C467" s="425"/>
      <c r="D467" s="423"/>
      <c r="E467" s="423"/>
      <c r="F467" s="423"/>
      <c r="G467" s="423"/>
      <c r="H467" s="423"/>
      <c r="N467" s="534"/>
    </row>
    <row r="468" spans="1:14" x14ac:dyDescent="0.2">
      <c r="A468" s="420"/>
      <c r="B468" s="423"/>
      <c r="C468" s="425"/>
      <c r="D468" s="423"/>
      <c r="E468" s="423"/>
      <c r="F468" s="423"/>
      <c r="G468" s="423"/>
      <c r="H468" s="423"/>
      <c r="N468" s="534"/>
    </row>
    <row r="469" spans="1:14" x14ac:dyDescent="0.2">
      <c r="A469" s="420"/>
      <c r="B469" s="423"/>
      <c r="C469" s="425"/>
      <c r="D469" s="423"/>
      <c r="E469" s="423"/>
      <c r="F469" s="423"/>
      <c r="G469" s="423"/>
      <c r="H469" s="423"/>
      <c r="N469" s="534"/>
    </row>
    <row r="470" spans="1:14" x14ac:dyDescent="0.2">
      <c r="A470" s="420"/>
      <c r="B470" s="423"/>
      <c r="C470" s="425"/>
      <c r="D470" s="423"/>
      <c r="E470" s="423"/>
      <c r="F470" s="423"/>
      <c r="G470" s="423"/>
      <c r="H470" s="423"/>
      <c r="N470" s="534"/>
    </row>
    <row r="471" spans="1:14" x14ac:dyDescent="0.2">
      <c r="A471" s="420"/>
      <c r="B471" s="423"/>
      <c r="C471" s="425"/>
      <c r="D471" s="423"/>
      <c r="E471" s="423"/>
      <c r="F471" s="423"/>
      <c r="G471" s="423"/>
      <c r="H471" s="423"/>
      <c r="N471" s="534"/>
    </row>
    <row r="472" spans="1:14" x14ac:dyDescent="0.2">
      <c r="A472" s="420"/>
      <c r="B472" s="423"/>
      <c r="C472" s="425"/>
      <c r="D472" s="423"/>
      <c r="E472" s="423"/>
      <c r="F472" s="423"/>
      <c r="G472" s="423"/>
      <c r="H472" s="423"/>
      <c r="N472" s="534"/>
    </row>
    <row r="473" spans="1:14" ht="13.5" thickBot="1" x14ac:dyDescent="0.25">
      <c r="A473" s="420"/>
      <c r="B473" s="423"/>
      <c r="C473" s="425"/>
      <c r="D473" s="423"/>
      <c r="E473" s="423"/>
      <c r="F473" s="423"/>
      <c r="G473" s="423"/>
      <c r="H473" s="423"/>
      <c r="N473" s="534"/>
    </row>
    <row r="474" spans="1:14" ht="45" x14ac:dyDescent="0.2">
      <c r="A474" s="538"/>
      <c r="B474" s="185" t="s">
        <v>24</v>
      </c>
      <c r="C474" s="185"/>
      <c r="D474" s="539"/>
      <c r="E474" s="539"/>
      <c r="F474" s="539"/>
      <c r="G474" s="539"/>
      <c r="H474" s="539"/>
      <c r="I474" s="539"/>
      <c r="J474" s="539"/>
      <c r="K474" s="539"/>
      <c r="L474" s="539"/>
      <c r="M474" s="539"/>
      <c r="N474" s="540"/>
    </row>
    <row r="475" spans="1:14" x14ac:dyDescent="0.2">
      <c r="A475" s="541"/>
      <c r="B475" s="423"/>
      <c r="C475" s="425"/>
      <c r="D475" s="423"/>
      <c r="E475" s="423"/>
      <c r="F475" s="423"/>
      <c r="G475" s="423"/>
      <c r="H475" s="423"/>
      <c r="N475" s="542"/>
    </row>
    <row r="476" spans="1:14" x14ac:dyDescent="0.2">
      <c r="A476" s="541"/>
      <c r="B476" s="423"/>
      <c r="C476" s="425"/>
      <c r="D476" s="423"/>
      <c r="E476" s="423"/>
      <c r="F476" s="423"/>
      <c r="G476" s="423"/>
      <c r="H476" s="423"/>
      <c r="N476" s="542"/>
    </row>
    <row r="477" spans="1:14" x14ac:dyDescent="0.2">
      <c r="A477" s="541"/>
      <c r="B477" s="423"/>
      <c r="C477" s="425"/>
      <c r="D477" s="423"/>
      <c r="E477" s="423"/>
      <c r="F477" s="423"/>
      <c r="G477" s="423"/>
      <c r="H477" s="423"/>
      <c r="N477" s="542"/>
    </row>
    <row r="478" spans="1:14" x14ac:dyDescent="0.2">
      <c r="A478" s="541"/>
      <c r="B478" s="423"/>
      <c r="C478" s="425"/>
      <c r="D478" s="423"/>
      <c r="E478" s="423"/>
      <c r="F478" s="423"/>
      <c r="G478" s="423"/>
      <c r="H478" s="423"/>
      <c r="N478" s="542"/>
    </row>
    <row r="479" spans="1:14" x14ac:dyDescent="0.2">
      <c r="A479" s="541"/>
      <c r="B479" s="423"/>
      <c r="C479" s="425"/>
      <c r="D479" s="423"/>
      <c r="E479" s="423"/>
      <c r="F479" s="423"/>
      <c r="G479" s="423"/>
      <c r="H479" s="423"/>
      <c r="N479" s="542"/>
    </row>
    <row r="480" spans="1:14" x14ac:dyDescent="0.2">
      <c r="A480" s="541"/>
      <c r="B480" s="423"/>
      <c r="C480" s="425"/>
      <c r="D480" s="423"/>
      <c r="E480" s="423"/>
      <c r="F480" s="423"/>
      <c r="G480" s="423"/>
      <c r="H480" s="423"/>
      <c r="N480" s="542"/>
    </row>
    <row r="481" spans="1:14" x14ac:dyDescent="0.2">
      <c r="A481" s="541"/>
      <c r="B481" s="423"/>
      <c r="C481" s="425"/>
      <c r="D481" s="423"/>
      <c r="E481" s="423"/>
      <c r="F481" s="423"/>
      <c r="G481" s="423"/>
      <c r="H481" s="423"/>
      <c r="N481" s="542"/>
    </row>
    <row r="482" spans="1:14" x14ac:dyDescent="0.2">
      <c r="A482" s="541"/>
      <c r="B482" s="423"/>
      <c r="C482" s="425"/>
      <c r="D482" s="423"/>
      <c r="E482" s="423"/>
      <c r="F482" s="423"/>
      <c r="G482" s="423"/>
      <c r="H482" s="423"/>
      <c r="N482" s="542"/>
    </row>
    <row r="483" spans="1:14" x14ac:dyDescent="0.2">
      <c r="A483" s="541"/>
      <c r="B483" s="423"/>
      <c r="C483" s="425"/>
      <c r="D483" s="423"/>
      <c r="E483" s="423"/>
      <c r="F483" s="423"/>
      <c r="G483" s="423"/>
      <c r="H483" s="423"/>
      <c r="N483" s="542"/>
    </row>
    <row r="484" spans="1:14" x14ac:dyDescent="0.2">
      <c r="A484" s="541"/>
      <c r="B484" s="423"/>
      <c r="C484" s="425"/>
      <c r="D484" s="423"/>
      <c r="E484" s="423"/>
      <c r="F484" s="423"/>
      <c r="G484" s="423"/>
      <c r="H484" s="423"/>
      <c r="N484" s="542"/>
    </row>
    <row r="485" spans="1:14" ht="13.5" thickBot="1" x14ac:dyDescent="0.25">
      <c r="A485" s="543"/>
      <c r="B485" s="544"/>
      <c r="C485" s="545"/>
      <c r="D485" s="544"/>
      <c r="E485" s="544"/>
      <c r="F485" s="544"/>
      <c r="G485" s="544"/>
      <c r="H485" s="544"/>
      <c r="I485" s="544"/>
      <c r="J485" s="544"/>
      <c r="K485" s="544"/>
      <c r="L485" s="544"/>
      <c r="M485" s="544"/>
      <c r="N485" s="546"/>
    </row>
    <row r="486" spans="1:14" x14ac:dyDescent="0.2">
      <c r="A486" s="420"/>
      <c r="B486" s="423"/>
      <c r="C486" s="425"/>
      <c r="D486" s="423"/>
      <c r="E486" s="423"/>
      <c r="F486" s="423"/>
      <c r="G486" s="423"/>
      <c r="H486" s="423"/>
      <c r="N486" s="534"/>
    </row>
    <row r="487" spans="1:14" x14ac:dyDescent="0.2">
      <c r="A487" s="420"/>
      <c r="B487" s="423"/>
      <c r="C487" s="425"/>
      <c r="D487" s="423"/>
      <c r="E487" s="423"/>
      <c r="F487" s="423"/>
      <c r="G487" s="423"/>
      <c r="H487" s="423"/>
      <c r="N487" s="534"/>
    </row>
    <row r="488" spans="1:14" x14ac:dyDescent="0.2">
      <c r="A488" s="420"/>
      <c r="B488" s="423"/>
      <c r="C488" s="425"/>
      <c r="D488" s="423"/>
      <c r="E488" s="423"/>
      <c r="F488" s="423"/>
      <c r="G488" s="423"/>
      <c r="H488" s="423"/>
      <c r="N488" s="534"/>
    </row>
    <row r="489" spans="1:14" x14ac:dyDescent="0.2">
      <c r="A489" s="420"/>
      <c r="B489" s="423"/>
      <c r="C489" s="425"/>
      <c r="D489" s="423"/>
      <c r="E489" s="423"/>
      <c r="F489" s="423"/>
      <c r="G489" s="423"/>
      <c r="H489" s="423"/>
      <c r="N489" s="534"/>
    </row>
    <row r="490" spans="1:14" x14ac:dyDescent="0.2">
      <c r="A490" s="420"/>
      <c r="B490" s="423"/>
      <c r="C490" s="425"/>
      <c r="D490" s="423"/>
      <c r="E490" s="423"/>
      <c r="F490" s="423"/>
      <c r="G490" s="423"/>
      <c r="H490" s="423"/>
      <c r="N490" s="534"/>
    </row>
    <row r="491" spans="1:14" x14ac:dyDescent="0.2">
      <c r="A491" s="420"/>
      <c r="B491" s="423"/>
      <c r="C491" s="425"/>
      <c r="D491" s="423"/>
      <c r="E491" s="423"/>
      <c r="F491" s="423"/>
      <c r="G491" s="423"/>
      <c r="H491" s="423"/>
      <c r="N491" s="534"/>
    </row>
    <row r="492" spans="1:14" x14ac:dyDescent="0.2">
      <c r="A492" s="420"/>
      <c r="B492" s="423"/>
      <c r="C492" s="425"/>
      <c r="D492" s="423"/>
      <c r="E492" s="423"/>
      <c r="F492" s="423"/>
      <c r="G492" s="423"/>
      <c r="H492" s="423"/>
      <c r="N492" s="534"/>
    </row>
    <row r="493" spans="1:14" x14ac:dyDescent="0.2">
      <c r="A493" s="420"/>
      <c r="B493" s="423"/>
      <c r="C493" s="425"/>
      <c r="D493" s="423"/>
      <c r="E493" s="423"/>
      <c r="F493" s="423"/>
      <c r="G493" s="423"/>
      <c r="H493" s="423"/>
      <c r="N493" s="534"/>
    </row>
    <row r="494" spans="1:14" x14ac:dyDescent="0.2">
      <c r="A494" s="420"/>
      <c r="B494" s="423"/>
      <c r="C494" s="425"/>
      <c r="D494" s="423"/>
      <c r="E494" s="423"/>
      <c r="F494" s="423"/>
      <c r="G494" s="423"/>
      <c r="H494" s="423"/>
      <c r="N494" s="534"/>
    </row>
    <row r="495" spans="1:14" x14ac:dyDescent="0.2">
      <c r="A495" s="420"/>
      <c r="B495" s="423"/>
      <c r="C495" s="425"/>
      <c r="D495" s="423"/>
      <c r="E495" s="423"/>
      <c r="F495" s="423"/>
      <c r="G495" s="423"/>
      <c r="H495" s="423"/>
      <c r="N495" s="534"/>
    </row>
    <row r="496" spans="1:14" x14ac:dyDescent="0.2">
      <c r="A496" s="420"/>
      <c r="B496" s="423"/>
      <c r="C496" s="425"/>
      <c r="D496" s="423"/>
      <c r="E496" s="423"/>
      <c r="F496" s="423"/>
      <c r="G496" s="423"/>
      <c r="H496" s="423"/>
      <c r="N496" s="534"/>
    </row>
    <row r="497" spans="1:14" x14ac:dyDescent="0.2">
      <c r="A497" s="420"/>
      <c r="B497" s="423"/>
      <c r="C497" s="425"/>
      <c r="D497" s="423"/>
      <c r="E497" s="423"/>
      <c r="F497" s="423"/>
      <c r="G497" s="423"/>
      <c r="H497" s="423"/>
      <c r="N497" s="534"/>
    </row>
    <row r="498" spans="1:14" x14ac:dyDescent="0.2">
      <c r="A498" s="420"/>
      <c r="B498" s="423"/>
      <c r="C498" s="425"/>
      <c r="D498" s="423"/>
      <c r="E498" s="423"/>
      <c r="F498" s="423"/>
      <c r="G498" s="423"/>
      <c r="H498" s="423"/>
      <c r="N498" s="534"/>
    </row>
    <row r="499" spans="1:14" x14ac:dyDescent="0.2">
      <c r="A499" s="420"/>
      <c r="B499" s="423"/>
      <c r="C499" s="425"/>
      <c r="D499" s="423"/>
      <c r="E499" s="423"/>
      <c r="F499" s="423"/>
      <c r="G499" s="423"/>
      <c r="H499" s="423"/>
      <c r="N499" s="534"/>
    </row>
    <row r="500" spans="1:14" x14ac:dyDescent="0.2">
      <c r="A500" s="420"/>
      <c r="B500" s="423"/>
      <c r="C500" s="425"/>
      <c r="D500" s="423"/>
      <c r="E500" s="423"/>
      <c r="F500" s="423"/>
      <c r="G500" s="423"/>
      <c r="H500" s="423"/>
      <c r="N500" s="534"/>
    </row>
    <row r="501" spans="1:14" x14ac:dyDescent="0.2">
      <c r="A501" s="420"/>
      <c r="B501" s="423"/>
      <c r="C501" s="425"/>
      <c r="D501" s="423"/>
      <c r="E501" s="423"/>
      <c r="F501" s="423"/>
      <c r="G501" s="423"/>
      <c r="H501" s="423"/>
      <c r="N501" s="534"/>
    </row>
    <row r="502" spans="1:14" x14ac:dyDescent="0.2">
      <c r="A502" s="420"/>
      <c r="B502" s="423"/>
      <c r="C502" s="425"/>
      <c r="D502" s="423"/>
      <c r="E502" s="423"/>
      <c r="F502" s="423"/>
      <c r="G502" s="423"/>
      <c r="H502" s="423"/>
      <c r="N502" s="534"/>
    </row>
    <row r="503" spans="1:14" x14ac:dyDescent="0.2">
      <c r="A503" s="420"/>
      <c r="B503" s="423"/>
      <c r="C503" s="425"/>
      <c r="D503" s="423"/>
      <c r="E503" s="423"/>
      <c r="F503" s="423"/>
      <c r="G503" s="423"/>
      <c r="H503" s="423"/>
      <c r="N503" s="534"/>
    </row>
    <row r="504" spans="1:14" x14ac:dyDescent="0.2">
      <c r="A504" s="420"/>
      <c r="B504" s="423"/>
      <c r="C504" s="425"/>
      <c r="D504" s="423"/>
      <c r="E504" s="423"/>
      <c r="F504" s="423"/>
      <c r="G504" s="423"/>
      <c r="H504" s="423"/>
      <c r="N504" s="534"/>
    </row>
    <row r="505" spans="1:14" x14ac:dyDescent="0.2">
      <c r="A505" s="420"/>
      <c r="B505" s="423"/>
      <c r="C505" s="425"/>
      <c r="D505" s="423"/>
      <c r="E505" s="423"/>
      <c r="F505" s="423"/>
      <c r="G505" s="423"/>
      <c r="H505" s="423"/>
      <c r="N505" s="534"/>
    </row>
    <row r="506" spans="1:14" x14ac:dyDescent="0.2">
      <c r="A506" s="420"/>
      <c r="B506" s="423"/>
      <c r="C506" s="425"/>
      <c r="D506" s="423"/>
      <c r="E506" s="423"/>
      <c r="F506" s="421">
        <v>415162</v>
      </c>
      <c r="G506" s="423"/>
      <c r="H506" s="423"/>
      <c r="N506" s="534"/>
    </row>
    <row r="507" spans="1:14" x14ac:dyDescent="0.2">
      <c r="A507" s="420"/>
      <c r="B507" s="423"/>
      <c r="C507" s="425"/>
      <c r="D507" s="423"/>
      <c r="E507" s="423"/>
      <c r="F507" s="423"/>
      <c r="G507" s="423"/>
      <c r="H507" s="423"/>
      <c r="N507" s="534"/>
    </row>
    <row r="508" spans="1:14" x14ac:dyDescent="0.2">
      <c r="A508" s="420"/>
      <c r="B508" s="423"/>
      <c r="C508" s="425"/>
      <c r="D508" s="423"/>
      <c r="E508" s="423"/>
      <c r="F508" s="423"/>
      <c r="G508" s="423"/>
      <c r="H508" s="423"/>
      <c r="N508" s="534"/>
    </row>
    <row r="509" spans="1:14" x14ac:dyDescent="0.2">
      <c r="A509" s="420"/>
      <c r="B509" s="423"/>
      <c r="C509" s="425"/>
      <c r="D509" s="423"/>
      <c r="E509" s="423"/>
      <c r="F509" s="423"/>
      <c r="G509" s="423"/>
      <c r="H509" s="423"/>
      <c r="N509" s="534"/>
    </row>
    <row r="510" spans="1:14" x14ac:dyDescent="0.2">
      <c r="A510" s="420"/>
      <c r="B510" s="423"/>
      <c r="C510" s="425"/>
      <c r="D510" s="423"/>
      <c r="E510" s="423"/>
      <c r="F510" s="423"/>
      <c r="G510" s="423"/>
      <c r="H510" s="423"/>
      <c r="N510" s="534"/>
    </row>
    <row r="511" spans="1:14" x14ac:dyDescent="0.2">
      <c r="A511" s="420"/>
      <c r="B511" s="423"/>
      <c r="C511" s="425"/>
      <c r="D511" s="423"/>
      <c r="E511" s="423"/>
      <c r="F511" s="423"/>
      <c r="G511" s="423"/>
      <c r="H511" s="423"/>
      <c r="N511" s="534"/>
    </row>
    <row r="512" spans="1:14" x14ac:dyDescent="0.2">
      <c r="A512" s="420"/>
      <c r="B512" s="423"/>
      <c r="C512" s="425"/>
      <c r="D512" s="423"/>
      <c r="E512" s="423"/>
      <c r="F512" s="423"/>
      <c r="G512" s="423"/>
      <c r="H512" s="423"/>
      <c r="N512" s="534"/>
    </row>
    <row r="513" spans="1:14" x14ac:dyDescent="0.2">
      <c r="A513" s="420"/>
      <c r="B513" s="423"/>
      <c r="C513" s="425"/>
      <c r="D513" s="423"/>
      <c r="E513" s="423"/>
      <c r="F513" s="423"/>
      <c r="G513" s="423"/>
      <c r="H513" s="423"/>
      <c r="N513" s="534"/>
    </row>
    <row r="514" spans="1:14" x14ac:dyDescent="0.2">
      <c r="A514" s="420"/>
      <c r="B514" s="423"/>
      <c r="C514" s="425"/>
      <c r="D514" s="423"/>
      <c r="E514" s="423"/>
      <c r="F514" s="423"/>
      <c r="G514" s="423"/>
      <c r="H514" s="423"/>
      <c r="N514" s="534"/>
    </row>
    <row r="515" spans="1:14" x14ac:dyDescent="0.2">
      <c r="A515" s="420"/>
      <c r="B515" s="423"/>
      <c r="C515" s="425"/>
      <c r="D515" s="423"/>
      <c r="E515" s="423"/>
      <c r="F515" s="423"/>
      <c r="G515" s="423"/>
      <c r="H515" s="423"/>
      <c r="N515" s="534"/>
    </row>
    <row r="516" spans="1:14" x14ac:dyDescent="0.2">
      <c r="A516" s="420"/>
      <c r="B516" s="423"/>
      <c r="C516" s="425"/>
      <c r="D516" s="423"/>
      <c r="E516" s="423"/>
      <c r="F516" s="423"/>
      <c r="G516" s="423"/>
      <c r="H516" s="423"/>
      <c r="N516" s="534"/>
    </row>
    <row r="517" spans="1:14" x14ac:dyDescent="0.2">
      <c r="A517" s="420"/>
      <c r="B517" s="423"/>
      <c r="C517" s="425"/>
      <c r="D517" s="423"/>
      <c r="E517" s="423"/>
      <c r="F517" s="423"/>
      <c r="G517" s="423"/>
      <c r="H517" s="423"/>
      <c r="N517" s="534"/>
    </row>
    <row r="518" spans="1:14" x14ac:dyDescent="0.2">
      <c r="A518" s="420"/>
      <c r="B518" s="423"/>
      <c r="C518" s="425"/>
      <c r="D518" s="423"/>
      <c r="E518" s="423"/>
      <c r="F518" s="423"/>
      <c r="G518" s="423"/>
      <c r="H518" s="423"/>
      <c r="N518" s="534"/>
    </row>
    <row r="519" spans="1:14" x14ac:dyDescent="0.2">
      <c r="A519" s="420"/>
      <c r="B519" s="423"/>
      <c r="C519" s="425"/>
      <c r="D519" s="423"/>
      <c r="E519" s="423"/>
      <c r="F519" s="423"/>
      <c r="G519" s="423"/>
      <c r="H519" s="423"/>
      <c r="N519" s="534"/>
    </row>
    <row r="520" spans="1:14" x14ac:dyDescent="0.2">
      <c r="A520" s="420"/>
      <c r="B520" s="423"/>
      <c r="C520" s="425"/>
      <c r="D520" s="423"/>
      <c r="E520" s="423"/>
      <c r="F520" s="423"/>
      <c r="G520" s="423"/>
      <c r="H520" s="423"/>
      <c r="N520" s="534"/>
    </row>
    <row r="521" spans="1:14" x14ac:dyDescent="0.2">
      <c r="A521" s="420"/>
      <c r="B521" s="423"/>
      <c r="C521" s="425"/>
      <c r="D521" s="423"/>
      <c r="E521" s="423"/>
      <c r="F521" s="423"/>
      <c r="G521" s="423"/>
      <c r="H521" s="423"/>
      <c r="N521" s="534"/>
    </row>
    <row r="522" spans="1:14" x14ac:dyDescent="0.2">
      <c r="A522" s="420"/>
      <c r="B522" s="423"/>
      <c r="C522" s="425"/>
      <c r="D522" s="423"/>
      <c r="E522" s="423"/>
      <c r="F522" s="423"/>
      <c r="G522" s="423"/>
      <c r="H522" s="423"/>
      <c r="N522" s="534"/>
    </row>
    <row r="523" spans="1:14" x14ac:dyDescent="0.2">
      <c r="A523" s="420"/>
      <c r="B523" s="423"/>
      <c r="C523" s="425"/>
      <c r="D523" s="423"/>
      <c r="E523" s="423"/>
      <c r="F523" s="423"/>
      <c r="G523" s="423"/>
      <c r="H523" s="423"/>
      <c r="N523" s="534"/>
    </row>
    <row r="524" spans="1:14" x14ac:dyDescent="0.2">
      <c r="A524" s="420"/>
      <c r="B524" s="423"/>
      <c r="C524" s="425"/>
      <c r="D524" s="423"/>
      <c r="E524" s="423"/>
      <c r="F524" s="423"/>
      <c r="G524" s="423"/>
      <c r="H524" s="423"/>
      <c r="N524" s="534"/>
    </row>
    <row r="525" spans="1:14" x14ac:dyDescent="0.2">
      <c r="A525" s="420"/>
      <c r="B525" s="423"/>
      <c r="C525" s="425"/>
      <c r="D525" s="423"/>
      <c r="E525" s="423"/>
      <c r="F525" s="423"/>
      <c r="G525" s="423"/>
      <c r="H525" s="423"/>
      <c r="N525" s="534"/>
    </row>
    <row r="526" spans="1:14" x14ac:dyDescent="0.2">
      <c r="A526" s="420"/>
      <c r="B526" s="423"/>
      <c r="C526" s="425"/>
      <c r="D526" s="423"/>
      <c r="E526" s="423"/>
      <c r="F526" s="423"/>
      <c r="G526" s="423"/>
      <c r="H526" s="423"/>
      <c r="N526" s="534"/>
    </row>
    <row r="527" spans="1:14" x14ac:dyDescent="0.2">
      <c r="A527" s="420"/>
      <c r="B527" s="423"/>
      <c r="C527" s="425"/>
      <c r="D527" s="423"/>
      <c r="E527" s="423"/>
      <c r="F527" s="423"/>
      <c r="G527" s="423"/>
      <c r="H527" s="423"/>
      <c r="N527" s="534"/>
    </row>
    <row r="528" spans="1:14" x14ac:dyDescent="0.2">
      <c r="A528" s="420"/>
      <c r="B528" s="423"/>
      <c r="C528" s="425"/>
      <c r="D528" s="423"/>
      <c r="E528" s="423"/>
      <c r="F528" s="423"/>
      <c r="G528" s="423"/>
      <c r="H528" s="423"/>
      <c r="N528" s="534"/>
    </row>
    <row r="529" spans="1:14" x14ac:dyDescent="0.2">
      <c r="A529" s="420"/>
      <c r="B529" s="423"/>
      <c r="C529" s="425"/>
      <c r="D529" s="423"/>
      <c r="E529" s="423"/>
      <c r="F529" s="423"/>
      <c r="G529" s="423"/>
      <c r="H529" s="423"/>
      <c r="N529" s="534"/>
    </row>
    <row r="530" spans="1:14" x14ac:dyDescent="0.2">
      <c r="A530" s="420"/>
      <c r="B530" s="423"/>
      <c r="C530" s="425"/>
      <c r="D530" s="423"/>
      <c r="E530" s="423"/>
      <c r="F530" s="423"/>
      <c r="G530" s="423"/>
      <c r="H530" s="423"/>
      <c r="N530" s="534"/>
    </row>
    <row r="531" spans="1:14" x14ac:dyDescent="0.2">
      <c r="A531" s="420"/>
      <c r="B531" s="423"/>
      <c r="C531" s="425"/>
      <c r="D531" s="423"/>
      <c r="E531" s="423"/>
      <c r="F531" s="423"/>
      <c r="G531" s="423"/>
      <c r="H531" s="423"/>
      <c r="N531" s="534"/>
    </row>
    <row r="532" spans="1:14" x14ac:dyDescent="0.2">
      <c r="A532" s="420"/>
      <c r="B532" s="423"/>
      <c r="C532" s="425"/>
      <c r="D532" s="423"/>
      <c r="E532" s="423"/>
      <c r="F532" s="423"/>
      <c r="G532" s="423"/>
      <c r="H532" s="423"/>
      <c r="N532" s="534"/>
    </row>
    <row r="533" spans="1:14" x14ac:dyDescent="0.2">
      <c r="A533" s="420"/>
      <c r="B533" s="423"/>
      <c r="C533" s="425"/>
      <c r="D533" s="423"/>
      <c r="E533" s="423"/>
      <c r="F533" s="423"/>
      <c r="G533" s="423"/>
      <c r="H533" s="423"/>
      <c r="N533" s="534"/>
    </row>
    <row r="534" spans="1:14" x14ac:dyDescent="0.2">
      <c r="A534" s="420"/>
      <c r="B534" s="423"/>
      <c r="C534" s="425"/>
      <c r="D534" s="423"/>
      <c r="E534" s="423"/>
      <c r="F534" s="423"/>
      <c r="G534" s="423"/>
      <c r="H534" s="423"/>
      <c r="N534" s="534"/>
    </row>
    <row r="535" spans="1:14" x14ac:dyDescent="0.2">
      <c r="A535" s="420"/>
      <c r="B535" s="423"/>
      <c r="C535" s="425"/>
      <c r="D535" s="423"/>
      <c r="E535" s="423"/>
      <c r="F535" s="423"/>
      <c r="G535" s="423"/>
      <c r="H535" s="423"/>
      <c r="N535" s="534"/>
    </row>
    <row r="536" spans="1:14" x14ac:dyDescent="0.2">
      <c r="A536" s="420"/>
      <c r="B536" s="423"/>
      <c r="C536" s="425"/>
      <c r="D536" s="423"/>
      <c r="E536" s="423"/>
      <c r="F536" s="423"/>
      <c r="G536" s="423"/>
      <c r="H536" s="423"/>
      <c r="N536" s="534"/>
    </row>
    <row r="537" spans="1:14" x14ac:dyDescent="0.2">
      <c r="A537" s="420"/>
      <c r="B537" s="423"/>
      <c r="C537" s="425"/>
      <c r="D537" s="423"/>
      <c r="E537" s="423"/>
      <c r="F537" s="423"/>
      <c r="G537" s="423"/>
      <c r="H537" s="423"/>
      <c r="N537" s="534"/>
    </row>
    <row r="538" spans="1:14" ht="13.5" thickBot="1" x14ac:dyDescent="0.25">
      <c r="A538" s="420"/>
      <c r="B538" s="423"/>
      <c r="C538" s="425"/>
      <c r="D538" s="423"/>
      <c r="E538" s="423"/>
      <c r="F538" s="423"/>
      <c r="G538" s="423"/>
      <c r="H538" s="423"/>
      <c r="N538" s="534"/>
    </row>
    <row r="539" spans="1:14" x14ac:dyDescent="0.2">
      <c r="A539" s="538"/>
      <c r="B539" s="539"/>
      <c r="C539" s="976"/>
      <c r="D539" s="539"/>
      <c r="E539" s="539"/>
      <c r="F539" s="539"/>
      <c r="G539" s="539"/>
      <c r="H539" s="539"/>
      <c r="I539" s="539"/>
      <c r="J539" s="539"/>
      <c r="K539" s="539"/>
      <c r="L539" s="539"/>
      <c r="M539" s="539"/>
      <c r="N539" s="540"/>
    </row>
    <row r="540" spans="1:14" x14ac:dyDescent="0.2">
      <c r="A540" s="541"/>
      <c r="B540" s="423"/>
      <c r="C540" s="425"/>
      <c r="D540" s="423"/>
      <c r="E540" s="423"/>
      <c r="F540" s="423"/>
      <c r="G540" s="423"/>
      <c r="H540" s="423"/>
      <c r="N540" s="542"/>
    </row>
    <row r="541" spans="1:14" x14ac:dyDescent="0.2">
      <c r="A541" s="541"/>
      <c r="B541" s="423"/>
      <c r="C541" s="425"/>
      <c r="D541" s="423"/>
      <c r="E541" s="423"/>
      <c r="F541" s="423"/>
      <c r="G541" s="423"/>
      <c r="H541" s="423"/>
      <c r="N541" s="542"/>
    </row>
    <row r="542" spans="1:14" x14ac:dyDescent="0.2">
      <c r="A542" s="541"/>
      <c r="B542" s="423"/>
      <c r="C542" s="425"/>
      <c r="D542" s="423"/>
      <c r="E542" s="423"/>
      <c r="F542" s="423"/>
      <c r="G542" s="423"/>
      <c r="H542" s="423"/>
      <c r="N542" s="542"/>
    </row>
    <row r="543" spans="1:14" x14ac:dyDescent="0.2">
      <c r="A543" s="541"/>
      <c r="B543" s="423"/>
      <c r="C543" s="425"/>
      <c r="D543" s="423"/>
      <c r="E543" s="423"/>
      <c r="F543" s="423"/>
      <c r="G543" s="423"/>
      <c r="H543" s="423"/>
      <c r="N543" s="542"/>
    </row>
    <row r="544" spans="1:14" x14ac:dyDescent="0.2">
      <c r="A544" s="541"/>
      <c r="B544" s="423"/>
      <c r="C544" s="425"/>
      <c r="D544" s="423"/>
      <c r="E544" s="423"/>
      <c r="F544" s="423"/>
      <c r="G544" s="423"/>
      <c r="H544" s="423"/>
      <c r="N544" s="542"/>
    </row>
    <row r="545" spans="1:14" x14ac:dyDescent="0.2">
      <c r="A545" s="541"/>
      <c r="B545" s="423"/>
      <c r="C545" s="425"/>
      <c r="D545" s="423"/>
      <c r="E545" s="423"/>
      <c r="F545" s="423"/>
      <c r="G545" s="423"/>
      <c r="H545" s="423"/>
      <c r="N545" s="542"/>
    </row>
    <row r="546" spans="1:14" ht="13.5" thickBot="1" x14ac:dyDescent="0.25">
      <c r="A546" s="543"/>
      <c r="B546" s="544"/>
      <c r="C546" s="545"/>
      <c r="D546" s="544"/>
      <c r="E546" s="544"/>
      <c r="F546" s="544"/>
      <c r="G546" s="544"/>
      <c r="H546" s="544"/>
      <c r="I546" s="544"/>
      <c r="J546" s="544"/>
      <c r="K546" s="544"/>
      <c r="L546" s="544"/>
      <c r="M546" s="544"/>
      <c r="N546" s="546"/>
    </row>
    <row r="547" spans="1:14" x14ac:dyDescent="0.2">
      <c r="A547" s="538"/>
      <c r="B547" s="539"/>
      <c r="C547" s="976"/>
      <c r="D547" s="539"/>
      <c r="E547" s="539"/>
      <c r="F547" s="539"/>
      <c r="G547" s="539"/>
      <c r="H547" s="539"/>
      <c r="I547" s="539"/>
      <c r="J547" s="539"/>
      <c r="K547" s="539"/>
      <c r="L547" s="539"/>
      <c r="M547" s="539"/>
      <c r="N547" s="540"/>
    </row>
    <row r="548" spans="1:14" x14ac:dyDescent="0.2">
      <c r="A548" s="541"/>
      <c r="B548" s="423"/>
      <c r="C548" s="425"/>
      <c r="D548" s="423"/>
      <c r="E548" s="423"/>
      <c r="F548" s="423"/>
      <c r="G548" s="423"/>
      <c r="H548" s="423"/>
      <c r="N548" s="542"/>
    </row>
    <row r="549" spans="1:14" x14ac:dyDescent="0.2">
      <c r="A549" s="541"/>
      <c r="B549" s="423"/>
      <c r="C549" s="425"/>
      <c r="D549" s="423"/>
      <c r="E549" s="423"/>
      <c r="F549" s="423"/>
      <c r="G549" s="423"/>
      <c r="H549" s="423"/>
      <c r="N549" s="542"/>
    </row>
    <row r="550" spans="1:14" ht="13.5" thickBot="1" x14ac:dyDescent="0.25">
      <c r="A550" s="543"/>
      <c r="B550" s="544"/>
      <c r="C550" s="545"/>
      <c r="D550" s="544"/>
      <c r="E550" s="544"/>
      <c r="F550" s="544"/>
      <c r="G550" s="544"/>
      <c r="H550" s="544"/>
      <c r="I550" s="544"/>
      <c r="J550" s="544"/>
      <c r="K550" s="544"/>
      <c r="L550" s="544"/>
      <c r="M550" s="544"/>
      <c r="N550" s="546"/>
    </row>
    <row r="551" spans="1:14" x14ac:dyDescent="0.2">
      <c r="A551" s="420"/>
      <c r="B551" s="423"/>
      <c r="C551" s="425"/>
      <c r="D551" s="423"/>
      <c r="E551" s="423"/>
      <c r="F551" s="423"/>
      <c r="G551" s="423"/>
      <c r="H551" s="423"/>
      <c r="N551" s="534"/>
    </row>
    <row r="552" spans="1:14" x14ac:dyDescent="0.2">
      <c r="A552" s="420"/>
      <c r="B552" s="423"/>
      <c r="C552" s="425"/>
      <c r="D552" s="423"/>
      <c r="E552" s="423"/>
      <c r="F552" s="423"/>
      <c r="G552" s="423"/>
      <c r="H552" s="423"/>
      <c r="N552" s="534"/>
    </row>
    <row r="553" spans="1:14" x14ac:dyDescent="0.2">
      <c r="A553" s="420"/>
      <c r="B553" s="423"/>
      <c r="C553" s="425"/>
      <c r="D553" s="423"/>
      <c r="E553" s="423"/>
      <c r="F553" s="423"/>
      <c r="G553" s="423"/>
      <c r="H553" s="423"/>
      <c r="N553" s="534"/>
    </row>
    <row r="554" spans="1:14" x14ac:dyDescent="0.2">
      <c r="A554" s="420"/>
      <c r="B554" s="423"/>
      <c r="C554" s="425"/>
      <c r="D554" s="423"/>
      <c r="E554" s="423"/>
      <c r="F554" s="423"/>
      <c r="G554" s="423"/>
      <c r="H554" s="423"/>
      <c r="N554" s="534"/>
    </row>
    <row r="555" spans="1:14" x14ac:dyDescent="0.2">
      <c r="A555" s="420"/>
      <c r="B555" s="423"/>
      <c r="C555" s="425"/>
      <c r="D555" s="423"/>
      <c r="E555" s="423"/>
      <c r="F555" s="423"/>
      <c r="G555" s="423"/>
      <c r="H555" s="423"/>
      <c r="N555" s="534"/>
    </row>
    <row r="556" spans="1:14" x14ac:dyDescent="0.2">
      <c r="A556" s="420"/>
      <c r="B556" s="423"/>
      <c r="C556" s="425"/>
      <c r="D556" s="423"/>
      <c r="E556" s="423"/>
      <c r="F556" s="423"/>
      <c r="G556" s="423"/>
      <c r="H556" s="423"/>
      <c r="N556" s="534"/>
    </row>
    <row r="557" spans="1:14" x14ac:dyDescent="0.2">
      <c r="A557" s="420"/>
      <c r="B557" s="423"/>
      <c r="C557" s="425"/>
      <c r="D557" s="423"/>
      <c r="E557" s="423"/>
      <c r="F557" s="423"/>
      <c r="G557" s="423"/>
      <c r="H557" s="423"/>
      <c r="N557" s="534"/>
    </row>
    <row r="558" spans="1:14" x14ac:dyDescent="0.2">
      <c r="A558" s="420"/>
      <c r="B558" s="423"/>
      <c r="C558" s="425"/>
      <c r="D558" s="423"/>
      <c r="E558" s="423"/>
      <c r="F558" s="423"/>
      <c r="G558" s="423"/>
      <c r="H558" s="423"/>
      <c r="N558" s="534"/>
    </row>
    <row r="559" spans="1:14" x14ac:dyDescent="0.2">
      <c r="A559" s="420"/>
      <c r="B559" s="423"/>
      <c r="C559" s="425"/>
      <c r="D559" s="423"/>
      <c r="E559" s="423"/>
      <c r="F559" s="423"/>
      <c r="G559" s="423"/>
      <c r="H559" s="423"/>
      <c r="N559" s="534"/>
    </row>
    <row r="560" spans="1:14" x14ac:dyDescent="0.2">
      <c r="A560" s="420"/>
      <c r="B560" s="423"/>
      <c r="C560" s="425"/>
      <c r="D560" s="423"/>
      <c r="E560" s="423"/>
      <c r="F560" s="423"/>
      <c r="G560" s="423"/>
      <c r="H560" s="423"/>
      <c r="N560" s="534"/>
    </row>
    <row r="561" spans="1:14" x14ac:dyDescent="0.2">
      <c r="A561" s="420"/>
      <c r="B561" s="423"/>
      <c r="C561" s="425"/>
      <c r="D561" s="423"/>
      <c r="E561" s="423"/>
      <c r="F561" s="423"/>
      <c r="G561" s="423"/>
      <c r="H561" s="423"/>
      <c r="N561" s="534"/>
    </row>
    <row r="562" spans="1:14" x14ac:dyDescent="0.2">
      <c r="A562" s="420"/>
      <c r="B562" s="423"/>
      <c r="C562" s="425"/>
      <c r="D562" s="423"/>
      <c r="E562" s="423"/>
      <c r="F562" s="423"/>
      <c r="G562" s="423"/>
      <c r="H562" s="423"/>
      <c r="N562" s="534"/>
    </row>
    <row r="563" spans="1:14" x14ac:dyDescent="0.2">
      <c r="A563" s="420"/>
      <c r="B563" s="423"/>
      <c r="C563" s="425"/>
      <c r="D563" s="423"/>
      <c r="E563" s="423"/>
      <c r="F563" s="423"/>
      <c r="G563" s="423"/>
      <c r="H563" s="423"/>
      <c r="N563" s="534"/>
    </row>
    <row r="564" spans="1:14" x14ac:dyDescent="0.2">
      <c r="A564" s="420"/>
      <c r="B564" s="423"/>
      <c r="C564" s="425"/>
      <c r="D564" s="423"/>
      <c r="E564" s="423"/>
      <c r="F564" s="423"/>
      <c r="G564" s="423"/>
      <c r="H564" s="423"/>
      <c r="N564" s="534"/>
    </row>
    <row r="565" spans="1:14" x14ac:dyDescent="0.2">
      <c r="A565" s="420"/>
      <c r="B565" s="423"/>
      <c r="C565" s="425"/>
      <c r="D565" s="423"/>
      <c r="E565" s="423"/>
      <c r="F565" s="423"/>
      <c r="G565" s="423"/>
      <c r="H565" s="423"/>
      <c r="N565" s="534"/>
    </row>
    <row r="566" spans="1:14" x14ac:dyDescent="0.2">
      <c r="A566" s="420"/>
      <c r="B566" s="423"/>
      <c r="C566" s="425"/>
      <c r="D566" s="423"/>
      <c r="E566" s="423"/>
      <c r="F566" s="423"/>
      <c r="G566" s="423"/>
      <c r="H566" s="423"/>
      <c r="N566" s="534"/>
    </row>
    <row r="567" spans="1:14" x14ac:dyDescent="0.2">
      <c r="A567" s="420"/>
      <c r="B567" s="423"/>
      <c r="C567" s="425"/>
      <c r="D567" s="423"/>
      <c r="E567" s="423"/>
      <c r="F567" s="423"/>
      <c r="G567" s="423"/>
      <c r="H567" s="423"/>
      <c r="N567" s="534"/>
    </row>
    <row r="568" spans="1:14" x14ac:dyDescent="0.2">
      <c r="A568" s="420"/>
      <c r="B568" s="423"/>
      <c r="C568" s="425"/>
      <c r="D568" s="423"/>
      <c r="E568" s="423"/>
      <c r="F568" s="423"/>
      <c r="G568" s="423"/>
      <c r="H568" s="423"/>
      <c r="N568" s="534"/>
    </row>
    <row r="569" spans="1:14" x14ac:dyDescent="0.2">
      <c r="A569" s="420"/>
      <c r="B569" s="423"/>
      <c r="C569" s="425"/>
      <c r="D569" s="423"/>
      <c r="E569" s="423"/>
      <c r="F569" s="423"/>
      <c r="G569" s="423"/>
      <c r="H569" s="423"/>
      <c r="N569" s="534"/>
    </row>
    <row r="570" spans="1:14" x14ac:dyDescent="0.2">
      <c r="A570" s="420"/>
      <c r="B570" s="423"/>
      <c r="C570" s="425"/>
      <c r="D570" s="423"/>
      <c r="E570" s="423"/>
      <c r="F570" s="423"/>
      <c r="G570" s="423"/>
      <c r="H570" s="423"/>
      <c r="N570" s="534"/>
    </row>
    <row r="571" spans="1:14" x14ac:dyDescent="0.2">
      <c r="A571" s="420"/>
      <c r="B571" s="423"/>
      <c r="C571" s="425"/>
      <c r="D571" s="423"/>
      <c r="E571" s="423"/>
      <c r="F571" s="423"/>
      <c r="G571" s="423"/>
      <c r="H571" s="423"/>
      <c r="N571" s="534"/>
    </row>
    <row r="572" spans="1:14" x14ac:dyDescent="0.2">
      <c r="A572" s="420"/>
      <c r="B572" s="423"/>
      <c r="C572" s="425"/>
      <c r="D572" s="423"/>
      <c r="E572" s="423"/>
      <c r="F572" s="423"/>
      <c r="G572" s="423"/>
      <c r="H572" s="423"/>
      <c r="N572" s="534"/>
    </row>
    <row r="573" spans="1:14" x14ac:dyDescent="0.2">
      <c r="A573" s="420"/>
      <c r="B573" s="423"/>
      <c r="C573" s="425"/>
      <c r="D573" s="423"/>
      <c r="E573" s="423"/>
      <c r="F573" s="423"/>
      <c r="G573" s="423"/>
      <c r="H573" s="423"/>
      <c r="N573" s="534"/>
    </row>
    <row r="574" spans="1:14" x14ac:dyDescent="0.2">
      <c r="A574" s="420"/>
      <c r="B574" s="423"/>
      <c r="C574" s="425"/>
      <c r="D574" s="423"/>
      <c r="E574" s="423"/>
      <c r="F574" s="423"/>
      <c r="G574" s="423"/>
      <c r="H574" s="423"/>
      <c r="N574" s="534"/>
    </row>
    <row r="575" spans="1:14" x14ac:dyDescent="0.2">
      <c r="A575" s="420"/>
      <c r="B575" s="423"/>
      <c r="C575" s="425"/>
      <c r="D575" s="423"/>
      <c r="E575" s="423"/>
      <c r="F575" s="423"/>
      <c r="G575" s="423"/>
      <c r="H575" s="423"/>
      <c r="N575" s="534"/>
    </row>
    <row r="576" spans="1:14" x14ac:dyDescent="0.2">
      <c r="A576" s="420"/>
      <c r="B576" s="423"/>
      <c r="C576" s="425"/>
      <c r="D576" s="423"/>
      <c r="E576" s="423"/>
      <c r="F576" s="423"/>
      <c r="G576" s="423"/>
      <c r="H576" s="423"/>
      <c r="N576" s="534"/>
    </row>
    <row r="577" spans="1:14" x14ac:dyDescent="0.2">
      <c r="A577" s="420"/>
      <c r="B577" s="423"/>
      <c r="C577" s="425"/>
      <c r="D577" s="423"/>
      <c r="E577" s="423"/>
      <c r="F577" s="423"/>
      <c r="G577" s="423"/>
      <c r="H577" s="423"/>
      <c r="N577" s="534"/>
    </row>
    <row r="578" spans="1:14" x14ac:dyDescent="0.2">
      <c r="A578" s="420"/>
      <c r="B578" s="423"/>
      <c r="C578" s="425"/>
      <c r="D578" s="423"/>
      <c r="E578" s="423"/>
      <c r="F578" s="423"/>
      <c r="G578" s="423"/>
      <c r="H578" s="423"/>
      <c r="N578" s="534"/>
    </row>
    <row r="579" spans="1:14" x14ac:dyDescent="0.2">
      <c r="A579" s="420"/>
      <c r="B579" s="423"/>
      <c r="C579" s="425"/>
      <c r="D579" s="423"/>
      <c r="E579" s="423"/>
      <c r="F579" s="423"/>
      <c r="G579" s="423"/>
      <c r="H579" s="423"/>
      <c r="N579" s="534"/>
    </row>
    <row r="580" spans="1:14" x14ac:dyDescent="0.2">
      <c r="A580" s="420"/>
      <c r="B580" s="423"/>
      <c r="C580" s="425"/>
      <c r="D580" s="423"/>
      <c r="E580" s="423"/>
      <c r="F580" s="423"/>
      <c r="G580" s="423"/>
      <c r="H580" s="423"/>
      <c r="N580" s="534"/>
    </row>
    <row r="581" spans="1:14" x14ac:dyDescent="0.2">
      <c r="A581" s="420"/>
      <c r="B581" s="423"/>
      <c r="C581" s="425"/>
      <c r="D581" s="423"/>
      <c r="E581" s="423"/>
      <c r="F581" s="423"/>
      <c r="G581" s="423"/>
      <c r="H581" s="423"/>
      <c r="N581" s="534"/>
    </row>
    <row r="582" spans="1:14" x14ac:dyDescent="0.2">
      <c r="A582" s="420"/>
      <c r="B582" s="423"/>
      <c r="C582" s="425"/>
      <c r="D582" s="423"/>
      <c r="E582" s="423"/>
      <c r="F582" s="423"/>
      <c r="G582" s="423"/>
      <c r="H582" s="423"/>
      <c r="N582" s="534"/>
    </row>
    <row r="583" spans="1:14" x14ac:dyDescent="0.2">
      <c r="A583" s="420"/>
      <c r="B583" s="423"/>
      <c r="C583" s="425"/>
      <c r="D583" s="423"/>
      <c r="E583" s="423"/>
      <c r="F583" s="423"/>
      <c r="G583" s="423"/>
      <c r="H583" s="423"/>
      <c r="N583" s="534"/>
    </row>
    <row r="584" spans="1:14" x14ac:dyDescent="0.2">
      <c r="A584" s="420"/>
      <c r="B584" s="423"/>
      <c r="C584" s="425"/>
      <c r="D584" s="423"/>
      <c r="E584" s="423"/>
      <c r="F584" s="423"/>
      <c r="G584" s="423"/>
      <c r="H584" s="423"/>
      <c r="N584" s="534"/>
    </row>
    <row r="585" spans="1:14" x14ac:dyDescent="0.2">
      <c r="A585" s="420"/>
      <c r="B585" s="423"/>
      <c r="C585" s="425"/>
      <c r="D585" s="423"/>
      <c r="E585" s="423"/>
      <c r="F585" s="423"/>
      <c r="G585" s="423"/>
      <c r="H585" s="423"/>
      <c r="N585" s="534"/>
    </row>
    <row r="586" spans="1:14" x14ac:dyDescent="0.2">
      <c r="A586" s="420"/>
      <c r="B586" s="423"/>
      <c r="C586" s="425"/>
      <c r="D586" s="423"/>
      <c r="E586" s="423"/>
      <c r="F586" s="423"/>
      <c r="G586" s="423"/>
      <c r="H586" s="423"/>
      <c r="N586" s="534"/>
    </row>
    <row r="587" spans="1:14" x14ac:dyDescent="0.2">
      <c r="A587" s="420"/>
      <c r="B587" s="423"/>
      <c r="C587" s="425"/>
      <c r="D587" s="423"/>
      <c r="E587" s="423"/>
      <c r="F587" s="423"/>
      <c r="G587" s="423"/>
      <c r="H587" s="423"/>
      <c r="N587" s="534"/>
    </row>
    <row r="588" spans="1:14" x14ac:dyDescent="0.2">
      <c r="A588" s="420"/>
      <c r="B588" s="423"/>
      <c r="C588" s="425"/>
      <c r="D588" s="423"/>
      <c r="E588" s="423"/>
      <c r="F588" s="423"/>
      <c r="G588" s="423"/>
      <c r="H588" s="423"/>
      <c r="N588" s="534"/>
    </row>
    <row r="589" spans="1:14" x14ac:dyDescent="0.2">
      <c r="A589" s="420"/>
      <c r="B589" s="423"/>
      <c r="C589" s="425"/>
      <c r="D589" s="423"/>
      <c r="E589" s="423"/>
      <c r="F589" s="423"/>
      <c r="G589" s="423"/>
      <c r="H589" s="423"/>
      <c r="N589" s="534"/>
    </row>
    <row r="590" spans="1:14" x14ac:dyDescent="0.2">
      <c r="A590" s="420"/>
      <c r="B590" s="423"/>
      <c r="C590" s="425"/>
      <c r="D590" s="423"/>
      <c r="E590" s="423"/>
      <c r="F590" s="423"/>
      <c r="G590" s="423"/>
      <c r="H590" s="423"/>
      <c r="N590" s="534"/>
    </row>
    <row r="591" spans="1:14" x14ac:dyDescent="0.2">
      <c r="A591" s="420"/>
      <c r="B591" s="423"/>
      <c r="C591" s="425"/>
      <c r="D591" s="423"/>
      <c r="E591" s="423"/>
      <c r="F591" s="423"/>
      <c r="G591" s="423"/>
      <c r="H591" s="423"/>
      <c r="N591" s="534"/>
    </row>
    <row r="592" spans="1:14" x14ac:dyDescent="0.2">
      <c r="A592" s="420"/>
      <c r="B592" s="423"/>
      <c r="C592" s="425"/>
      <c r="D592" s="423"/>
      <c r="E592" s="423"/>
      <c r="F592" s="423"/>
      <c r="G592" s="423"/>
      <c r="H592" s="423"/>
      <c r="N592" s="534"/>
    </row>
    <row r="593" spans="1:14" x14ac:dyDescent="0.2">
      <c r="A593" s="420"/>
      <c r="B593" s="423"/>
      <c r="C593" s="425"/>
      <c r="D593" s="423"/>
      <c r="E593" s="423"/>
      <c r="F593" s="423"/>
      <c r="G593" s="423"/>
      <c r="H593" s="423"/>
      <c r="N593" s="534"/>
    </row>
    <row r="594" spans="1:14" x14ac:dyDescent="0.2">
      <c r="A594" s="420"/>
      <c r="B594" s="423"/>
      <c r="C594" s="425"/>
      <c r="D594" s="423"/>
      <c r="E594" s="423"/>
      <c r="F594" s="423"/>
      <c r="G594" s="423"/>
      <c r="H594" s="423"/>
      <c r="N594" s="534"/>
    </row>
    <row r="595" spans="1:14" x14ac:dyDescent="0.2">
      <c r="A595" s="420"/>
      <c r="B595" s="423"/>
      <c r="C595" s="425"/>
      <c r="D595" s="423"/>
      <c r="E595" s="423"/>
      <c r="F595" s="423"/>
      <c r="G595" s="423"/>
      <c r="H595" s="423"/>
      <c r="N595" s="534"/>
    </row>
    <row r="596" spans="1:14" x14ac:dyDescent="0.2">
      <c r="A596" s="420"/>
      <c r="B596" s="423"/>
      <c r="C596" s="425"/>
      <c r="D596" s="423"/>
      <c r="E596" s="423"/>
      <c r="F596" s="423"/>
      <c r="G596" s="423"/>
      <c r="H596" s="423"/>
      <c r="N596" s="534"/>
    </row>
    <row r="597" spans="1:14" x14ac:dyDescent="0.2">
      <c r="A597" s="420"/>
      <c r="B597" s="423"/>
      <c r="C597" s="425"/>
      <c r="D597" s="423"/>
      <c r="E597" s="423"/>
      <c r="F597" s="423"/>
      <c r="G597" s="423"/>
      <c r="H597" s="423"/>
      <c r="N597" s="534"/>
    </row>
    <row r="598" spans="1:14" x14ac:dyDescent="0.2">
      <c r="A598" s="420"/>
      <c r="B598" s="423"/>
      <c r="C598" s="425"/>
      <c r="D598" s="423"/>
      <c r="E598" s="423"/>
      <c r="F598" s="423"/>
      <c r="G598" s="423"/>
      <c r="H598" s="423"/>
      <c r="N598" s="534"/>
    </row>
    <row r="599" spans="1:14" x14ac:dyDescent="0.2">
      <c r="A599" s="420"/>
      <c r="B599" s="423"/>
      <c r="C599" s="425"/>
      <c r="D599" s="423"/>
      <c r="E599" s="423"/>
      <c r="F599" s="423"/>
      <c r="G599" s="423"/>
      <c r="H599" s="423"/>
      <c r="N599" s="534"/>
    </row>
    <row r="600" spans="1:14" x14ac:dyDescent="0.2">
      <c r="A600" s="420"/>
      <c r="B600" s="423"/>
      <c r="C600" s="425"/>
      <c r="D600" s="423"/>
      <c r="E600" s="423"/>
      <c r="F600" s="423"/>
      <c r="G600" s="423"/>
      <c r="H600" s="423"/>
      <c r="N600" s="534"/>
    </row>
    <row r="601" spans="1:14" x14ac:dyDescent="0.2">
      <c r="A601" s="420"/>
      <c r="B601" s="423"/>
      <c r="C601" s="425"/>
      <c r="D601" s="423"/>
      <c r="E601" s="423"/>
      <c r="F601" s="423"/>
      <c r="G601" s="423"/>
      <c r="H601" s="423"/>
      <c r="N601" s="534"/>
    </row>
    <row r="602" spans="1:14" x14ac:dyDescent="0.2">
      <c r="A602" s="420"/>
      <c r="B602" s="423"/>
      <c r="C602" s="425"/>
      <c r="D602" s="423"/>
      <c r="E602" s="423"/>
      <c r="F602" s="423"/>
      <c r="G602" s="423"/>
      <c r="H602" s="423"/>
      <c r="N602" s="534"/>
    </row>
    <row r="603" spans="1:14" x14ac:dyDescent="0.2">
      <c r="A603" s="420"/>
      <c r="B603" s="423"/>
      <c r="C603" s="425"/>
      <c r="D603" s="423"/>
      <c r="E603" s="423"/>
      <c r="F603" s="423"/>
      <c r="G603" s="423"/>
      <c r="H603" s="423"/>
      <c r="N603" s="534"/>
    </row>
    <row r="604" spans="1:14" x14ac:dyDescent="0.2">
      <c r="A604" s="420"/>
      <c r="B604" s="423"/>
      <c r="C604" s="425"/>
      <c r="D604" s="423"/>
      <c r="E604" s="423"/>
      <c r="F604" s="423"/>
      <c r="G604" s="423"/>
      <c r="H604" s="423"/>
      <c r="N604" s="534"/>
    </row>
    <row r="605" spans="1:14" x14ac:dyDescent="0.2">
      <c r="A605" s="420"/>
      <c r="B605" s="423"/>
      <c r="C605" s="425"/>
      <c r="D605" s="423"/>
      <c r="E605" s="423"/>
      <c r="F605" s="423"/>
      <c r="G605" s="423"/>
      <c r="H605" s="423"/>
      <c r="N605" s="534"/>
    </row>
    <row r="606" spans="1:14" x14ac:dyDescent="0.2">
      <c r="A606" s="420"/>
      <c r="B606" s="423"/>
      <c r="C606" s="425"/>
      <c r="D606" s="423"/>
      <c r="E606" s="423"/>
      <c r="F606" s="423"/>
      <c r="G606" s="423"/>
      <c r="H606" s="423"/>
      <c r="N606" s="534"/>
    </row>
    <row r="607" spans="1:14" x14ac:dyDescent="0.2">
      <c r="A607" s="420"/>
      <c r="B607" s="423"/>
      <c r="C607" s="425"/>
      <c r="D607" s="423"/>
      <c r="E607" s="423"/>
      <c r="F607" s="423"/>
      <c r="G607" s="423"/>
      <c r="H607" s="423"/>
      <c r="N607" s="534"/>
    </row>
    <row r="608" spans="1:14" x14ac:dyDescent="0.2">
      <c r="A608" s="420"/>
      <c r="B608" s="423"/>
      <c r="C608" s="425"/>
      <c r="D608" s="423"/>
      <c r="E608" s="423"/>
      <c r="F608" s="423"/>
      <c r="G608" s="423"/>
      <c r="H608" s="423"/>
      <c r="N608" s="534"/>
    </row>
    <row r="609" spans="1:14" x14ac:dyDescent="0.2">
      <c r="A609" s="420"/>
      <c r="B609" s="423"/>
      <c r="C609" s="425"/>
      <c r="D609" s="423"/>
      <c r="E609" s="423"/>
      <c r="F609" s="423"/>
      <c r="G609" s="423"/>
      <c r="H609" s="423"/>
      <c r="N609" s="534"/>
    </row>
    <row r="610" spans="1:14" x14ac:dyDescent="0.2">
      <c r="A610" s="420"/>
      <c r="B610" s="423"/>
      <c r="C610" s="425"/>
      <c r="D610" s="423"/>
      <c r="E610" s="423"/>
      <c r="F610" s="423"/>
      <c r="G610" s="423"/>
      <c r="H610" s="423"/>
      <c r="N610" s="534"/>
    </row>
    <row r="611" spans="1:14" x14ac:dyDescent="0.2">
      <c r="A611" s="420"/>
      <c r="B611" s="423"/>
      <c r="C611" s="425"/>
      <c r="D611" s="423"/>
      <c r="E611" s="423"/>
      <c r="F611" s="423"/>
      <c r="G611" s="423"/>
      <c r="H611" s="423"/>
      <c r="N611" s="534"/>
    </row>
    <row r="612" spans="1:14" x14ac:dyDescent="0.2">
      <c r="A612" s="420"/>
      <c r="B612" s="423"/>
      <c r="C612" s="425"/>
      <c r="D612" s="423"/>
      <c r="E612" s="423"/>
      <c r="F612" s="423"/>
      <c r="G612" s="423"/>
      <c r="H612" s="423"/>
      <c r="N612" s="534"/>
    </row>
    <row r="613" spans="1:14" x14ac:dyDescent="0.2">
      <c r="A613" s="420"/>
      <c r="B613" s="423"/>
      <c r="C613" s="425"/>
      <c r="D613" s="423"/>
      <c r="E613" s="423"/>
      <c r="F613" s="423"/>
      <c r="G613" s="423"/>
      <c r="H613" s="423"/>
      <c r="N613" s="534"/>
    </row>
    <row r="614" spans="1:14" x14ac:dyDescent="0.2">
      <c r="A614" s="420"/>
      <c r="B614" s="423"/>
      <c r="C614" s="425"/>
      <c r="D614" s="423"/>
      <c r="E614" s="423"/>
      <c r="F614" s="423"/>
      <c r="G614" s="423"/>
      <c r="H614" s="423"/>
      <c r="N614" s="534"/>
    </row>
    <row r="615" spans="1:14" x14ac:dyDescent="0.2">
      <c r="A615" s="420"/>
      <c r="B615" s="423"/>
      <c r="C615" s="425"/>
      <c r="D615" s="423"/>
      <c r="E615" s="423"/>
      <c r="F615" s="423"/>
      <c r="G615" s="423"/>
      <c r="H615" s="423"/>
      <c r="N615" s="534"/>
    </row>
    <row r="616" spans="1:14" x14ac:dyDescent="0.2">
      <c r="A616" s="420"/>
      <c r="B616" s="423"/>
      <c r="C616" s="425"/>
      <c r="D616" s="423"/>
      <c r="E616" s="423"/>
      <c r="F616" s="423"/>
      <c r="G616" s="423"/>
      <c r="H616" s="423"/>
      <c r="N616" s="534"/>
    </row>
    <row r="617" spans="1:14" x14ac:dyDescent="0.2">
      <c r="A617" s="420"/>
      <c r="B617" s="423"/>
      <c r="C617" s="425"/>
      <c r="D617" s="423"/>
      <c r="E617" s="423"/>
      <c r="F617" s="423"/>
      <c r="G617" s="423"/>
      <c r="H617" s="423"/>
      <c r="N617" s="534"/>
    </row>
    <row r="618" spans="1:14" x14ac:dyDescent="0.2">
      <c r="A618" s="420"/>
      <c r="B618" s="423"/>
      <c r="C618" s="425"/>
      <c r="D618" s="423"/>
      <c r="E618" s="423"/>
      <c r="F618" s="423"/>
      <c r="G618" s="423"/>
      <c r="H618" s="423"/>
      <c r="N618" s="534"/>
    </row>
    <row r="619" spans="1:14" x14ac:dyDescent="0.2">
      <c r="A619" s="420"/>
      <c r="B619" s="423"/>
      <c r="C619" s="425"/>
      <c r="D619" s="423"/>
      <c r="E619" s="423"/>
      <c r="F619" s="423"/>
      <c r="G619" s="423"/>
      <c r="H619" s="423"/>
      <c r="N619" s="534"/>
    </row>
    <row r="620" spans="1:14" x14ac:dyDescent="0.2">
      <c r="A620" s="420"/>
      <c r="B620" s="423"/>
      <c r="C620" s="425"/>
      <c r="D620" s="423"/>
      <c r="E620" s="423"/>
      <c r="F620" s="423"/>
      <c r="G620" s="423"/>
      <c r="H620" s="423"/>
      <c r="N620" s="534"/>
    </row>
    <row r="621" spans="1:14" x14ac:dyDescent="0.2">
      <c r="A621" s="420"/>
      <c r="B621" s="423"/>
      <c r="C621" s="425"/>
      <c r="D621" s="423"/>
      <c r="E621" s="423"/>
      <c r="F621" s="423"/>
      <c r="G621" s="423"/>
      <c r="H621" s="423"/>
      <c r="N621" s="534"/>
    </row>
    <row r="622" spans="1:14" x14ac:dyDescent="0.2">
      <c r="A622" s="420"/>
      <c r="B622" s="423"/>
      <c r="C622" s="425"/>
      <c r="D622" s="423"/>
      <c r="E622" s="423"/>
      <c r="F622" s="423"/>
      <c r="G622" s="423"/>
      <c r="H622" s="423"/>
      <c r="N622" s="534"/>
    </row>
    <row r="623" spans="1:14" x14ac:dyDescent="0.2">
      <c r="A623" s="420"/>
      <c r="B623" s="423"/>
      <c r="C623" s="425"/>
      <c r="D623" s="423"/>
      <c r="E623" s="423"/>
      <c r="F623" s="423"/>
      <c r="G623" s="423"/>
      <c r="H623" s="423"/>
      <c r="N623" s="534"/>
    </row>
    <row r="624" spans="1:14" x14ac:dyDescent="0.2">
      <c r="A624" s="420"/>
      <c r="B624" s="423"/>
      <c r="C624" s="425"/>
      <c r="D624" s="423"/>
      <c r="E624" s="423"/>
      <c r="F624" s="423"/>
      <c r="G624" s="423"/>
      <c r="H624" s="423"/>
      <c r="N624" s="534"/>
    </row>
    <row r="625" spans="1:14" x14ac:dyDescent="0.2">
      <c r="A625" s="420"/>
      <c r="B625" s="423"/>
      <c r="C625" s="425"/>
      <c r="D625" s="423"/>
      <c r="E625" s="423"/>
      <c r="F625" s="423"/>
      <c r="G625" s="423"/>
      <c r="H625" s="423"/>
      <c r="N625" s="534"/>
    </row>
    <row r="626" spans="1:14" x14ac:dyDescent="0.2">
      <c r="A626" s="420"/>
      <c r="B626" s="423"/>
      <c r="C626" s="425"/>
      <c r="D626" s="423"/>
      <c r="E626" s="423"/>
      <c r="F626" s="423"/>
      <c r="G626" s="423"/>
      <c r="H626" s="423"/>
      <c r="N626" s="534"/>
    </row>
    <row r="627" spans="1:14" x14ac:dyDescent="0.2">
      <c r="A627" s="420"/>
      <c r="B627" s="423"/>
      <c r="C627" s="425"/>
      <c r="D627" s="423"/>
      <c r="E627" s="423"/>
      <c r="F627" s="423"/>
      <c r="G627" s="423"/>
      <c r="H627" s="423"/>
      <c r="N627" s="534"/>
    </row>
    <row r="628" spans="1:14" x14ac:dyDescent="0.2">
      <c r="A628" s="420"/>
      <c r="B628" s="423"/>
      <c r="C628" s="425"/>
      <c r="D628" s="423"/>
      <c r="E628" s="423"/>
      <c r="F628" s="423"/>
      <c r="G628" s="423"/>
      <c r="H628" s="423"/>
      <c r="N628" s="534"/>
    </row>
    <row r="629" spans="1:14" x14ac:dyDescent="0.2">
      <c r="A629" s="420"/>
      <c r="B629" s="423"/>
      <c r="C629" s="425"/>
      <c r="D629" s="423"/>
      <c r="E629" s="423"/>
      <c r="F629" s="423"/>
      <c r="G629" s="423"/>
      <c r="H629" s="423"/>
      <c r="N629" s="534"/>
    </row>
    <row r="630" spans="1:14" x14ac:dyDescent="0.2">
      <c r="A630" s="420"/>
      <c r="B630" s="423"/>
      <c r="C630" s="425"/>
      <c r="D630" s="423"/>
      <c r="E630" s="423"/>
      <c r="F630" s="423"/>
      <c r="G630" s="423"/>
      <c r="H630" s="423"/>
      <c r="N630" s="534"/>
    </row>
    <row r="631" spans="1:14" x14ac:dyDescent="0.2">
      <c r="A631" s="420"/>
      <c r="B631" s="423"/>
      <c r="C631" s="425"/>
      <c r="D631" s="423"/>
      <c r="E631" s="423"/>
      <c r="F631" s="423"/>
      <c r="G631" s="423"/>
      <c r="H631" s="423"/>
      <c r="N631" s="534"/>
    </row>
    <row r="632" spans="1:14" x14ac:dyDescent="0.2">
      <c r="A632" s="420"/>
      <c r="B632" s="423"/>
      <c r="C632" s="425"/>
      <c r="D632" s="423"/>
      <c r="E632" s="423"/>
      <c r="F632" s="423"/>
      <c r="G632" s="423"/>
      <c r="H632" s="423"/>
      <c r="N632" s="534"/>
    </row>
    <row r="633" spans="1:14" x14ac:dyDescent="0.2">
      <c r="A633" s="420"/>
      <c r="B633" s="423"/>
      <c r="C633" s="425"/>
      <c r="D633" s="423"/>
      <c r="E633" s="423"/>
      <c r="F633" s="423"/>
      <c r="G633" s="423"/>
      <c r="H633" s="423"/>
      <c r="N633" s="534"/>
    </row>
    <row r="634" spans="1:14" x14ac:dyDescent="0.2">
      <c r="A634" s="420"/>
      <c r="B634" s="423"/>
      <c r="C634" s="425"/>
      <c r="D634" s="423"/>
      <c r="E634" s="423"/>
      <c r="F634" s="423"/>
      <c r="G634" s="423"/>
      <c r="H634" s="423"/>
      <c r="N634" s="534"/>
    </row>
    <row r="635" spans="1:14" x14ac:dyDescent="0.2">
      <c r="A635" s="420"/>
      <c r="B635" s="423"/>
      <c r="C635" s="425"/>
      <c r="D635" s="423"/>
      <c r="E635" s="423"/>
      <c r="F635" s="423"/>
      <c r="G635" s="423"/>
      <c r="H635" s="423"/>
      <c r="N635" s="534"/>
    </row>
    <row r="636" spans="1:14" x14ac:dyDescent="0.2">
      <c r="A636" s="420"/>
      <c r="B636" s="423"/>
      <c r="C636" s="425"/>
      <c r="D636" s="423"/>
      <c r="E636" s="423"/>
      <c r="F636" s="423"/>
      <c r="G636" s="423"/>
      <c r="H636" s="423"/>
      <c r="N636" s="534"/>
    </row>
    <row r="637" spans="1:14" x14ac:dyDescent="0.2">
      <c r="A637" s="420"/>
      <c r="B637" s="423"/>
      <c r="C637" s="425"/>
      <c r="D637" s="423"/>
      <c r="E637" s="423"/>
      <c r="F637" s="423"/>
      <c r="G637" s="423"/>
      <c r="H637" s="423"/>
      <c r="N637" s="534"/>
    </row>
    <row r="638" spans="1:14" x14ac:dyDescent="0.2">
      <c r="A638" s="420"/>
      <c r="B638" s="423"/>
      <c r="C638" s="425"/>
      <c r="D638" s="423"/>
      <c r="E638" s="423"/>
      <c r="F638" s="423"/>
      <c r="G638" s="423"/>
      <c r="H638" s="423"/>
      <c r="N638" s="534"/>
    </row>
    <row r="639" spans="1:14" x14ac:dyDescent="0.2">
      <c r="A639" s="420"/>
      <c r="B639" s="423"/>
      <c r="C639" s="425"/>
      <c r="D639" s="423"/>
      <c r="E639" s="423"/>
      <c r="F639" s="423"/>
      <c r="G639" s="423"/>
      <c r="H639" s="423"/>
      <c r="N639" s="534"/>
    </row>
    <row r="640" spans="1:14" x14ac:dyDescent="0.2">
      <c r="A640" s="420"/>
      <c r="B640" s="423"/>
      <c r="C640" s="425"/>
      <c r="D640" s="423"/>
      <c r="E640" s="423"/>
      <c r="F640" s="423"/>
      <c r="G640" s="423"/>
      <c r="H640" s="423"/>
      <c r="N640" s="534"/>
    </row>
    <row r="641" spans="1:14" x14ac:dyDescent="0.2">
      <c r="A641" s="420"/>
      <c r="B641" s="423"/>
      <c r="C641" s="425"/>
      <c r="D641" s="423"/>
      <c r="E641" s="423"/>
      <c r="F641" s="423"/>
      <c r="G641" s="423"/>
      <c r="H641" s="423"/>
      <c r="N641" s="534"/>
    </row>
    <row r="642" spans="1:14" x14ac:dyDescent="0.2">
      <c r="A642" s="420"/>
      <c r="B642" s="423"/>
      <c r="C642" s="425"/>
      <c r="D642" s="423"/>
      <c r="E642" s="423"/>
      <c r="F642" s="423"/>
      <c r="G642" s="423"/>
      <c r="H642" s="423"/>
      <c r="N642" s="534"/>
    </row>
    <row r="643" spans="1:14" x14ac:dyDescent="0.2">
      <c r="A643" s="420"/>
      <c r="B643" s="423"/>
      <c r="C643" s="425"/>
      <c r="D643" s="423"/>
      <c r="E643" s="423"/>
      <c r="F643" s="423"/>
      <c r="G643" s="423"/>
      <c r="H643" s="423"/>
      <c r="N643" s="534"/>
    </row>
    <row r="644" spans="1:14" x14ac:dyDescent="0.2">
      <c r="A644" s="420"/>
      <c r="B644" s="423"/>
      <c r="C644" s="425"/>
      <c r="D644" s="423"/>
      <c r="E644" s="423"/>
      <c r="F644" s="423"/>
      <c r="G644" s="423"/>
      <c r="H644" s="423"/>
      <c r="N644" s="534"/>
    </row>
    <row r="645" spans="1:14" x14ac:dyDescent="0.2">
      <c r="A645" s="420"/>
      <c r="B645" s="423"/>
      <c r="C645" s="425"/>
      <c r="D645" s="423"/>
      <c r="E645" s="423"/>
      <c r="F645" s="423"/>
      <c r="G645" s="423"/>
      <c r="H645" s="423"/>
      <c r="N645" s="534"/>
    </row>
    <row r="646" spans="1:14" x14ac:dyDescent="0.2">
      <c r="A646" s="420"/>
      <c r="B646" s="423"/>
      <c r="C646" s="425"/>
      <c r="D646" s="423"/>
      <c r="E646" s="423"/>
      <c r="F646" s="423"/>
      <c r="G646" s="423"/>
      <c r="H646" s="423"/>
      <c r="N646" s="534"/>
    </row>
    <row r="647" spans="1:14" x14ac:dyDescent="0.2">
      <c r="A647" s="420"/>
      <c r="B647" s="423"/>
      <c r="C647" s="425"/>
      <c r="D647" s="423"/>
      <c r="E647" s="423"/>
      <c r="F647" s="423"/>
      <c r="G647" s="423"/>
      <c r="H647" s="423"/>
      <c r="N647" s="534"/>
    </row>
    <row r="648" spans="1:14" x14ac:dyDescent="0.2">
      <c r="A648" s="420"/>
      <c r="B648" s="423"/>
      <c r="C648" s="425"/>
      <c r="D648" s="423"/>
      <c r="E648" s="423"/>
      <c r="F648" s="423"/>
      <c r="G648" s="423"/>
      <c r="H648" s="423"/>
      <c r="N648" s="534"/>
    </row>
    <row r="649" spans="1:14" x14ac:dyDescent="0.2">
      <c r="A649" s="420"/>
      <c r="B649" s="423"/>
      <c r="C649" s="425"/>
      <c r="D649" s="423"/>
      <c r="E649" s="423"/>
      <c r="F649" s="423"/>
      <c r="G649" s="423"/>
      <c r="H649" s="423"/>
      <c r="N649" s="534"/>
    </row>
    <row r="650" spans="1:14" x14ac:dyDescent="0.2">
      <c r="A650" s="420"/>
      <c r="B650" s="423"/>
      <c r="C650" s="425"/>
      <c r="D650" s="423"/>
      <c r="E650" s="423"/>
      <c r="F650" s="423"/>
      <c r="G650" s="423"/>
      <c r="H650" s="423"/>
      <c r="N650" s="534"/>
    </row>
    <row r="651" spans="1:14" x14ac:dyDescent="0.2">
      <c r="A651" s="420"/>
      <c r="B651" s="423"/>
      <c r="C651" s="425"/>
      <c r="D651" s="423"/>
      <c r="E651" s="423"/>
      <c r="F651" s="423"/>
      <c r="G651" s="423"/>
      <c r="H651" s="423"/>
      <c r="N651" s="534"/>
    </row>
    <row r="652" spans="1:14" x14ac:dyDescent="0.2">
      <c r="A652" s="420"/>
      <c r="B652" s="423"/>
      <c r="C652" s="425"/>
      <c r="D652" s="423"/>
      <c r="E652" s="423"/>
      <c r="F652" s="423"/>
      <c r="G652" s="423"/>
      <c r="H652" s="423"/>
      <c r="N652" s="534"/>
    </row>
    <row r="653" spans="1:14" x14ac:dyDescent="0.2">
      <c r="A653" s="420"/>
      <c r="B653" s="423"/>
      <c r="C653" s="425"/>
      <c r="D653" s="423"/>
      <c r="E653" s="423"/>
      <c r="F653" s="423"/>
      <c r="G653" s="423"/>
      <c r="H653" s="423"/>
      <c r="N653" s="534"/>
    </row>
    <row r="654" spans="1:14" x14ac:dyDescent="0.2">
      <c r="A654" s="420"/>
      <c r="B654" s="423"/>
      <c r="C654" s="425"/>
      <c r="D654" s="423"/>
      <c r="E654" s="423"/>
      <c r="F654" s="423"/>
      <c r="G654" s="423"/>
      <c r="H654" s="423"/>
      <c r="N654" s="534"/>
    </row>
    <row r="655" spans="1:14" x14ac:dyDescent="0.2">
      <c r="A655" s="420"/>
      <c r="B655" s="423"/>
      <c r="C655" s="425"/>
      <c r="D655" s="423"/>
      <c r="E655" s="423"/>
      <c r="F655" s="423"/>
      <c r="G655" s="423"/>
      <c r="H655" s="423"/>
      <c r="N655" s="534"/>
    </row>
    <row r="656" spans="1:14" x14ac:dyDescent="0.2">
      <c r="A656" s="420"/>
      <c r="B656" s="423"/>
      <c r="C656" s="425"/>
      <c r="D656" s="423"/>
      <c r="E656" s="423"/>
      <c r="F656" s="423"/>
      <c r="G656" s="423"/>
      <c r="H656" s="423"/>
      <c r="N656" s="534"/>
    </row>
    <row r="657" spans="1:14" x14ac:dyDescent="0.2">
      <c r="A657" s="420"/>
      <c r="B657" s="423"/>
      <c r="C657" s="425"/>
      <c r="D657" s="423"/>
      <c r="E657" s="423"/>
      <c r="F657" s="423"/>
      <c r="G657" s="423"/>
      <c r="H657" s="423"/>
      <c r="N657" s="534"/>
    </row>
    <row r="658" spans="1:14" x14ac:dyDescent="0.2">
      <c r="A658" s="420"/>
      <c r="B658" s="423"/>
      <c r="C658" s="425"/>
      <c r="D658" s="423"/>
      <c r="E658" s="423"/>
      <c r="F658" s="423"/>
      <c r="G658" s="423"/>
      <c r="H658" s="423"/>
      <c r="N658" s="534"/>
    </row>
    <row r="659" spans="1:14" x14ac:dyDescent="0.2">
      <c r="A659" s="420"/>
      <c r="B659" s="423"/>
      <c r="C659" s="425"/>
      <c r="D659" s="423"/>
      <c r="E659" s="423"/>
      <c r="F659" s="423"/>
      <c r="G659" s="423"/>
      <c r="H659" s="423"/>
      <c r="N659" s="534"/>
    </row>
    <row r="660" spans="1:14" x14ac:dyDescent="0.2">
      <c r="A660" s="420"/>
      <c r="B660" s="423"/>
      <c r="C660" s="425"/>
      <c r="D660" s="423"/>
      <c r="E660" s="423"/>
      <c r="F660" s="423"/>
      <c r="G660" s="423"/>
      <c r="H660" s="423"/>
      <c r="N660" s="534"/>
    </row>
    <row r="661" spans="1:14" x14ac:dyDescent="0.2">
      <c r="A661" s="420"/>
      <c r="B661" s="423"/>
      <c r="C661" s="425"/>
      <c r="D661" s="423"/>
      <c r="E661" s="423"/>
      <c r="F661" s="423"/>
      <c r="G661" s="423"/>
      <c r="H661" s="423"/>
      <c r="N661" s="534"/>
    </row>
    <row r="662" spans="1:14" x14ac:dyDescent="0.2">
      <c r="A662" s="420"/>
      <c r="B662" s="423"/>
      <c r="C662" s="425"/>
      <c r="D662" s="423"/>
      <c r="E662" s="423"/>
      <c r="F662" s="423"/>
      <c r="G662" s="423"/>
      <c r="H662" s="423"/>
      <c r="N662" s="534"/>
    </row>
    <row r="663" spans="1:14" x14ac:dyDescent="0.2">
      <c r="A663" s="420"/>
      <c r="B663" s="423"/>
      <c r="C663" s="425"/>
      <c r="D663" s="423"/>
      <c r="E663" s="423"/>
      <c r="F663" s="423"/>
      <c r="G663" s="423"/>
      <c r="H663" s="423"/>
      <c r="N663" s="534"/>
    </row>
    <row r="664" spans="1:14" x14ac:dyDescent="0.2">
      <c r="A664" s="420"/>
      <c r="B664" s="423"/>
      <c r="C664" s="425"/>
      <c r="D664" s="423"/>
      <c r="E664" s="423"/>
      <c r="F664" s="423"/>
      <c r="G664" s="423"/>
      <c r="H664" s="423"/>
      <c r="N664" s="534"/>
    </row>
    <row r="665" spans="1:14" x14ac:dyDescent="0.2">
      <c r="A665" s="420"/>
      <c r="B665" s="423"/>
      <c r="C665" s="425"/>
      <c r="D665" s="423"/>
      <c r="E665" s="423"/>
      <c r="F665" s="423"/>
      <c r="G665" s="423"/>
      <c r="H665" s="423"/>
      <c r="N665" s="534"/>
    </row>
    <row r="666" spans="1:14" x14ac:dyDescent="0.2">
      <c r="A666" s="420"/>
      <c r="B666" s="423"/>
      <c r="C666" s="425"/>
      <c r="D666" s="423"/>
      <c r="E666" s="423"/>
      <c r="F666" s="423"/>
      <c r="G666" s="423"/>
      <c r="H666" s="423"/>
      <c r="N666" s="534"/>
    </row>
    <row r="667" spans="1:14" x14ac:dyDescent="0.2">
      <c r="A667" s="420"/>
      <c r="B667" s="423"/>
      <c r="C667" s="425"/>
      <c r="D667" s="423"/>
      <c r="E667" s="423"/>
      <c r="F667" s="423"/>
      <c r="G667" s="423"/>
      <c r="H667" s="423"/>
      <c r="N667" s="534"/>
    </row>
    <row r="668" spans="1:14" x14ac:dyDescent="0.2">
      <c r="A668" s="420"/>
      <c r="B668" s="423"/>
      <c r="C668" s="425"/>
      <c r="D668" s="423"/>
      <c r="E668" s="423"/>
      <c r="F668" s="423"/>
      <c r="G668" s="423"/>
      <c r="H668" s="423"/>
      <c r="N668" s="534"/>
    </row>
    <row r="669" spans="1:14" x14ac:dyDescent="0.2">
      <c r="A669" s="420"/>
      <c r="B669" s="423"/>
      <c r="C669" s="425"/>
      <c r="D669" s="423"/>
      <c r="E669" s="423"/>
      <c r="F669" s="423"/>
      <c r="G669" s="423"/>
      <c r="H669" s="423"/>
      <c r="N669" s="534"/>
    </row>
    <row r="670" spans="1:14" x14ac:dyDescent="0.2">
      <c r="A670" s="420"/>
      <c r="B670" s="423"/>
      <c r="C670" s="425"/>
      <c r="D670" s="423"/>
      <c r="E670" s="423"/>
      <c r="F670" s="423"/>
      <c r="G670" s="423"/>
      <c r="H670" s="423"/>
      <c r="N670" s="534"/>
    </row>
    <row r="671" spans="1:14" x14ac:dyDescent="0.2">
      <c r="A671" s="420"/>
      <c r="B671" s="423"/>
      <c r="C671" s="425"/>
      <c r="D671" s="423"/>
      <c r="E671" s="423"/>
      <c r="F671" s="423"/>
      <c r="G671" s="423"/>
      <c r="H671" s="423"/>
      <c r="N671" s="534"/>
    </row>
    <row r="672" spans="1:14" x14ac:dyDescent="0.2">
      <c r="A672" s="420"/>
      <c r="B672" s="423"/>
      <c r="C672" s="425"/>
      <c r="D672" s="423"/>
      <c r="E672" s="423"/>
      <c r="F672" s="423"/>
      <c r="G672" s="423"/>
      <c r="H672" s="423"/>
      <c r="N672" s="534"/>
    </row>
    <row r="673" spans="1:14" x14ac:dyDescent="0.2">
      <c r="A673" s="420"/>
      <c r="B673" s="423"/>
      <c r="C673" s="425"/>
      <c r="D673" s="423"/>
      <c r="E673" s="423"/>
      <c r="F673" s="423"/>
      <c r="G673" s="423"/>
      <c r="H673" s="423"/>
      <c r="N673" s="534"/>
    </row>
    <row r="674" spans="1:14" x14ac:dyDescent="0.2">
      <c r="A674" s="420"/>
      <c r="B674" s="423"/>
      <c r="C674" s="425"/>
      <c r="D674" s="423"/>
      <c r="E674" s="423"/>
      <c r="F674" s="423"/>
      <c r="G674" s="423"/>
      <c r="H674" s="423"/>
      <c r="N674" s="534"/>
    </row>
    <row r="675" spans="1:14" x14ac:dyDescent="0.2">
      <c r="A675" s="420"/>
      <c r="B675" s="423"/>
      <c r="C675" s="425"/>
      <c r="D675" s="423"/>
      <c r="E675" s="423"/>
      <c r="F675" s="423"/>
      <c r="G675" s="423"/>
      <c r="H675" s="423"/>
      <c r="N675" s="534"/>
    </row>
    <row r="676" spans="1:14" x14ac:dyDescent="0.2">
      <c r="A676" s="420"/>
      <c r="B676" s="423"/>
      <c r="C676" s="425"/>
      <c r="D676" s="423"/>
      <c r="E676" s="423"/>
      <c r="F676" s="423"/>
      <c r="G676" s="423"/>
      <c r="H676" s="423"/>
      <c r="N676" s="534"/>
    </row>
    <row r="677" spans="1:14" x14ac:dyDescent="0.2">
      <c r="A677" s="420"/>
      <c r="B677" s="423"/>
      <c r="C677" s="425"/>
      <c r="D677" s="423"/>
      <c r="E677" s="423"/>
      <c r="F677" s="423"/>
      <c r="G677" s="423"/>
      <c r="H677" s="423"/>
      <c r="N677" s="534"/>
    </row>
    <row r="678" spans="1:14" x14ac:dyDescent="0.2">
      <c r="A678" s="420"/>
      <c r="B678" s="423"/>
      <c r="C678" s="425"/>
      <c r="D678" s="423"/>
      <c r="E678" s="423"/>
      <c r="F678" s="423"/>
      <c r="G678" s="423"/>
      <c r="H678" s="423"/>
      <c r="N678" s="534"/>
    </row>
    <row r="679" spans="1:14" x14ac:dyDescent="0.2">
      <c r="A679" s="420"/>
      <c r="B679" s="423"/>
      <c r="C679" s="425"/>
      <c r="D679" s="423"/>
      <c r="E679" s="423"/>
      <c r="F679" s="423"/>
      <c r="G679" s="423"/>
      <c r="H679" s="423"/>
      <c r="N679" s="534"/>
    </row>
    <row r="680" spans="1:14" x14ac:dyDescent="0.2">
      <c r="A680" s="420"/>
      <c r="B680" s="423"/>
      <c r="C680" s="425"/>
      <c r="D680" s="423"/>
      <c r="E680" s="423"/>
      <c r="F680" s="423"/>
      <c r="G680" s="423"/>
      <c r="H680" s="423"/>
      <c r="N680" s="534"/>
    </row>
    <row r="681" spans="1:14" x14ac:dyDescent="0.2">
      <c r="A681" s="420"/>
      <c r="B681" s="423"/>
      <c r="C681" s="425"/>
      <c r="D681" s="423"/>
      <c r="E681" s="423"/>
      <c r="F681" s="423"/>
      <c r="G681" s="423"/>
      <c r="H681" s="423"/>
      <c r="N681" s="534"/>
    </row>
    <row r="682" spans="1:14" x14ac:dyDescent="0.2">
      <c r="A682" s="420"/>
      <c r="B682" s="423"/>
      <c r="C682" s="425"/>
      <c r="D682" s="423"/>
      <c r="E682" s="423"/>
      <c r="F682" s="423"/>
      <c r="G682" s="423"/>
      <c r="H682" s="423"/>
      <c r="N682" s="534"/>
    </row>
    <row r="683" spans="1:14" x14ac:dyDescent="0.2">
      <c r="A683" s="420"/>
      <c r="B683" s="423"/>
      <c r="C683" s="425"/>
      <c r="D683" s="423"/>
      <c r="E683" s="423"/>
      <c r="F683" s="423"/>
      <c r="G683" s="423"/>
      <c r="H683" s="423"/>
      <c r="N683" s="534"/>
    </row>
    <row r="684" spans="1:14" x14ac:dyDescent="0.2">
      <c r="A684" s="420"/>
      <c r="B684" s="423"/>
      <c r="C684" s="425"/>
      <c r="D684" s="423"/>
      <c r="E684" s="423"/>
      <c r="F684" s="423"/>
      <c r="G684" s="423"/>
      <c r="H684" s="423"/>
      <c r="N684" s="534"/>
    </row>
    <row r="685" spans="1:14" x14ac:dyDescent="0.2">
      <c r="A685" s="420"/>
      <c r="B685" s="423"/>
      <c r="C685" s="425"/>
      <c r="D685" s="423"/>
      <c r="E685" s="423"/>
      <c r="F685" s="423"/>
      <c r="G685" s="423"/>
      <c r="H685" s="423"/>
      <c r="N685" s="534"/>
    </row>
    <row r="686" spans="1:14" x14ac:dyDescent="0.2">
      <c r="A686" s="420"/>
      <c r="B686" s="423"/>
      <c r="C686" s="425"/>
      <c r="D686" s="423"/>
      <c r="E686" s="423"/>
      <c r="F686" s="423"/>
      <c r="G686" s="423"/>
      <c r="H686" s="423"/>
      <c r="N686" s="534"/>
    </row>
    <row r="687" spans="1:14" x14ac:dyDescent="0.2">
      <c r="A687" s="420"/>
      <c r="B687" s="423"/>
      <c r="C687" s="425"/>
      <c r="D687" s="423"/>
      <c r="E687" s="423"/>
      <c r="F687" s="423"/>
      <c r="G687" s="423"/>
      <c r="H687" s="423"/>
      <c r="N687" s="534"/>
    </row>
    <row r="688" spans="1:14" x14ac:dyDescent="0.2">
      <c r="A688" s="420"/>
      <c r="B688" s="423"/>
      <c r="C688" s="425"/>
      <c r="D688" s="423"/>
      <c r="E688" s="423"/>
      <c r="F688" s="423"/>
      <c r="G688" s="423"/>
      <c r="H688" s="423"/>
      <c r="N688" s="534"/>
    </row>
    <row r="689" spans="1:14" x14ac:dyDescent="0.2">
      <c r="A689" s="420"/>
      <c r="B689" s="423"/>
      <c r="C689" s="425"/>
      <c r="D689" s="423"/>
      <c r="E689" s="423"/>
      <c r="F689" s="423"/>
      <c r="G689" s="423"/>
      <c r="H689" s="423"/>
      <c r="N689" s="534"/>
    </row>
    <row r="690" spans="1:14" x14ac:dyDescent="0.2">
      <c r="A690" s="420"/>
      <c r="B690" s="423"/>
      <c r="C690" s="425"/>
      <c r="D690" s="423"/>
      <c r="E690" s="423"/>
      <c r="F690" s="423"/>
      <c r="G690" s="423"/>
      <c r="H690" s="423"/>
      <c r="N690" s="534"/>
    </row>
    <row r="691" spans="1:14" x14ac:dyDescent="0.2">
      <c r="A691" s="420"/>
      <c r="B691" s="423"/>
      <c r="C691" s="425"/>
      <c r="D691" s="423"/>
      <c r="E691" s="423"/>
      <c r="F691" s="423"/>
      <c r="G691" s="423"/>
      <c r="H691" s="423"/>
      <c r="N691" s="534"/>
    </row>
    <row r="692" spans="1:14" x14ac:dyDescent="0.2">
      <c r="A692" s="420"/>
      <c r="B692" s="423"/>
      <c r="C692" s="425"/>
      <c r="D692" s="423"/>
      <c r="E692" s="423"/>
      <c r="F692" s="423"/>
      <c r="G692" s="423"/>
      <c r="H692" s="423"/>
      <c r="N692" s="534"/>
    </row>
    <row r="693" spans="1:14" x14ac:dyDescent="0.2">
      <c r="A693" s="420"/>
      <c r="B693" s="423"/>
      <c r="C693" s="425"/>
      <c r="D693" s="423"/>
      <c r="E693" s="423"/>
      <c r="F693" s="423"/>
      <c r="G693" s="423"/>
      <c r="H693" s="423"/>
      <c r="N693" s="534"/>
    </row>
    <row r="694" spans="1:14" x14ac:dyDescent="0.2">
      <c r="A694" s="420"/>
      <c r="B694" s="423"/>
      <c r="C694" s="425"/>
      <c r="D694" s="423"/>
      <c r="E694" s="423"/>
      <c r="F694" s="423"/>
      <c r="G694" s="423"/>
      <c r="H694" s="423"/>
      <c r="N694" s="534"/>
    </row>
    <row r="695" spans="1:14" x14ac:dyDescent="0.2">
      <c r="A695" s="420"/>
      <c r="B695" s="423"/>
      <c r="C695" s="425"/>
      <c r="D695" s="423"/>
      <c r="E695" s="423"/>
      <c r="F695" s="423"/>
      <c r="G695" s="423"/>
      <c r="H695" s="423"/>
      <c r="N695" s="534"/>
    </row>
    <row r="696" spans="1:14" x14ac:dyDescent="0.2">
      <c r="A696" s="420"/>
      <c r="B696" s="423"/>
      <c r="C696" s="425"/>
      <c r="D696" s="423"/>
      <c r="E696" s="423"/>
      <c r="F696" s="423"/>
      <c r="G696" s="423"/>
      <c r="H696" s="423"/>
      <c r="N696" s="534"/>
    </row>
    <row r="697" spans="1:14" x14ac:dyDescent="0.2">
      <c r="A697" s="420"/>
      <c r="B697" s="423"/>
      <c r="C697" s="425"/>
      <c r="D697" s="423"/>
      <c r="E697" s="423"/>
      <c r="F697" s="423"/>
      <c r="G697" s="423"/>
      <c r="H697" s="423"/>
      <c r="N697" s="534"/>
    </row>
    <row r="698" spans="1:14" x14ac:dyDescent="0.2">
      <c r="A698" s="420"/>
      <c r="B698" s="423"/>
      <c r="C698" s="425"/>
      <c r="D698" s="423"/>
      <c r="E698" s="423"/>
      <c r="F698" s="423"/>
      <c r="G698" s="423"/>
      <c r="H698" s="423"/>
      <c r="N698" s="534"/>
    </row>
    <row r="699" spans="1:14" x14ac:dyDescent="0.2">
      <c r="A699" s="420"/>
      <c r="B699" s="423"/>
      <c r="C699" s="425"/>
      <c r="D699" s="423"/>
      <c r="E699" s="423"/>
      <c r="F699" s="423"/>
      <c r="G699" s="423"/>
      <c r="H699" s="423"/>
      <c r="N699" s="534"/>
    </row>
    <row r="700" spans="1:14" x14ac:dyDescent="0.2">
      <c r="A700" s="420"/>
      <c r="B700" s="423"/>
      <c r="C700" s="425"/>
      <c r="D700" s="423"/>
      <c r="E700" s="423"/>
      <c r="F700" s="423"/>
      <c r="G700" s="423"/>
      <c r="H700" s="423"/>
      <c r="N700" s="534"/>
    </row>
    <row r="701" spans="1:14" x14ac:dyDescent="0.2">
      <c r="A701" s="420"/>
      <c r="B701" s="423"/>
      <c r="C701" s="425"/>
      <c r="D701" s="423"/>
      <c r="E701" s="423"/>
      <c r="F701" s="423"/>
      <c r="G701" s="423"/>
      <c r="H701" s="423"/>
      <c r="N701" s="534"/>
    </row>
    <row r="702" spans="1:14" x14ac:dyDescent="0.2">
      <c r="A702" s="420"/>
      <c r="B702" s="423"/>
      <c r="C702" s="425"/>
      <c r="D702" s="423"/>
      <c r="E702" s="423"/>
      <c r="F702" s="423"/>
      <c r="G702" s="423"/>
      <c r="H702" s="423"/>
      <c r="N702" s="534"/>
    </row>
    <row r="703" spans="1:14" x14ac:dyDescent="0.2">
      <c r="A703" s="420"/>
      <c r="B703" s="423"/>
      <c r="C703" s="425"/>
      <c r="D703" s="423"/>
      <c r="E703" s="423"/>
      <c r="F703" s="423"/>
      <c r="G703" s="423"/>
      <c r="H703" s="423"/>
      <c r="N703" s="534"/>
    </row>
    <row r="704" spans="1:14" x14ac:dyDescent="0.2">
      <c r="A704" s="420"/>
      <c r="B704" s="423"/>
      <c r="C704" s="425"/>
      <c r="D704" s="423"/>
      <c r="E704" s="423"/>
      <c r="F704" s="423"/>
      <c r="G704" s="423"/>
      <c r="H704" s="423"/>
      <c r="N704" s="534"/>
    </row>
    <row r="705" spans="1:14" x14ac:dyDescent="0.2">
      <c r="A705" s="420"/>
      <c r="B705" s="423"/>
      <c r="C705" s="425"/>
      <c r="D705" s="423"/>
      <c r="E705" s="423"/>
      <c r="F705" s="423"/>
      <c r="G705" s="423"/>
      <c r="H705" s="423"/>
      <c r="N705" s="534"/>
    </row>
    <row r="706" spans="1:14" x14ac:dyDescent="0.2">
      <c r="A706" s="420"/>
      <c r="B706" s="423"/>
      <c r="C706" s="425"/>
      <c r="D706" s="423"/>
      <c r="E706" s="423"/>
      <c r="F706" s="423"/>
      <c r="G706" s="423"/>
      <c r="H706" s="423"/>
      <c r="N706" s="534"/>
    </row>
    <row r="707" spans="1:14" x14ac:dyDescent="0.2">
      <c r="A707" s="420"/>
      <c r="B707" s="423"/>
      <c r="C707" s="425"/>
      <c r="D707" s="423"/>
      <c r="E707" s="423"/>
      <c r="F707" s="423"/>
      <c r="G707" s="423"/>
      <c r="H707" s="423"/>
      <c r="N707" s="534"/>
    </row>
    <row r="708" spans="1:14" x14ac:dyDescent="0.2">
      <c r="A708" s="420"/>
      <c r="B708" s="423"/>
      <c r="C708" s="425"/>
      <c r="D708" s="423"/>
      <c r="E708" s="423"/>
      <c r="F708" s="423"/>
      <c r="G708" s="423"/>
      <c r="H708" s="423"/>
      <c r="N708" s="534"/>
    </row>
    <row r="709" spans="1:14" x14ac:dyDescent="0.2">
      <c r="A709" s="420"/>
      <c r="B709" s="423"/>
      <c r="C709" s="425"/>
      <c r="D709" s="423"/>
      <c r="E709" s="423"/>
      <c r="F709" s="423"/>
      <c r="G709" s="423"/>
      <c r="H709" s="423"/>
      <c r="N709" s="534"/>
    </row>
    <row r="710" spans="1:14" x14ac:dyDescent="0.2">
      <c r="A710" s="420"/>
      <c r="B710" s="423"/>
      <c r="C710" s="425"/>
      <c r="D710" s="423"/>
      <c r="E710" s="423"/>
      <c r="F710" s="423"/>
      <c r="G710" s="423"/>
      <c r="H710" s="423"/>
      <c r="N710" s="534"/>
    </row>
    <row r="711" spans="1:14" x14ac:dyDescent="0.2">
      <c r="A711" s="420"/>
      <c r="B711" s="423"/>
      <c r="C711" s="425"/>
      <c r="D711" s="423"/>
      <c r="E711" s="423"/>
      <c r="F711" s="423"/>
      <c r="G711" s="423"/>
      <c r="H711" s="423"/>
      <c r="N711" s="534"/>
    </row>
    <row r="712" spans="1:14" x14ac:dyDescent="0.2">
      <c r="A712" s="420"/>
      <c r="B712" s="423"/>
      <c r="C712" s="425"/>
      <c r="D712" s="423"/>
      <c r="E712" s="423"/>
      <c r="F712" s="423"/>
      <c r="G712" s="423"/>
      <c r="H712" s="423"/>
      <c r="N712" s="534"/>
    </row>
    <row r="713" spans="1:14" x14ac:dyDescent="0.2">
      <c r="A713" s="420"/>
      <c r="B713" s="423"/>
      <c r="C713" s="425"/>
      <c r="D713" s="423"/>
      <c r="E713" s="423"/>
      <c r="F713" s="423"/>
      <c r="G713" s="423"/>
      <c r="H713" s="423"/>
      <c r="N713" s="534"/>
    </row>
    <row r="714" spans="1:14" x14ac:dyDescent="0.2">
      <c r="A714" s="420"/>
      <c r="B714" s="423"/>
      <c r="C714" s="425"/>
      <c r="D714" s="423"/>
      <c r="E714" s="423"/>
      <c r="F714" s="423"/>
      <c r="G714" s="423"/>
      <c r="H714" s="423"/>
      <c r="N714" s="534"/>
    </row>
    <row r="715" spans="1:14" x14ac:dyDescent="0.2">
      <c r="A715" s="420"/>
      <c r="B715" s="423"/>
      <c r="C715" s="425"/>
      <c r="D715" s="423"/>
      <c r="E715" s="423"/>
      <c r="F715" s="423"/>
      <c r="G715" s="423"/>
      <c r="H715" s="423"/>
      <c r="N715" s="534"/>
    </row>
    <row r="716" spans="1:14" x14ac:dyDescent="0.2">
      <c r="A716" s="420"/>
      <c r="B716" s="423"/>
      <c r="C716" s="425"/>
      <c r="D716" s="423"/>
      <c r="E716" s="423"/>
      <c r="F716" s="423"/>
      <c r="G716" s="423"/>
      <c r="H716" s="423"/>
      <c r="N716" s="534"/>
    </row>
    <row r="717" spans="1:14" x14ac:dyDescent="0.2">
      <c r="A717" s="420"/>
      <c r="B717" s="423"/>
      <c r="C717" s="425"/>
      <c r="D717" s="423"/>
      <c r="E717" s="423"/>
      <c r="F717" s="423"/>
      <c r="G717" s="423"/>
      <c r="H717" s="423"/>
      <c r="N717" s="534"/>
    </row>
    <row r="718" spans="1:14" x14ac:dyDescent="0.2">
      <c r="A718" s="420"/>
      <c r="B718" s="423"/>
      <c r="C718" s="425"/>
      <c r="D718" s="423"/>
      <c r="E718" s="423"/>
      <c r="F718" s="423"/>
      <c r="G718" s="423"/>
      <c r="H718" s="423"/>
      <c r="N718" s="534"/>
    </row>
    <row r="719" spans="1:14" x14ac:dyDescent="0.2">
      <c r="A719" s="420"/>
      <c r="B719" s="423"/>
      <c r="C719" s="425"/>
      <c r="D719" s="423"/>
      <c r="E719" s="423"/>
      <c r="F719" s="423"/>
      <c r="G719" s="423"/>
      <c r="H719" s="423"/>
      <c r="N719" s="534"/>
    </row>
    <row r="720" spans="1:14" x14ac:dyDescent="0.2">
      <c r="A720" s="420"/>
      <c r="B720" s="423"/>
      <c r="C720" s="425"/>
      <c r="D720" s="423"/>
      <c r="E720" s="423"/>
      <c r="F720" s="423"/>
      <c r="G720" s="423"/>
      <c r="H720" s="423"/>
      <c r="N720" s="534"/>
    </row>
    <row r="721" spans="1:14" x14ac:dyDescent="0.2">
      <c r="A721" s="420"/>
      <c r="B721" s="423"/>
      <c r="C721" s="425"/>
      <c r="D721" s="423"/>
      <c r="E721" s="423"/>
      <c r="F721" s="423"/>
      <c r="G721" s="423"/>
      <c r="H721" s="423"/>
      <c r="N721" s="534"/>
    </row>
    <row r="722" spans="1:14" x14ac:dyDescent="0.2">
      <c r="A722" s="420"/>
      <c r="B722" s="423"/>
      <c r="C722" s="425"/>
      <c r="D722" s="423"/>
      <c r="E722" s="423"/>
      <c r="F722" s="423"/>
      <c r="G722" s="423"/>
      <c r="H722" s="423"/>
      <c r="N722" s="534"/>
    </row>
    <row r="723" spans="1:14" x14ac:dyDescent="0.2">
      <c r="A723" s="420"/>
      <c r="B723" s="423"/>
      <c r="C723" s="425"/>
      <c r="D723" s="423"/>
      <c r="E723" s="423"/>
      <c r="F723" s="423"/>
      <c r="G723" s="423"/>
      <c r="H723" s="423"/>
      <c r="N723" s="534"/>
    </row>
    <row r="724" spans="1:14" x14ac:dyDescent="0.2">
      <c r="A724" s="420"/>
      <c r="B724" s="423"/>
      <c r="C724" s="425"/>
      <c r="D724" s="423"/>
      <c r="E724" s="423"/>
      <c r="F724" s="423"/>
      <c r="G724" s="423"/>
      <c r="H724" s="423"/>
      <c r="N724" s="534"/>
    </row>
    <row r="725" spans="1:14" x14ac:dyDescent="0.2">
      <c r="A725" s="420"/>
      <c r="B725" s="423"/>
      <c r="C725" s="425"/>
      <c r="D725" s="423"/>
      <c r="E725" s="423"/>
      <c r="F725" s="423"/>
      <c r="G725" s="423"/>
      <c r="H725" s="423"/>
      <c r="N725" s="534"/>
    </row>
    <row r="726" spans="1:14" x14ac:dyDescent="0.2">
      <c r="A726" s="420"/>
      <c r="B726" s="423"/>
      <c r="C726" s="425"/>
      <c r="D726" s="423"/>
      <c r="E726" s="423"/>
      <c r="F726" s="423"/>
      <c r="G726" s="423"/>
      <c r="H726" s="423"/>
      <c r="N726" s="534"/>
    </row>
    <row r="727" spans="1:14" x14ac:dyDescent="0.2">
      <c r="A727" s="420"/>
      <c r="B727" s="423"/>
      <c r="C727" s="425"/>
      <c r="D727" s="423"/>
      <c r="E727" s="423"/>
      <c r="F727" s="423"/>
      <c r="G727" s="423"/>
      <c r="H727" s="423"/>
      <c r="N727" s="534"/>
    </row>
    <row r="728" spans="1:14" x14ac:dyDescent="0.2">
      <c r="A728" s="420"/>
      <c r="B728" s="423"/>
      <c r="C728" s="425"/>
      <c r="D728" s="423"/>
      <c r="E728" s="423"/>
      <c r="F728" s="423"/>
      <c r="G728" s="423"/>
      <c r="H728" s="423"/>
      <c r="N728" s="534"/>
    </row>
    <row r="729" spans="1:14" x14ac:dyDescent="0.2">
      <c r="A729" s="420"/>
      <c r="B729" s="423"/>
      <c r="C729" s="425"/>
      <c r="D729" s="423"/>
      <c r="E729" s="423"/>
      <c r="F729" s="423"/>
      <c r="G729" s="423"/>
      <c r="H729" s="423"/>
      <c r="N729" s="534"/>
    </row>
    <row r="730" spans="1:14" x14ac:dyDescent="0.2">
      <c r="A730" s="420"/>
      <c r="B730" s="423"/>
      <c r="C730" s="425"/>
      <c r="D730" s="423"/>
      <c r="E730" s="423"/>
      <c r="F730" s="423"/>
      <c r="G730" s="423"/>
      <c r="H730" s="423"/>
      <c r="N730" s="534"/>
    </row>
    <row r="731" spans="1:14" x14ac:dyDescent="0.2">
      <c r="A731" s="420"/>
      <c r="B731" s="423"/>
      <c r="C731" s="425"/>
      <c r="D731" s="423"/>
      <c r="E731" s="423"/>
      <c r="F731" s="423"/>
      <c r="G731" s="423"/>
      <c r="H731" s="423"/>
      <c r="N731" s="534"/>
    </row>
    <row r="732" spans="1:14" x14ac:dyDescent="0.2">
      <c r="A732" s="420"/>
      <c r="B732" s="423"/>
      <c r="C732" s="425"/>
      <c r="D732" s="423"/>
      <c r="E732" s="423"/>
      <c r="F732" s="423"/>
      <c r="G732" s="423"/>
      <c r="H732" s="423"/>
      <c r="N732" s="534"/>
    </row>
    <row r="733" spans="1:14" x14ac:dyDescent="0.2">
      <c r="A733" s="420"/>
      <c r="B733" s="423"/>
      <c r="C733" s="425"/>
      <c r="D733" s="423"/>
      <c r="E733" s="423"/>
      <c r="F733" s="423"/>
      <c r="G733" s="423"/>
      <c r="H733" s="423"/>
      <c r="N733" s="534"/>
    </row>
    <row r="734" spans="1:14" x14ac:dyDescent="0.2">
      <c r="A734" s="420"/>
      <c r="B734" s="423"/>
      <c r="C734" s="425"/>
      <c r="D734" s="423"/>
      <c r="E734" s="423"/>
      <c r="F734" s="423"/>
      <c r="G734" s="423"/>
      <c r="H734" s="423"/>
      <c r="N734" s="534"/>
    </row>
    <row r="735" spans="1:14" x14ac:dyDescent="0.2">
      <c r="A735" s="420"/>
      <c r="B735" s="423"/>
      <c r="C735" s="425"/>
      <c r="D735" s="423"/>
      <c r="E735" s="423"/>
      <c r="F735" s="423"/>
      <c r="G735" s="423"/>
      <c r="H735" s="423"/>
      <c r="N735" s="534"/>
    </row>
    <row r="736" spans="1:14" x14ac:dyDescent="0.2">
      <c r="A736" s="420"/>
      <c r="B736" s="423"/>
      <c r="C736" s="425"/>
      <c r="D736" s="423"/>
      <c r="E736" s="423"/>
      <c r="F736" s="423"/>
      <c r="G736" s="423"/>
      <c r="H736" s="423"/>
      <c r="N736" s="534"/>
    </row>
    <row r="737" spans="1:14" x14ac:dyDescent="0.2">
      <c r="A737" s="420"/>
      <c r="B737" s="423"/>
      <c r="C737" s="425"/>
      <c r="D737" s="423"/>
      <c r="E737" s="423"/>
      <c r="F737" s="423"/>
      <c r="G737" s="423"/>
      <c r="H737" s="423"/>
      <c r="N737" s="534"/>
    </row>
    <row r="738" spans="1:14" x14ac:dyDescent="0.2">
      <c r="A738" s="420"/>
      <c r="B738" s="423"/>
      <c r="C738" s="425"/>
      <c r="D738" s="423"/>
      <c r="E738" s="423"/>
      <c r="F738" s="423"/>
      <c r="G738" s="423"/>
      <c r="H738" s="423"/>
      <c r="N738" s="534"/>
    </row>
    <row r="739" spans="1:14" x14ac:dyDescent="0.2">
      <c r="A739" s="420"/>
      <c r="B739" s="423"/>
      <c r="C739" s="425"/>
      <c r="D739" s="423"/>
      <c r="E739" s="423"/>
      <c r="F739" s="423"/>
      <c r="G739" s="423"/>
      <c r="H739" s="423"/>
      <c r="N739" s="534"/>
    </row>
    <row r="740" spans="1:14" x14ac:dyDescent="0.2">
      <c r="A740" s="420"/>
      <c r="B740" s="423"/>
      <c r="C740" s="425"/>
      <c r="D740" s="423"/>
      <c r="E740" s="423"/>
      <c r="F740" s="423"/>
      <c r="G740" s="423"/>
      <c r="H740" s="423"/>
      <c r="N740" s="534"/>
    </row>
    <row r="741" spans="1:14" x14ac:dyDescent="0.2">
      <c r="A741" s="420"/>
      <c r="B741" s="423"/>
      <c r="C741" s="425"/>
      <c r="D741" s="423"/>
      <c r="E741" s="423"/>
      <c r="F741" s="423"/>
      <c r="G741" s="423"/>
      <c r="H741" s="423"/>
      <c r="N741" s="534"/>
    </row>
    <row r="742" spans="1:14" x14ac:dyDescent="0.2">
      <c r="A742" s="420"/>
      <c r="B742" s="423"/>
      <c r="C742" s="425"/>
      <c r="D742" s="423"/>
      <c r="E742" s="423"/>
      <c r="F742" s="423"/>
      <c r="G742" s="423"/>
      <c r="H742" s="423"/>
      <c r="N742" s="534"/>
    </row>
    <row r="743" spans="1:14" x14ac:dyDescent="0.2">
      <c r="A743" s="420"/>
      <c r="B743" s="423"/>
      <c r="C743" s="425"/>
      <c r="D743" s="423"/>
      <c r="E743" s="423"/>
      <c r="F743" s="423"/>
      <c r="G743" s="423"/>
      <c r="H743" s="423"/>
      <c r="N743" s="534"/>
    </row>
    <row r="744" spans="1:14" x14ac:dyDescent="0.2">
      <c r="A744" s="420"/>
      <c r="B744" s="423"/>
      <c r="C744" s="425"/>
      <c r="D744" s="423"/>
      <c r="E744" s="423"/>
      <c r="F744" s="423"/>
      <c r="G744" s="423"/>
      <c r="H744" s="423"/>
      <c r="N744" s="534"/>
    </row>
    <row r="745" spans="1:14" x14ac:dyDescent="0.2">
      <c r="A745" s="420"/>
      <c r="B745" s="423"/>
      <c r="C745" s="425"/>
      <c r="D745" s="423"/>
      <c r="E745" s="423"/>
      <c r="F745" s="423"/>
      <c r="G745" s="423"/>
      <c r="H745" s="423"/>
      <c r="N745" s="534"/>
    </row>
    <row r="746" spans="1:14" x14ac:dyDescent="0.2">
      <c r="A746" s="420"/>
      <c r="B746" s="423"/>
      <c r="C746" s="425"/>
      <c r="D746" s="423"/>
      <c r="E746" s="423"/>
      <c r="F746" s="423"/>
      <c r="G746" s="423"/>
      <c r="H746" s="423"/>
      <c r="N746" s="534"/>
    </row>
    <row r="747" spans="1:14" x14ac:dyDescent="0.2">
      <c r="A747" s="420"/>
      <c r="B747" s="423"/>
      <c r="C747" s="425"/>
      <c r="D747" s="423"/>
      <c r="E747" s="423"/>
      <c r="F747" s="423"/>
      <c r="G747" s="423"/>
      <c r="H747" s="423"/>
      <c r="N747" s="534"/>
    </row>
    <row r="748" spans="1:14" x14ac:dyDescent="0.2">
      <c r="A748" s="420"/>
      <c r="B748" s="423"/>
      <c r="C748" s="425"/>
      <c r="D748" s="423"/>
      <c r="E748" s="423"/>
      <c r="F748" s="423"/>
      <c r="G748" s="423"/>
      <c r="H748" s="423"/>
      <c r="N748" s="534"/>
    </row>
    <row r="749" spans="1:14" x14ac:dyDescent="0.2">
      <c r="A749" s="420"/>
      <c r="B749" s="423"/>
      <c r="C749" s="425"/>
      <c r="D749" s="423"/>
      <c r="E749" s="423"/>
      <c r="F749" s="423"/>
      <c r="G749" s="423"/>
      <c r="H749" s="423"/>
      <c r="N749" s="534"/>
    </row>
    <row r="750" spans="1:14" x14ac:dyDescent="0.2">
      <c r="A750" s="420"/>
      <c r="B750" s="423"/>
      <c r="C750" s="425"/>
      <c r="D750" s="423"/>
      <c r="E750" s="423"/>
      <c r="F750" s="423"/>
      <c r="G750" s="423"/>
      <c r="H750" s="423"/>
      <c r="N750" s="534"/>
    </row>
    <row r="751" spans="1:14" x14ac:dyDescent="0.2">
      <c r="A751" s="420"/>
      <c r="B751" s="423"/>
      <c r="C751" s="425"/>
      <c r="D751" s="423"/>
      <c r="E751" s="423"/>
      <c r="F751" s="423"/>
      <c r="G751" s="423"/>
      <c r="H751" s="423"/>
      <c r="N751" s="534"/>
    </row>
    <row r="752" spans="1:14" x14ac:dyDescent="0.2">
      <c r="A752" s="420"/>
      <c r="B752" s="423"/>
      <c r="C752" s="425"/>
      <c r="D752" s="423"/>
      <c r="E752" s="423"/>
      <c r="F752" s="423"/>
      <c r="G752" s="423"/>
      <c r="H752" s="423"/>
      <c r="N752" s="534"/>
    </row>
    <row r="753" spans="1:14" x14ac:dyDescent="0.2">
      <c r="A753" s="420"/>
      <c r="B753" s="423"/>
      <c r="C753" s="425"/>
      <c r="D753" s="423"/>
      <c r="E753" s="423"/>
      <c r="F753" s="423"/>
      <c r="G753" s="423"/>
      <c r="H753" s="423"/>
      <c r="N753" s="534"/>
    </row>
    <row r="754" spans="1:14" x14ac:dyDescent="0.2">
      <c r="A754" s="420"/>
      <c r="B754" s="423"/>
      <c r="C754" s="425"/>
      <c r="D754" s="423"/>
      <c r="E754" s="423"/>
      <c r="F754" s="423"/>
      <c r="G754" s="423"/>
      <c r="H754" s="423"/>
      <c r="N754" s="534"/>
    </row>
    <row r="755" spans="1:14" x14ac:dyDescent="0.2">
      <c r="A755" s="420"/>
      <c r="B755" s="423"/>
      <c r="C755" s="425"/>
      <c r="D755" s="423"/>
      <c r="E755" s="423"/>
      <c r="F755" s="423"/>
      <c r="G755" s="423"/>
      <c r="H755" s="423"/>
      <c r="N755" s="534"/>
    </row>
    <row r="756" spans="1:14" x14ac:dyDescent="0.2">
      <c r="A756" s="420"/>
      <c r="B756" s="423"/>
      <c r="C756" s="425"/>
      <c r="D756" s="423"/>
      <c r="E756" s="423"/>
      <c r="F756" s="423"/>
      <c r="G756" s="423"/>
      <c r="H756" s="423"/>
      <c r="N756" s="534"/>
    </row>
    <row r="757" spans="1:14" x14ac:dyDescent="0.2">
      <c r="A757" s="420"/>
      <c r="B757" s="423"/>
      <c r="C757" s="425"/>
      <c r="D757" s="423"/>
      <c r="E757" s="423"/>
      <c r="F757" s="423"/>
      <c r="G757" s="423"/>
      <c r="H757" s="423"/>
      <c r="N757" s="534"/>
    </row>
    <row r="758" spans="1:14" x14ac:dyDescent="0.2">
      <c r="A758" s="420"/>
      <c r="B758" s="423"/>
      <c r="C758" s="425"/>
      <c r="D758" s="423"/>
      <c r="E758" s="423"/>
      <c r="F758" s="423"/>
      <c r="G758" s="423"/>
      <c r="H758" s="423"/>
      <c r="N758" s="534"/>
    </row>
    <row r="759" spans="1:14" x14ac:dyDescent="0.2">
      <c r="A759" s="420"/>
      <c r="B759" s="423"/>
      <c r="C759" s="425"/>
      <c r="D759" s="423"/>
      <c r="E759" s="423"/>
      <c r="F759" s="423"/>
      <c r="G759" s="423"/>
      <c r="H759" s="423"/>
      <c r="N759" s="534"/>
    </row>
    <row r="760" spans="1:14" x14ac:dyDescent="0.2">
      <c r="A760" s="420"/>
      <c r="B760" s="423"/>
      <c r="C760" s="425"/>
      <c r="D760" s="423"/>
      <c r="E760" s="423"/>
      <c r="F760" s="423"/>
      <c r="G760" s="423"/>
      <c r="H760" s="423"/>
      <c r="N760" s="534"/>
    </row>
    <row r="761" spans="1:14" x14ac:dyDescent="0.2">
      <c r="A761" s="420"/>
      <c r="B761" s="423"/>
      <c r="C761" s="425"/>
      <c r="D761" s="423"/>
      <c r="E761" s="423"/>
      <c r="F761" s="423"/>
      <c r="G761" s="423"/>
      <c r="H761" s="423"/>
      <c r="N761" s="534"/>
    </row>
    <row r="762" spans="1:14" x14ac:dyDescent="0.2">
      <c r="A762" s="420"/>
      <c r="B762" s="423"/>
      <c r="C762" s="425"/>
      <c r="D762" s="423"/>
      <c r="E762" s="423"/>
      <c r="F762" s="423"/>
      <c r="G762" s="423"/>
      <c r="H762" s="423"/>
      <c r="N762" s="534"/>
    </row>
    <row r="763" spans="1:14" x14ac:dyDescent="0.2">
      <c r="A763" s="420"/>
      <c r="B763" s="423"/>
      <c r="C763" s="425"/>
      <c r="D763" s="423"/>
      <c r="E763" s="423"/>
      <c r="F763" s="423"/>
      <c r="G763" s="423"/>
      <c r="H763" s="423"/>
      <c r="N763" s="534"/>
    </row>
    <row r="764" spans="1:14" x14ac:dyDescent="0.2">
      <c r="A764" s="420"/>
      <c r="B764" s="423"/>
      <c r="C764" s="425"/>
      <c r="D764" s="423"/>
      <c r="E764" s="423"/>
      <c r="F764" s="423"/>
      <c r="G764" s="423"/>
      <c r="H764" s="423"/>
      <c r="N764" s="534"/>
    </row>
    <row r="765" spans="1:14" x14ac:dyDescent="0.2">
      <c r="A765" s="420"/>
      <c r="B765" s="423"/>
      <c r="C765" s="425"/>
      <c r="D765" s="423"/>
      <c r="E765" s="423"/>
      <c r="F765" s="423"/>
      <c r="G765" s="423"/>
      <c r="H765" s="423"/>
      <c r="N765" s="534"/>
    </row>
    <row r="766" spans="1:14" x14ac:dyDescent="0.2">
      <c r="A766" s="420"/>
      <c r="B766" s="423"/>
      <c r="C766" s="425"/>
      <c r="D766" s="423"/>
      <c r="E766" s="423"/>
      <c r="F766" s="423"/>
      <c r="G766" s="423"/>
      <c r="H766" s="423"/>
      <c r="N766" s="534"/>
    </row>
    <row r="767" spans="1:14" x14ac:dyDescent="0.2">
      <c r="A767" s="420"/>
      <c r="B767" s="423"/>
      <c r="C767" s="425"/>
      <c r="D767" s="423"/>
      <c r="E767" s="423"/>
      <c r="F767" s="423"/>
      <c r="G767" s="423"/>
      <c r="H767" s="423"/>
      <c r="N767" s="534"/>
    </row>
    <row r="768" spans="1:14" x14ac:dyDescent="0.2">
      <c r="A768" s="420"/>
      <c r="B768" s="423"/>
      <c r="C768" s="425"/>
      <c r="D768" s="423"/>
      <c r="E768" s="423"/>
      <c r="F768" s="423"/>
      <c r="G768" s="423"/>
      <c r="H768" s="423"/>
      <c r="N768" s="534"/>
    </row>
    <row r="769" spans="1:14" x14ac:dyDescent="0.2">
      <c r="A769" s="420"/>
      <c r="B769" s="423"/>
      <c r="C769" s="425"/>
      <c r="D769" s="423"/>
      <c r="E769" s="423"/>
      <c r="F769" s="423"/>
      <c r="G769" s="423"/>
      <c r="H769" s="423"/>
      <c r="N769" s="534"/>
    </row>
    <row r="770" spans="1:14" x14ac:dyDescent="0.2">
      <c r="A770" s="420"/>
      <c r="B770" s="423"/>
      <c r="C770" s="425"/>
      <c r="D770" s="423"/>
      <c r="E770" s="423"/>
      <c r="F770" s="423"/>
      <c r="G770" s="423"/>
      <c r="H770" s="423"/>
      <c r="N770" s="534"/>
    </row>
    <row r="771" spans="1:14" x14ac:dyDescent="0.2">
      <c r="A771" s="420"/>
      <c r="B771" s="423"/>
      <c r="C771" s="425"/>
      <c r="D771" s="423"/>
      <c r="E771" s="423"/>
      <c r="F771" s="423"/>
      <c r="G771" s="423"/>
      <c r="H771" s="423"/>
      <c r="N771" s="534"/>
    </row>
    <row r="772" spans="1:14" x14ac:dyDescent="0.2">
      <c r="A772" s="420"/>
      <c r="B772" s="423"/>
      <c r="C772" s="425"/>
      <c r="D772" s="423"/>
      <c r="E772" s="423"/>
      <c r="F772" s="423"/>
      <c r="G772" s="423"/>
      <c r="H772" s="423"/>
      <c r="N772" s="534"/>
    </row>
    <row r="773" spans="1:14" x14ac:dyDescent="0.2">
      <c r="A773" s="420"/>
      <c r="B773" s="423"/>
      <c r="C773" s="425"/>
      <c r="D773" s="423"/>
      <c r="E773" s="423"/>
      <c r="F773" s="423"/>
      <c r="G773" s="423"/>
      <c r="H773" s="423"/>
      <c r="N773" s="534"/>
    </row>
    <row r="774" spans="1:14" x14ac:dyDescent="0.2">
      <c r="A774" s="420"/>
      <c r="B774" s="423"/>
      <c r="C774" s="425"/>
      <c r="D774" s="423"/>
      <c r="E774" s="423"/>
      <c r="F774" s="423"/>
      <c r="G774" s="423"/>
      <c r="H774" s="423"/>
      <c r="N774" s="534"/>
    </row>
    <row r="775" spans="1:14" x14ac:dyDescent="0.2">
      <c r="A775" s="420"/>
      <c r="B775" s="423"/>
      <c r="C775" s="425"/>
      <c r="D775" s="423"/>
      <c r="E775" s="423"/>
      <c r="F775" s="423"/>
      <c r="G775" s="423"/>
      <c r="H775" s="423"/>
      <c r="N775" s="534"/>
    </row>
    <row r="776" spans="1:14" x14ac:dyDescent="0.2">
      <c r="A776" s="420"/>
      <c r="B776" s="423"/>
      <c r="C776" s="425"/>
      <c r="D776" s="423"/>
      <c r="E776" s="423"/>
      <c r="F776" s="423"/>
      <c r="G776" s="423"/>
      <c r="H776" s="423"/>
      <c r="N776" s="534"/>
    </row>
    <row r="777" spans="1:14" x14ac:dyDescent="0.2">
      <c r="A777" s="420"/>
      <c r="B777" s="423"/>
      <c r="C777" s="425"/>
      <c r="D777" s="423"/>
      <c r="E777" s="423"/>
      <c r="F777" s="423"/>
      <c r="G777" s="423"/>
      <c r="H777" s="423"/>
      <c r="N777" s="534"/>
    </row>
    <row r="778" spans="1:14" x14ac:dyDescent="0.2">
      <c r="A778" s="420"/>
      <c r="B778" s="423"/>
      <c r="C778" s="425"/>
      <c r="D778" s="423"/>
      <c r="E778" s="423"/>
      <c r="F778" s="423"/>
      <c r="G778" s="423"/>
      <c r="H778" s="423"/>
      <c r="N778" s="534"/>
    </row>
    <row r="779" spans="1:14" x14ac:dyDescent="0.2">
      <c r="A779" s="420"/>
      <c r="B779" s="423"/>
      <c r="C779" s="425"/>
      <c r="D779" s="423"/>
      <c r="E779" s="423"/>
      <c r="F779" s="423"/>
      <c r="G779" s="423"/>
      <c r="H779" s="423"/>
      <c r="N779" s="534"/>
    </row>
    <row r="780" spans="1:14" x14ac:dyDescent="0.2">
      <c r="A780" s="420"/>
      <c r="B780" s="423"/>
      <c r="C780" s="425"/>
      <c r="D780" s="423"/>
      <c r="E780" s="423"/>
      <c r="F780" s="423"/>
      <c r="G780" s="423"/>
      <c r="H780" s="423"/>
      <c r="N780" s="534"/>
    </row>
    <row r="781" spans="1:14" x14ac:dyDescent="0.2">
      <c r="A781" s="420"/>
      <c r="B781" s="423"/>
      <c r="C781" s="425"/>
      <c r="D781" s="423"/>
      <c r="E781" s="423"/>
      <c r="F781" s="423"/>
      <c r="G781" s="423"/>
      <c r="H781" s="423"/>
      <c r="N781" s="534"/>
    </row>
    <row r="782" spans="1:14" x14ac:dyDescent="0.2">
      <c r="A782" s="420"/>
      <c r="B782" s="423"/>
      <c r="C782" s="425"/>
      <c r="D782" s="423"/>
      <c r="E782" s="423"/>
      <c r="F782" s="423"/>
      <c r="G782" s="423"/>
      <c r="H782" s="423"/>
      <c r="N782" s="534"/>
    </row>
    <row r="783" spans="1:14" x14ac:dyDescent="0.2">
      <c r="A783" s="420"/>
      <c r="B783" s="423"/>
      <c r="C783" s="425"/>
      <c r="D783" s="423"/>
      <c r="E783" s="423"/>
      <c r="F783" s="423"/>
      <c r="G783" s="423"/>
      <c r="H783" s="423"/>
      <c r="N783" s="534"/>
    </row>
    <row r="784" spans="1:14" x14ac:dyDescent="0.2">
      <c r="A784" s="420"/>
      <c r="B784" s="423"/>
      <c r="C784" s="425"/>
      <c r="D784" s="423"/>
      <c r="E784" s="423"/>
      <c r="F784" s="423"/>
      <c r="G784" s="423"/>
      <c r="H784" s="423"/>
      <c r="N784" s="534"/>
    </row>
    <row r="785" spans="1:14" x14ac:dyDescent="0.2">
      <c r="A785" s="420"/>
      <c r="B785" s="423"/>
      <c r="C785" s="425"/>
      <c r="D785" s="423"/>
      <c r="E785" s="423"/>
      <c r="F785" s="423"/>
      <c r="G785" s="423"/>
      <c r="H785" s="423"/>
      <c r="N785" s="534"/>
    </row>
    <row r="786" spans="1:14" x14ac:dyDescent="0.2">
      <c r="A786" s="420"/>
      <c r="B786" s="423"/>
      <c r="C786" s="425"/>
      <c r="D786" s="423"/>
      <c r="E786" s="423"/>
      <c r="F786" s="423"/>
      <c r="G786" s="423"/>
      <c r="H786" s="423"/>
      <c r="N786" s="534"/>
    </row>
    <row r="787" spans="1:14" x14ac:dyDescent="0.2">
      <c r="A787" s="420"/>
      <c r="B787" s="423"/>
      <c r="C787" s="425"/>
      <c r="D787" s="423"/>
      <c r="E787" s="423"/>
      <c r="F787" s="423"/>
      <c r="G787" s="423"/>
      <c r="H787" s="423"/>
      <c r="N787" s="534"/>
    </row>
    <row r="788" spans="1:14" x14ac:dyDescent="0.2">
      <c r="A788" s="420"/>
      <c r="B788" s="423"/>
      <c r="C788" s="425"/>
      <c r="D788" s="423"/>
      <c r="E788" s="423"/>
      <c r="F788" s="423"/>
      <c r="G788" s="423"/>
      <c r="H788" s="423"/>
      <c r="N788" s="534"/>
    </row>
    <row r="789" spans="1:14" x14ac:dyDescent="0.2">
      <c r="A789" s="420"/>
      <c r="B789" s="423"/>
      <c r="C789" s="425"/>
      <c r="D789" s="423"/>
      <c r="E789" s="423"/>
      <c r="F789" s="423"/>
      <c r="G789" s="423"/>
      <c r="H789" s="423"/>
      <c r="N789" s="534"/>
    </row>
    <row r="790" spans="1:14" x14ac:dyDescent="0.2">
      <c r="A790" s="420"/>
      <c r="B790" s="423"/>
      <c r="C790" s="425"/>
      <c r="D790" s="423"/>
      <c r="E790" s="423"/>
      <c r="F790" s="423"/>
      <c r="G790" s="423"/>
      <c r="H790" s="423"/>
      <c r="N790" s="534"/>
    </row>
    <row r="791" spans="1:14" x14ac:dyDescent="0.2">
      <c r="A791" s="420"/>
      <c r="B791" s="423"/>
      <c r="C791" s="425"/>
      <c r="D791" s="423"/>
      <c r="E791" s="423"/>
      <c r="F791" s="423"/>
      <c r="G791" s="423"/>
      <c r="H791" s="423"/>
      <c r="N791" s="534"/>
    </row>
    <row r="792" spans="1:14" x14ac:dyDescent="0.2">
      <c r="A792" s="420"/>
      <c r="B792" s="423"/>
      <c r="C792" s="425"/>
      <c r="D792" s="423"/>
      <c r="E792" s="423"/>
      <c r="F792" s="423"/>
      <c r="G792" s="423"/>
      <c r="H792" s="423"/>
      <c r="N792" s="534"/>
    </row>
    <row r="793" spans="1:14" x14ac:dyDescent="0.2">
      <c r="A793" s="420"/>
      <c r="B793" s="423"/>
      <c r="C793" s="425"/>
      <c r="D793" s="423"/>
      <c r="E793" s="423"/>
      <c r="F793" s="423"/>
      <c r="G793" s="423"/>
      <c r="H793" s="423"/>
      <c r="N793" s="534"/>
    </row>
    <row r="794" spans="1:14" x14ac:dyDescent="0.2">
      <c r="A794" s="420"/>
      <c r="B794" s="423"/>
      <c r="C794" s="425"/>
      <c r="D794" s="423"/>
      <c r="E794" s="423"/>
      <c r="F794" s="423"/>
      <c r="G794" s="423"/>
      <c r="H794" s="423"/>
      <c r="N794" s="534"/>
    </row>
    <row r="795" spans="1:14" x14ac:dyDescent="0.2">
      <c r="A795" s="420"/>
      <c r="B795" s="423"/>
      <c r="C795" s="425"/>
      <c r="D795" s="423"/>
      <c r="E795" s="423"/>
      <c r="F795" s="423"/>
      <c r="G795" s="423"/>
      <c r="H795" s="423"/>
      <c r="N795" s="534"/>
    </row>
    <row r="796" spans="1:14" x14ac:dyDescent="0.2">
      <c r="A796" s="420"/>
      <c r="B796" s="423"/>
      <c r="C796" s="425"/>
      <c r="D796" s="423"/>
      <c r="E796" s="423"/>
      <c r="F796" s="423"/>
      <c r="G796" s="423"/>
      <c r="H796" s="423"/>
      <c r="N796" s="534"/>
    </row>
    <row r="797" spans="1:14" x14ac:dyDescent="0.2">
      <c r="A797" s="420"/>
      <c r="B797" s="423"/>
      <c r="C797" s="425"/>
      <c r="D797" s="423"/>
      <c r="E797" s="423"/>
      <c r="F797" s="423"/>
      <c r="G797" s="423"/>
      <c r="H797" s="423"/>
      <c r="N797" s="534"/>
    </row>
    <row r="798" spans="1:14" x14ac:dyDescent="0.2">
      <c r="A798" s="420"/>
      <c r="B798" s="423"/>
      <c r="C798" s="425"/>
      <c r="D798" s="423"/>
      <c r="E798" s="423"/>
      <c r="F798" s="423"/>
      <c r="G798" s="423"/>
      <c r="H798" s="423"/>
      <c r="N798" s="534"/>
    </row>
    <row r="799" spans="1:14" x14ac:dyDescent="0.2">
      <c r="A799" s="420"/>
      <c r="B799" s="423"/>
      <c r="C799" s="425"/>
      <c r="D799" s="423"/>
      <c r="E799" s="423"/>
      <c r="F799" s="423"/>
      <c r="G799" s="423"/>
      <c r="H799" s="423"/>
      <c r="N799" s="534"/>
    </row>
    <row r="800" spans="1:14" x14ac:dyDescent="0.2">
      <c r="A800" s="420"/>
      <c r="B800" s="423"/>
      <c r="C800" s="425"/>
      <c r="D800" s="423"/>
      <c r="E800" s="423"/>
      <c r="F800" s="423"/>
      <c r="G800" s="423"/>
      <c r="H800" s="423"/>
      <c r="N800" s="534"/>
    </row>
    <row r="801" spans="1:14" x14ac:dyDescent="0.2">
      <c r="A801" s="420"/>
      <c r="B801" s="423"/>
      <c r="C801" s="425"/>
      <c r="D801" s="423"/>
      <c r="E801" s="423"/>
      <c r="F801" s="423"/>
      <c r="G801" s="423"/>
      <c r="H801" s="423"/>
      <c r="N801" s="534"/>
    </row>
    <row r="802" spans="1:14" x14ac:dyDescent="0.2">
      <c r="A802" s="420"/>
      <c r="B802" s="423"/>
      <c r="C802" s="425"/>
      <c r="D802" s="423"/>
      <c r="E802" s="423"/>
      <c r="F802" s="423"/>
      <c r="G802" s="423"/>
      <c r="H802" s="423"/>
      <c r="N802" s="534"/>
    </row>
    <row r="803" spans="1:14" x14ac:dyDescent="0.2">
      <c r="A803" s="420"/>
      <c r="B803" s="423"/>
      <c r="C803" s="425"/>
      <c r="D803" s="423"/>
      <c r="E803" s="423"/>
      <c r="F803" s="423"/>
      <c r="G803" s="423"/>
      <c r="H803" s="423"/>
      <c r="N803" s="534"/>
    </row>
    <row r="804" spans="1:14" x14ac:dyDescent="0.2">
      <c r="A804" s="420"/>
      <c r="B804" s="423"/>
      <c r="C804" s="425"/>
      <c r="D804" s="423"/>
      <c r="E804" s="423"/>
      <c r="F804" s="423"/>
      <c r="G804" s="423"/>
      <c r="H804" s="423"/>
      <c r="N804" s="534"/>
    </row>
    <row r="805" spans="1:14" x14ac:dyDescent="0.2">
      <c r="A805" s="420"/>
      <c r="B805" s="423"/>
      <c r="C805" s="425"/>
      <c r="D805" s="423"/>
      <c r="E805" s="423"/>
      <c r="F805" s="423"/>
      <c r="G805" s="423"/>
      <c r="H805" s="423"/>
      <c r="N805" s="534"/>
    </row>
    <row r="806" spans="1:14" x14ac:dyDescent="0.2">
      <c r="A806" s="420"/>
      <c r="B806" s="423"/>
      <c r="C806" s="425"/>
      <c r="D806" s="423"/>
      <c r="E806" s="423"/>
      <c r="F806" s="423"/>
      <c r="G806" s="423"/>
      <c r="H806" s="423"/>
      <c r="N806" s="534"/>
    </row>
    <row r="807" spans="1:14" x14ac:dyDescent="0.2">
      <c r="A807" s="420"/>
      <c r="B807" s="423"/>
      <c r="C807" s="425"/>
      <c r="D807" s="423"/>
      <c r="E807" s="423"/>
      <c r="F807" s="423"/>
      <c r="G807" s="423"/>
      <c r="H807" s="423"/>
      <c r="N807" s="534"/>
    </row>
    <row r="808" spans="1:14" x14ac:dyDescent="0.2">
      <c r="A808" s="420"/>
      <c r="B808" s="423"/>
      <c r="C808" s="425"/>
      <c r="D808" s="423"/>
      <c r="E808" s="423"/>
      <c r="F808" s="423"/>
      <c r="G808" s="423"/>
      <c r="H808" s="423"/>
      <c r="N808" s="534"/>
    </row>
    <row r="809" spans="1:14" x14ac:dyDescent="0.2">
      <c r="A809" s="420"/>
      <c r="B809" s="423"/>
      <c r="C809" s="425"/>
      <c r="D809" s="423"/>
      <c r="E809" s="423"/>
      <c r="F809" s="423"/>
      <c r="G809" s="423"/>
      <c r="H809" s="423"/>
      <c r="N809" s="534"/>
    </row>
    <row r="810" spans="1:14" x14ac:dyDescent="0.2">
      <c r="A810" s="420"/>
      <c r="B810" s="423"/>
      <c r="C810" s="425"/>
      <c r="D810" s="423"/>
      <c r="E810" s="423"/>
      <c r="F810" s="423"/>
      <c r="G810" s="423"/>
      <c r="H810" s="423"/>
      <c r="N810" s="534"/>
    </row>
    <row r="811" spans="1:14" x14ac:dyDescent="0.2">
      <c r="A811" s="420"/>
      <c r="B811" s="423"/>
      <c r="C811" s="425"/>
      <c r="D811" s="423"/>
      <c r="E811" s="423"/>
      <c r="F811" s="423"/>
      <c r="G811" s="423"/>
      <c r="H811" s="423"/>
      <c r="N811" s="534"/>
    </row>
    <row r="812" spans="1:14" x14ac:dyDescent="0.2">
      <c r="A812" s="420"/>
      <c r="B812" s="423"/>
      <c r="C812" s="425"/>
      <c r="D812" s="423"/>
      <c r="E812" s="423"/>
      <c r="F812" s="423"/>
      <c r="G812" s="423"/>
      <c r="H812" s="423"/>
      <c r="N812" s="534"/>
    </row>
    <row r="813" spans="1:14" x14ac:dyDescent="0.2">
      <c r="A813" s="420"/>
      <c r="B813" s="423"/>
      <c r="C813" s="425"/>
      <c r="D813" s="423"/>
      <c r="E813" s="423"/>
      <c r="F813" s="423"/>
      <c r="G813" s="423"/>
      <c r="H813" s="423"/>
      <c r="N813" s="534"/>
    </row>
    <row r="814" spans="1:14" x14ac:dyDescent="0.2">
      <c r="A814" s="420"/>
      <c r="B814" s="423"/>
      <c r="C814" s="425"/>
      <c r="D814" s="423"/>
      <c r="E814" s="423"/>
      <c r="F814" s="423"/>
      <c r="G814" s="423"/>
      <c r="H814" s="423"/>
      <c r="N814" s="534"/>
    </row>
    <row r="815" spans="1:14" x14ac:dyDescent="0.2">
      <c r="A815" s="420"/>
      <c r="B815" s="423"/>
      <c r="C815" s="425"/>
      <c r="D815" s="423"/>
      <c r="E815" s="423"/>
      <c r="F815" s="423"/>
      <c r="G815" s="423"/>
      <c r="H815" s="423"/>
      <c r="N815" s="534"/>
    </row>
    <row r="816" spans="1:14" x14ac:dyDescent="0.2">
      <c r="A816" s="420"/>
      <c r="B816" s="423"/>
      <c r="C816" s="425"/>
      <c r="D816" s="423"/>
      <c r="E816" s="423"/>
      <c r="F816" s="423"/>
      <c r="G816" s="423"/>
      <c r="H816" s="423"/>
      <c r="N816" s="534"/>
    </row>
    <row r="817" spans="1:14" x14ac:dyDescent="0.2">
      <c r="A817" s="420"/>
      <c r="B817" s="423"/>
      <c r="C817" s="425"/>
      <c r="D817" s="423"/>
      <c r="E817" s="423"/>
      <c r="F817" s="423"/>
      <c r="G817" s="423"/>
      <c r="H817" s="423"/>
      <c r="N817" s="534"/>
    </row>
    <row r="818" spans="1:14" x14ac:dyDescent="0.2">
      <c r="A818" s="420"/>
      <c r="B818" s="423"/>
      <c r="C818" s="425"/>
      <c r="D818" s="423"/>
      <c r="E818" s="423"/>
      <c r="F818" s="423"/>
      <c r="G818" s="423"/>
      <c r="H818" s="423"/>
      <c r="N818" s="534"/>
    </row>
    <row r="819" spans="1:14" x14ac:dyDescent="0.2">
      <c r="A819" s="420"/>
      <c r="B819" s="423"/>
      <c r="C819" s="425"/>
      <c r="D819" s="423"/>
      <c r="E819" s="423"/>
      <c r="F819" s="423"/>
      <c r="G819" s="423"/>
      <c r="H819" s="423"/>
      <c r="N819" s="534"/>
    </row>
    <row r="820" spans="1:14" x14ac:dyDescent="0.2">
      <c r="A820" s="420"/>
      <c r="B820" s="423"/>
      <c r="C820" s="425"/>
      <c r="D820" s="423"/>
      <c r="E820" s="423"/>
      <c r="F820" s="423"/>
      <c r="G820" s="423"/>
      <c r="H820" s="423"/>
      <c r="N820" s="534"/>
    </row>
    <row r="821" spans="1:14" x14ac:dyDescent="0.2">
      <c r="A821" s="420"/>
      <c r="B821" s="423"/>
      <c r="C821" s="425"/>
      <c r="D821" s="423"/>
      <c r="E821" s="423"/>
      <c r="F821" s="423"/>
      <c r="G821" s="423"/>
      <c r="H821" s="423"/>
      <c r="N821" s="534"/>
    </row>
    <row r="822" spans="1:14" x14ac:dyDescent="0.2">
      <c r="A822" s="420"/>
      <c r="B822" s="423"/>
      <c r="C822" s="425"/>
      <c r="D822" s="423"/>
      <c r="E822" s="423"/>
      <c r="F822" s="423"/>
      <c r="G822" s="423"/>
      <c r="H822" s="423"/>
      <c r="N822" s="534"/>
    </row>
    <row r="823" spans="1:14" x14ac:dyDescent="0.2">
      <c r="A823" s="420"/>
      <c r="B823" s="423"/>
      <c r="C823" s="425"/>
      <c r="D823" s="423"/>
      <c r="E823" s="423"/>
      <c r="F823" s="423"/>
      <c r="G823" s="423"/>
      <c r="H823" s="423"/>
      <c r="N823" s="534"/>
    </row>
    <row r="824" spans="1:14" x14ac:dyDescent="0.2">
      <c r="A824" s="420"/>
      <c r="B824" s="423"/>
      <c r="C824" s="425"/>
      <c r="D824" s="423"/>
      <c r="E824" s="423"/>
      <c r="F824" s="423"/>
      <c r="G824" s="423"/>
      <c r="H824" s="423"/>
      <c r="N824" s="534"/>
    </row>
    <row r="825" spans="1:14" x14ac:dyDescent="0.2">
      <c r="A825" s="420"/>
      <c r="B825" s="423"/>
      <c r="C825" s="425"/>
      <c r="D825" s="423"/>
      <c r="E825" s="423"/>
      <c r="F825" s="423"/>
      <c r="G825" s="423"/>
      <c r="H825" s="423"/>
      <c r="N825" s="534"/>
    </row>
    <row r="826" spans="1:14" x14ac:dyDescent="0.2">
      <c r="A826" s="420"/>
      <c r="B826" s="423"/>
      <c r="C826" s="425"/>
      <c r="D826" s="423"/>
      <c r="E826" s="423"/>
      <c r="F826" s="423"/>
      <c r="G826" s="423"/>
      <c r="H826" s="423"/>
      <c r="N826" s="534"/>
    </row>
    <row r="827" spans="1:14" x14ac:dyDescent="0.2">
      <c r="A827" s="420"/>
      <c r="B827" s="423"/>
      <c r="C827" s="425"/>
      <c r="D827" s="423"/>
      <c r="E827" s="423"/>
      <c r="F827" s="423"/>
      <c r="G827" s="423"/>
      <c r="H827" s="423"/>
      <c r="N827" s="534"/>
    </row>
    <row r="828" spans="1:14" x14ac:dyDescent="0.2">
      <c r="A828" s="420"/>
      <c r="B828" s="423"/>
      <c r="C828" s="425"/>
      <c r="D828" s="423"/>
      <c r="E828" s="423"/>
      <c r="F828" s="423"/>
      <c r="G828" s="423"/>
      <c r="H828" s="423"/>
      <c r="N828" s="534"/>
    </row>
    <row r="829" spans="1:14" x14ac:dyDescent="0.2">
      <c r="A829" s="420"/>
      <c r="B829" s="423"/>
      <c r="C829" s="425"/>
      <c r="D829" s="423"/>
      <c r="E829" s="423"/>
      <c r="F829" s="423"/>
      <c r="G829" s="423"/>
      <c r="H829" s="423"/>
      <c r="N829" s="534"/>
    </row>
    <row r="830" spans="1:14" x14ac:dyDescent="0.2">
      <c r="A830" s="420"/>
      <c r="B830" s="423"/>
      <c r="C830" s="425"/>
      <c r="D830" s="423"/>
      <c r="E830" s="423"/>
      <c r="F830" s="423"/>
      <c r="G830" s="423"/>
      <c r="H830" s="423"/>
      <c r="N830" s="534"/>
    </row>
    <row r="831" spans="1:14" x14ac:dyDescent="0.2">
      <c r="A831" s="420"/>
      <c r="B831" s="423"/>
      <c r="C831" s="425"/>
      <c r="D831" s="423"/>
      <c r="E831" s="423"/>
      <c r="F831" s="423"/>
      <c r="G831" s="423"/>
      <c r="H831" s="423"/>
      <c r="N831" s="534"/>
    </row>
    <row r="832" spans="1:14" x14ac:dyDescent="0.2">
      <c r="A832" s="420"/>
      <c r="B832" s="423"/>
      <c r="C832" s="425"/>
      <c r="D832" s="423"/>
      <c r="E832" s="423"/>
      <c r="F832" s="423"/>
      <c r="G832" s="423"/>
      <c r="H832" s="423"/>
      <c r="N832" s="534"/>
    </row>
    <row r="833" spans="1:14" x14ac:dyDescent="0.2">
      <c r="A833" s="420"/>
      <c r="B833" s="423"/>
      <c r="C833" s="425"/>
      <c r="D833" s="423"/>
      <c r="E833" s="423"/>
      <c r="F833" s="423"/>
      <c r="G833" s="423"/>
      <c r="H833" s="423"/>
      <c r="N833" s="534"/>
    </row>
    <row r="834" spans="1:14" x14ac:dyDescent="0.2">
      <c r="A834" s="420"/>
      <c r="B834" s="423"/>
      <c r="C834" s="425"/>
      <c r="D834" s="423"/>
      <c r="E834" s="423"/>
      <c r="F834" s="423"/>
      <c r="G834" s="423"/>
      <c r="H834" s="423"/>
      <c r="N834" s="534"/>
    </row>
    <row r="835" spans="1:14" x14ac:dyDescent="0.2">
      <c r="A835" s="420"/>
      <c r="B835" s="423"/>
      <c r="C835" s="425"/>
      <c r="D835" s="423"/>
      <c r="E835" s="423"/>
      <c r="F835" s="423"/>
      <c r="G835" s="423"/>
      <c r="H835" s="423"/>
      <c r="N835" s="534"/>
    </row>
    <row r="836" spans="1:14" x14ac:dyDescent="0.2">
      <c r="A836" s="420"/>
      <c r="B836" s="423"/>
      <c r="C836" s="425"/>
      <c r="D836" s="423"/>
      <c r="E836" s="423"/>
      <c r="F836" s="423"/>
      <c r="G836" s="423"/>
      <c r="H836" s="423"/>
      <c r="N836" s="534"/>
    </row>
    <row r="837" spans="1:14" x14ac:dyDescent="0.2">
      <c r="A837" s="420"/>
      <c r="B837" s="423"/>
      <c r="C837" s="425"/>
      <c r="D837" s="423"/>
      <c r="E837" s="423"/>
      <c r="F837" s="423"/>
      <c r="G837" s="423"/>
      <c r="H837" s="423"/>
      <c r="N837" s="534"/>
    </row>
    <row r="838" spans="1:14" x14ac:dyDescent="0.2">
      <c r="A838" s="420"/>
      <c r="B838" s="423"/>
      <c r="C838" s="425"/>
      <c r="D838" s="423"/>
      <c r="E838" s="423"/>
      <c r="F838" s="423"/>
      <c r="G838" s="423"/>
      <c r="H838" s="423"/>
      <c r="N838" s="534"/>
    </row>
    <row r="839" spans="1:14" x14ac:dyDescent="0.2">
      <c r="A839" s="420"/>
      <c r="B839" s="423"/>
      <c r="C839" s="425"/>
      <c r="D839" s="423"/>
      <c r="E839" s="423"/>
      <c r="F839" s="423"/>
      <c r="G839" s="423"/>
      <c r="H839" s="423"/>
      <c r="N839" s="534"/>
    </row>
    <row r="840" spans="1:14" x14ac:dyDescent="0.2">
      <c r="A840" s="420"/>
      <c r="B840" s="423"/>
      <c r="C840" s="425"/>
      <c r="D840" s="423"/>
      <c r="E840" s="423"/>
      <c r="F840" s="423"/>
      <c r="G840" s="423"/>
      <c r="H840" s="423"/>
      <c r="N840" s="534"/>
    </row>
    <row r="841" spans="1:14" x14ac:dyDescent="0.2">
      <c r="A841" s="420"/>
      <c r="B841" s="423"/>
      <c r="C841" s="425"/>
      <c r="D841" s="423"/>
      <c r="E841" s="423"/>
      <c r="F841" s="423"/>
      <c r="G841" s="423"/>
      <c r="H841" s="423"/>
      <c r="N841" s="534"/>
    </row>
    <row r="842" spans="1:14" x14ac:dyDescent="0.2">
      <c r="A842" s="420"/>
      <c r="B842" s="423"/>
      <c r="C842" s="425"/>
      <c r="D842" s="423"/>
      <c r="E842" s="423"/>
      <c r="F842" s="423"/>
      <c r="G842" s="423"/>
      <c r="H842" s="423"/>
      <c r="N842" s="534"/>
    </row>
    <row r="843" spans="1:14" x14ac:dyDescent="0.2">
      <c r="A843" s="420"/>
      <c r="B843" s="423"/>
      <c r="C843" s="425"/>
      <c r="D843" s="423"/>
      <c r="E843" s="423"/>
      <c r="F843" s="423"/>
      <c r="G843" s="423"/>
      <c r="H843" s="423"/>
      <c r="N843" s="534"/>
    </row>
    <row r="844" spans="1:14" x14ac:dyDescent="0.2">
      <c r="A844" s="420"/>
      <c r="B844" s="423"/>
      <c r="C844" s="425"/>
      <c r="D844" s="423"/>
      <c r="E844" s="423"/>
      <c r="F844" s="423"/>
      <c r="G844" s="423"/>
      <c r="H844" s="423"/>
      <c r="N844" s="534"/>
    </row>
    <row r="845" spans="1:14" x14ac:dyDescent="0.2">
      <c r="A845" s="420"/>
      <c r="B845" s="423"/>
      <c r="C845" s="425"/>
      <c r="D845" s="423"/>
      <c r="E845" s="423"/>
      <c r="F845" s="423"/>
      <c r="G845" s="423"/>
      <c r="H845" s="423"/>
      <c r="N845" s="534"/>
    </row>
    <row r="846" spans="1:14" x14ac:dyDescent="0.2">
      <c r="A846" s="420"/>
      <c r="B846" s="423"/>
      <c r="C846" s="425"/>
      <c r="D846" s="423"/>
      <c r="E846" s="423"/>
      <c r="F846" s="423"/>
      <c r="G846" s="423"/>
      <c r="H846" s="423"/>
      <c r="N846" s="534"/>
    </row>
    <row r="847" spans="1:14" x14ac:dyDescent="0.2">
      <c r="A847" s="420"/>
      <c r="B847" s="423"/>
      <c r="C847" s="425"/>
      <c r="D847" s="423"/>
      <c r="E847" s="423"/>
      <c r="F847" s="423"/>
      <c r="G847" s="423"/>
      <c r="H847" s="423"/>
      <c r="N847" s="534"/>
    </row>
    <row r="848" spans="1:14" x14ac:dyDescent="0.2">
      <c r="A848" s="420"/>
      <c r="B848" s="423"/>
      <c r="C848" s="425"/>
      <c r="D848" s="423"/>
      <c r="E848" s="423"/>
      <c r="F848" s="423"/>
      <c r="G848" s="423"/>
      <c r="H848" s="423"/>
      <c r="N848" s="534"/>
    </row>
    <row r="849" spans="1:14" x14ac:dyDescent="0.2">
      <c r="A849" s="420"/>
      <c r="B849" s="423"/>
      <c r="C849" s="425"/>
      <c r="D849" s="423"/>
      <c r="E849" s="423"/>
      <c r="F849" s="423"/>
      <c r="G849" s="423"/>
      <c r="H849" s="423"/>
      <c r="N849" s="534"/>
    </row>
    <row r="850" spans="1:14" x14ac:dyDescent="0.2">
      <c r="A850" s="420"/>
      <c r="B850" s="423"/>
      <c r="C850" s="425"/>
      <c r="D850" s="423"/>
      <c r="E850" s="423"/>
      <c r="F850" s="423"/>
      <c r="G850" s="423"/>
      <c r="H850" s="423"/>
      <c r="N850" s="534"/>
    </row>
    <row r="851" spans="1:14" x14ac:dyDescent="0.2">
      <c r="A851" s="420"/>
      <c r="B851" s="423"/>
      <c r="C851" s="425"/>
      <c r="D851" s="423"/>
      <c r="E851" s="423"/>
      <c r="F851" s="423"/>
      <c r="G851" s="423"/>
      <c r="H851" s="423"/>
      <c r="N851" s="534"/>
    </row>
    <row r="852" spans="1:14" x14ac:dyDescent="0.2">
      <c r="A852" s="420"/>
      <c r="B852" s="423"/>
      <c r="C852" s="425"/>
      <c r="D852" s="423"/>
      <c r="E852" s="423"/>
      <c r="F852" s="423"/>
      <c r="G852" s="423"/>
      <c r="H852" s="423"/>
      <c r="N852" s="534"/>
    </row>
    <row r="853" spans="1:14" x14ac:dyDescent="0.2">
      <c r="A853" s="420"/>
      <c r="B853" s="423"/>
      <c r="C853" s="425"/>
      <c r="D853" s="423"/>
      <c r="E853" s="423"/>
      <c r="F853" s="423"/>
      <c r="G853" s="423"/>
      <c r="H853" s="423"/>
      <c r="N853" s="534"/>
    </row>
    <row r="854" spans="1:14" x14ac:dyDescent="0.2">
      <c r="A854" s="420"/>
      <c r="B854" s="423"/>
      <c r="C854" s="425"/>
      <c r="D854" s="423"/>
      <c r="E854" s="423"/>
      <c r="F854" s="423"/>
      <c r="G854" s="423"/>
      <c r="H854" s="423"/>
      <c r="N854" s="534"/>
    </row>
    <row r="855" spans="1:14" x14ac:dyDescent="0.2">
      <c r="A855" s="420"/>
      <c r="B855" s="423"/>
      <c r="C855" s="425"/>
      <c r="D855" s="423"/>
      <c r="E855" s="423"/>
      <c r="F855" s="423"/>
      <c r="G855" s="423"/>
      <c r="H855" s="423"/>
      <c r="N855" s="534"/>
    </row>
    <row r="856" spans="1:14" x14ac:dyDescent="0.2">
      <c r="A856" s="420"/>
      <c r="B856" s="423"/>
      <c r="C856" s="425"/>
      <c r="D856" s="423"/>
      <c r="E856" s="423"/>
      <c r="F856" s="423"/>
      <c r="G856" s="423"/>
      <c r="H856" s="423"/>
      <c r="N856" s="534"/>
    </row>
    <row r="857" spans="1:14" x14ac:dyDescent="0.2">
      <c r="A857" s="420"/>
      <c r="B857" s="423"/>
      <c r="C857" s="425"/>
      <c r="D857" s="423"/>
      <c r="E857" s="423"/>
      <c r="F857" s="423"/>
      <c r="G857" s="423"/>
      <c r="H857" s="423"/>
      <c r="N857" s="534"/>
    </row>
    <row r="858" spans="1:14" x14ac:dyDescent="0.2">
      <c r="A858" s="420"/>
      <c r="B858" s="423"/>
      <c r="C858" s="425"/>
      <c r="D858" s="423"/>
      <c r="E858" s="423"/>
      <c r="F858" s="423"/>
      <c r="G858" s="423"/>
      <c r="H858" s="423"/>
      <c r="N858" s="534"/>
    </row>
    <row r="859" spans="1:14" x14ac:dyDescent="0.2">
      <c r="A859" s="420"/>
      <c r="B859" s="423"/>
      <c r="C859" s="425"/>
      <c r="D859" s="423"/>
      <c r="E859" s="423"/>
      <c r="F859" s="423"/>
      <c r="G859" s="423"/>
      <c r="H859" s="423"/>
      <c r="N859" s="534"/>
    </row>
    <row r="860" spans="1:14" x14ac:dyDescent="0.2">
      <c r="A860" s="420"/>
      <c r="B860" s="423"/>
      <c r="C860" s="425"/>
      <c r="D860" s="423"/>
      <c r="E860" s="423"/>
      <c r="F860" s="423"/>
      <c r="G860" s="423"/>
      <c r="H860" s="423"/>
      <c r="N860" s="534"/>
    </row>
    <row r="861" spans="1:14" x14ac:dyDescent="0.2">
      <c r="A861" s="420"/>
      <c r="B861" s="423"/>
      <c r="C861" s="425"/>
      <c r="D861" s="423"/>
      <c r="E861" s="423"/>
      <c r="F861" s="423"/>
      <c r="G861" s="423"/>
      <c r="H861" s="423"/>
      <c r="N861" s="534"/>
    </row>
    <row r="862" spans="1:14" x14ac:dyDescent="0.2">
      <c r="A862" s="420"/>
      <c r="B862" s="423"/>
      <c r="C862" s="425"/>
      <c r="D862" s="423"/>
      <c r="E862" s="423"/>
      <c r="F862" s="423"/>
      <c r="G862" s="423"/>
      <c r="H862" s="423"/>
      <c r="N862" s="534"/>
    </row>
    <row r="863" spans="1:14" x14ac:dyDescent="0.2">
      <c r="A863" s="420"/>
      <c r="B863" s="423"/>
      <c r="C863" s="425"/>
      <c r="D863" s="423"/>
      <c r="E863" s="423"/>
      <c r="F863" s="423"/>
      <c r="G863" s="423"/>
      <c r="H863" s="423"/>
      <c r="N863" s="534"/>
    </row>
    <row r="864" spans="1:14" x14ac:dyDescent="0.2">
      <c r="A864" s="420"/>
      <c r="B864" s="423"/>
      <c r="C864" s="425"/>
      <c r="D864" s="423"/>
      <c r="E864" s="423"/>
      <c r="F864" s="423"/>
      <c r="G864" s="423"/>
      <c r="H864" s="423"/>
      <c r="N864" s="534"/>
    </row>
    <row r="865" spans="1:14" x14ac:dyDescent="0.2">
      <c r="A865" s="420"/>
      <c r="B865" s="423"/>
      <c r="C865" s="425"/>
      <c r="D865" s="423"/>
      <c r="E865" s="423"/>
      <c r="F865" s="423"/>
      <c r="G865" s="423"/>
      <c r="H865" s="423"/>
      <c r="N865" s="534"/>
    </row>
    <row r="866" spans="1:14" x14ac:dyDescent="0.2">
      <c r="A866" s="420"/>
      <c r="B866" s="423"/>
      <c r="C866" s="425"/>
      <c r="D866" s="423"/>
      <c r="E866" s="423"/>
      <c r="F866" s="423"/>
      <c r="G866" s="423"/>
      <c r="H866" s="423"/>
      <c r="N866" s="534"/>
    </row>
    <row r="867" spans="1:14" x14ac:dyDescent="0.2">
      <c r="A867" s="420"/>
      <c r="B867" s="423"/>
      <c r="C867" s="425"/>
      <c r="D867" s="423"/>
      <c r="E867" s="423"/>
      <c r="F867" s="423"/>
      <c r="G867" s="423"/>
      <c r="H867" s="423"/>
      <c r="N867" s="534"/>
    </row>
    <row r="868" spans="1:14" x14ac:dyDescent="0.2">
      <c r="A868" s="420"/>
      <c r="B868" s="423"/>
      <c r="C868" s="425"/>
      <c r="D868" s="423"/>
      <c r="E868" s="423"/>
      <c r="F868" s="423"/>
      <c r="G868" s="423"/>
      <c r="H868" s="423"/>
      <c r="N868" s="534"/>
    </row>
    <row r="869" spans="1:14" x14ac:dyDescent="0.2">
      <c r="A869" s="420"/>
      <c r="B869" s="423"/>
      <c r="C869" s="425"/>
      <c r="D869" s="423"/>
      <c r="E869" s="423"/>
      <c r="F869" s="423"/>
      <c r="G869" s="423"/>
      <c r="H869" s="423"/>
      <c r="N869" s="534"/>
    </row>
    <row r="870" spans="1:14" x14ac:dyDescent="0.2">
      <c r="A870" s="420"/>
      <c r="B870" s="423"/>
      <c r="C870" s="425"/>
      <c r="D870" s="423"/>
      <c r="E870" s="423"/>
      <c r="F870" s="423"/>
      <c r="G870" s="423"/>
      <c r="H870" s="423"/>
      <c r="N870" s="534"/>
    </row>
    <row r="871" spans="1:14" x14ac:dyDescent="0.2">
      <c r="A871" s="420"/>
      <c r="B871" s="423"/>
      <c r="C871" s="425"/>
      <c r="D871" s="423"/>
      <c r="E871" s="423"/>
      <c r="F871" s="423"/>
      <c r="G871" s="423"/>
      <c r="H871" s="423"/>
      <c r="N871" s="534"/>
    </row>
    <row r="872" spans="1:14" x14ac:dyDescent="0.2">
      <c r="A872" s="420"/>
      <c r="B872" s="423"/>
      <c r="C872" s="425"/>
      <c r="D872" s="423"/>
      <c r="E872" s="423"/>
      <c r="F872" s="423"/>
      <c r="G872" s="423"/>
      <c r="H872" s="423"/>
      <c r="N872" s="534"/>
    </row>
    <row r="873" spans="1:14" x14ac:dyDescent="0.2">
      <c r="A873" s="420"/>
      <c r="B873" s="423"/>
      <c r="C873" s="425"/>
      <c r="D873" s="423"/>
      <c r="E873" s="423"/>
      <c r="F873" s="423"/>
      <c r="G873" s="423"/>
      <c r="H873" s="423"/>
      <c r="N873" s="534"/>
    </row>
    <row r="874" spans="1:14" x14ac:dyDescent="0.2">
      <c r="A874" s="420"/>
      <c r="B874" s="423"/>
      <c r="C874" s="425"/>
      <c r="D874" s="423"/>
      <c r="E874" s="423"/>
      <c r="F874" s="423"/>
      <c r="G874" s="423"/>
      <c r="H874" s="423"/>
      <c r="N874" s="534"/>
    </row>
    <row r="875" spans="1:14" x14ac:dyDescent="0.2">
      <c r="A875" s="420"/>
      <c r="B875" s="423"/>
      <c r="C875" s="425"/>
      <c r="D875" s="423"/>
      <c r="E875" s="423"/>
      <c r="F875" s="423"/>
      <c r="G875" s="423"/>
      <c r="H875" s="423"/>
      <c r="N875" s="534"/>
    </row>
    <row r="876" spans="1:14" x14ac:dyDescent="0.2">
      <c r="A876" s="420"/>
      <c r="B876" s="423"/>
      <c r="C876" s="425"/>
      <c r="D876" s="423"/>
      <c r="E876" s="423"/>
      <c r="F876" s="423"/>
      <c r="G876" s="423"/>
      <c r="H876" s="423"/>
      <c r="N876" s="534"/>
    </row>
    <row r="877" spans="1:14" x14ac:dyDescent="0.2">
      <c r="A877" s="420"/>
      <c r="B877" s="423"/>
      <c r="C877" s="425"/>
      <c r="D877" s="423"/>
      <c r="E877" s="423"/>
      <c r="F877" s="423"/>
      <c r="G877" s="423"/>
      <c r="H877" s="423"/>
      <c r="N877" s="534"/>
    </row>
    <row r="878" spans="1:14" x14ac:dyDescent="0.2">
      <c r="A878" s="420"/>
      <c r="B878" s="423"/>
      <c r="C878" s="425"/>
      <c r="D878" s="423"/>
      <c r="E878" s="423"/>
      <c r="F878" s="423"/>
      <c r="G878" s="423"/>
      <c r="H878" s="423"/>
      <c r="N878" s="534"/>
    </row>
    <row r="879" spans="1:14" x14ac:dyDescent="0.2">
      <c r="A879" s="420"/>
      <c r="B879" s="423"/>
      <c r="C879" s="425"/>
      <c r="D879" s="423"/>
      <c r="E879" s="423"/>
      <c r="F879" s="423"/>
      <c r="G879" s="423"/>
      <c r="H879" s="423"/>
      <c r="N879" s="534"/>
    </row>
    <row r="880" spans="1:14" x14ac:dyDescent="0.2">
      <c r="A880" s="420"/>
      <c r="B880" s="423"/>
      <c r="C880" s="425"/>
      <c r="D880" s="423"/>
      <c r="E880" s="423"/>
      <c r="F880" s="423"/>
      <c r="G880" s="423"/>
      <c r="H880" s="423"/>
      <c r="N880" s="534"/>
    </row>
    <row r="881" spans="1:14" x14ac:dyDescent="0.2">
      <c r="A881" s="420"/>
      <c r="B881" s="423"/>
      <c r="C881" s="425"/>
      <c r="D881" s="423"/>
      <c r="E881" s="423"/>
      <c r="F881" s="423"/>
      <c r="G881" s="423"/>
      <c r="H881" s="423"/>
      <c r="N881" s="534"/>
    </row>
    <row r="882" spans="1:14" x14ac:dyDescent="0.2">
      <c r="A882" s="420"/>
      <c r="B882" s="423"/>
      <c r="C882" s="425"/>
      <c r="D882" s="423"/>
      <c r="E882" s="423"/>
      <c r="F882" s="423"/>
      <c r="G882" s="423"/>
      <c r="H882" s="423"/>
      <c r="N882" s="534"/>
    </row>
    <row r="883" spans="1:14" x14ac:dyDescent="0.2">
      <c r="A883" s="420"/>
      <c r="B883" s="423"/>
      <c r="C883" s="425"/>
      <c r="D883" s="423"/>
      <c r="E883" s="423"/>
      <c r="F883" s="423"/>
      <c r="G883" s="423"/>
      <c r="H883" s="423"/>
      <c r="N883" s="534"/>
    </row>
    <row r="884" spans="1:14" x14ac:dyDescent="0.2">
      <c r="A884" s="420"/>
      <c r="B884" s="423"/>
      <c r="C884" s="425"/>
      <c r="D884" s="423"/>
      <c r="E884" s="423"/>
      <c r="F884" s="423"/>
      <c r="G884" s="423"/>
      <c r="H884" s="423"/>
      <c r="N884" s="534"/>
    </row>
    <row r="885" spans="1:14" x14ac:dyDescent="0.2">
      <c r="A885" s="420"/>
      <c r="B885" s="423"/>
      <c r="C885" s="425"/>
      <c r="D885" s="423"/>
      <c r="E885" s="423"/>
      <c r="F885" s="423"/>
      <c r="G885" s="423"/>
      <c r="H885" s="423"/>
      <c r="N885" s="534"/>
    </row>
    <row r="886" spans="1:14" x14ac:dyDescent="0.2">
      <c r="A886" s="420"/>
      <c r="B886" s="423"/>
      <c r="C886" s="425"/>
      <c r="D886" s="423"/>
      <c r="E886" s="423"/>
      <c r="F886" s="423"/>
      <c r="G886" s="423"/>
      <c r="H886" s="423"/>
      <c r="N886" s="534"/>
    </row>
    <row r="887" spans="1:14" x14ac:dyDescent="0.2">
      <c r="A887" s="420"/>
      <c r="B887" s="423"/>
      <c r="C887" s="425"/>
      <c r="D887" s="423"/>
      <c r="E887" s="423"/>
      <c r="F887" s="423"/>
      <c r="G887" s="423"/>
      <c r="H887" s="423"/>
      <c r="N887" s="534"/>
    </row>
    <row r="888" spans="1:14" x14ac:dyDescent="0.2">
      <c r="A888" s="420"/>
      <c r="B888" s="423"/>
      <c r="C888" s="425"/>
      <c r="D888" s="423"/>
      <c r="E888" s="423"/>
      <c r="F888" s="423"/>
      <c r="G888" s="423"/>
      <c r="H888" s="423"/>
      <c r="N888" s="534"/>
    </row>
    <row r="889" spans="1:14" x14ac:dyDescent="0.2">
      <c r="A889" s="420"/>
      <c r="B889" s="423"/>
      <c r="C889" s="425"/>
      <c r="D889" s="423"/>
      <c r="E889" s="423"/>
      <c r="F889" s="423"/>
      <c r="G889" s="423"/>
      <c r="H889" s="423"/>
      <c r="N889" s="534"/>
    </row>
    <row r="890" spans="1:14" x14ac:dyDescent="0.2">
      <c r="A890" s="420"/>
      <c r="B890" s="423"/>
      <c r="C890" s="425"/>
      <c r="D890" s="423"/>
      <c r="E890" s="423"/>
      <c r="F890" s="423"/>
      <c r="G890" s="423"/>
      <c r="H890" s="423"/>
      <c r="N890" s="534"/>
    </row>
    <row r="891" spans="1:14" x14ac:dyDescent="0.2">
      <c r="A891" s="420"/>
      <c r="B891" s="423"/>
      <c r="C891" s="425"/>
      <c r="D891" s="423"/>
      <c r="E891" s="423"/>
      <c r="F891" s="423"/>
      <c r="G891" s="423"/>
      <c r="H891" s="423"/>
      <c r="N891" s="534"/>
    </row>
    <row r="892" spans="1:14" x14ac:dyDescent="0.2">
      <c r="A892" s="420"/>
      <c r="B892" s="423"/>
      <c r="C892" s="425"/>
      <c r="D892" s="423"/>
      <c r="E892" s="423"/>
      <c r="F892" s="423"/>
      <c r="G892" s="423"/>
      <c r="H892" s="423"/>
      <c r="N892" s="534"/>
    </row>
    <row r="893" spans="1:14" x14ac:dyDescent="0.2">
      <c r="A893" s="420"/>
      <c r="B893" s="423"/>
      <c r="C893" s="425"/>
      <c r="D893" s="423"/>
      <c r="E893" s="423"/>
      <c r="F893" s="423"/>
      <c r="G893" s="423"/>
      <c r="H893" s="423"/>
      <c r="N893" s="534"/>
    </row>
    <row r="894" spans="1:14" x14ac:dyDescent="0.2">
      <c r="A894" s="420"/>
      <c r="B894" s="423"/>
      <c r="C894" s="425"/>
      <c r="D894" s="423"/>
      <c r="E894" s="423"/>
      <c r="F894" s="423"/>
      <c r="G894" s="423"/>
      <c r="H894" s="423"/>
      <c r="N894" s="534"/>
    </row>
    <row r="895" spans="1:14" x14ac:dyDescent="0.2">
      <c r="A895" s="420"/>
      <c r="B895" s="423"/>
      <c r="C895" s="425"/>
      <c r="D895" s="423"/>
      <c r="E895" s="423"/>
      <c r="F895" s="423"/>
      <c r="G895" s="423"/>
      <c r="H895" s="423"/>
      <c r="N895" s="534"/>
    </row>
    <row r="896" spans="1:14" x14ac:dyDescent="0.2">
      <c r="A896" s="420"/>
      <c r="B896" s="423"/>
      <c r="C896" s="425"/>
      <c r="D896" s="423"/>
      <c r="E896" s="423"/>
      <c r="F896" s="423"/>
      <c r="G896" s="423"/>
      <c r="H896" s="423"/>
      <c r="N896" s="534"/>
    </row>
    <row r="897" spans="1:14" x14ac:dyDescent="0.2">
      <c r="A897" s="420"/>
      <c r="B897" s="423"/>
      <c r="C897" s="425"/>
      <c r="D897" s="423"/>
      <c r="E897" s="423"/>
      <c r="F897" s="423"/>
      <c r="G897" s="423"/>
      <c r="H897" s="423"/>
      <c r="N897" s="534"/>
    </row>
    <row r="898" spans="1:14" x14ac:dyDescent="0.2">
      <c r="A898" s="420"/>
      <c r="B898" s="423"/>
      <c r="C898" s="425"/>
      <c r="D898" s="423"/>
      <c r="E898" s="423"/>
      <c r="F898" s="423"/>
      <c r="G898" s="423"/>
      <c r="H898" s="423"/>
      <c r="N898" s="534"/>
    </row>
    <row r="899" spans="1:14" x14ac:dyDescent="0.2">
      <c r="A899" s="420"/>
      <c r="B899" s="423"/>
      <c r="C899" s="425"/>
      <c r="D899" s="423"/>
      <c r="E899" s="423"/>
      <c r="F899" s="423"/>
      <c r="G899" s="423"/>
      <c r="H899" s="423"/>
      <c r="N899" s="534"/>
    </row>
    <row r="900" spans="1:14" x14ac:dyDescent="0.2">
      <c r="A900" s="420"/>
      <c r="B900" s="423"/>
      <c r="C900" s="425"/>
      <c r="D900" s="423"/>
      <c r="E900" s="423"/>
      <c r="F900" s="423"/>
      <c r="G900" s="423"/>
      <c r="H900" s="423"/>
      <c r="N900" s="534"/>
    </row>
    <row r="901" spans="1:14" x14ac:dyDescent="0.2">
      <c r="A901" s="420"/>
      <c r="B901" s="423"/>
      <c r="C901" s="425"/>
      <c r="D901" s="423"/>
      <c r="E901" s="423"/>
      <c r="F901" s="423"/>
      <c r="G901" s="423"/>
      <c r="H901" s="423"/>
      <c r="N901" s="534"/>
    </row>
    <row r="902" spans="1:14" x14ac:dyDescent="0.2">
      <c r="A902" s="420"/>
      <c r="B902" s="423"/>
      <c r="C902" s="425"/>
      <c r="D902" s="423"/>
      <c r="E902" s="423"/>
      <c r="F902" s="423"/>
      <c r="G902" s="423"/>
      <c r="H902" s="423"/>
      <c r="N902" s="534"/>
    </row>
    <row r="903" spans="1:14" x14ac:dyDescent="0.2">
      <c r="A903" s="420"/>
      <c r="B903" s="423"/>
      <c r="C903" s="425"/>
      <c r="D903" s="423"/>
      <c r="E903" s="423"/>
      <c r="F903" s="423"/>
      <c r="G903" s="423"/>
      <c r="H903" s="423"/>
      <c r="N903" s="534"/>
    </row>
    <row r="904" spans="1:14" x14ac:dyDescent="0.2">
      <c r="A904" s="420"/>
      <c r="B904" s="423"/>
      <c r="C904" s="425"/>
      <c r="D904" s="423"/>
      <c r="E904" s="423"/>
      <c r="F904" s="423"/>
      <c r="G904" s="423"/>
      <c r="H904" s="423"/>
      <c r="N904" s="534"/>
    </row>
    <row r="905" spans="1:14" x14ac:dyDescent="0.2">
      <c r="A905" s="420"/>
      <c r="B905" s="423"/>
      <c r="C905" s="425"/>
      <c r="D905" s="423"/>
      <c r="E905" s="423"/>
      <c r="F905" s="423"/>
      <c r="G905" s="423"/>
      <c r="H905" s="423"/>
      <c r="N905" s="534"/>
    </row>
    <row r="906" spans="1:14" x14ac:dyDescent="0.2">
      <c r="A906" s="420"/>
      <c r="B906" s="423"/>
      <c r="C906" s="425"/>
      <c r="D906" s="423"/>
      <c r="E906" s="423"/>
      <c r="F906" s="423"/>
      <c r="G906" s="423"/>
      <c r="H906" s="423"/>
      <c r="N906" s="534"/>
    </row>
    <row r="907" spans="1:14" x14ac:dyDescent="0.2">
      <c r="A907" s="420"/>
      <c r="B907" s="423"/>
      <c r="C907" s="425"/>
      <c r="D907" s="423"/>
      <c r="E907" s="423"/>
      <c r="F907" s="423"/>
      <c r="G907" s="423"/>
      <c r="H907" s="423"/>
      <c r="N907" s="534"/>
    </row>
    <row r="908" spans="1:14" x14ac:dyDescent="0.2">
      <c r="A908" s="420"/>
      <c r="B908" s="423"/>
      <c r="C908" s="425"/>
      <c r="D908" s="423"/>
      <c r="E908" s="423"/>
      <c r="F908" s="423"/>
      <c r="G908" s="423"/>
      <c r="H908" s="423"/>
      <c r="N908" s="534"/>
    </row>
    <row r="909" spans="1:14" x14ac:dyDescent="0.2">
      <c r="A909" s="420"/>
      <c r="B909" s="423"/>
      <c r="C909" s="425"/>
      <c r="D909" s="423"/>
      <c r="E909" s="423"/>
      <c r="F909" s="423"/>
      <c r="G909" s="423"/>
      <c r="H909" s="423"/>
      <c r="N909" s="534"/>
    </row>
    <row r="910" spans="1:14" x14ac:dyDescent="0.2">
      <c r="A910" s="420"/>
      <c r="B910" s="423"/>
      <c r="C910" s="425"/>
      <c r="D910" s="423"/>
      <c r="E910" s="423"/>
      <c r="F910" s="423"/>
      <c r="G910" s="423"/>
      <c r="H910" s="423"/>
      <c r="N910" s="534"/>
    </row>
    <row r="911" spans="1:14" x14ac:dyDescent="0.2">
      <c r="A911" s="420"/>
      <c r="B911" s="423"/>
      <c r="C911" s="425"/>
      <c r="D911" s="423"/>
      <c r="E911" s="423"/>
      <c r="F911" s="423"/>
      <c r="G911" s="423"/>
      <c r="H911" s="423"/>
      <c r="N911" s="534"/>
    </row>
    <row r="912" spans="1:14" x14ac:dyDescent="0.2">
      <c r="A912" s="420"/>
      <c r="B912" s="423"/>
      <c r="C912" s="425"/>
      <c r="D912" s="423"/>
      <c r="E912" s="423"/>
      <c r="F912" s="423"/>
      <c r="G912" s="423"/>
      <c r="H912" s="423"/>
      <c r="N912" s="534"/>
    </row>
    <row r="913" spans="1:14" x14ac:dyDescent="0.2">
      <c r="A913" s="420"/>
      <c r="B913" s="423"/>
      <c r="C913" s="425"/>
      <c r="D913" s="423"/>
      <c r="E913" s="423"/>
      <c r="F913" s="423"/>
      <c r="G913" s="423"/>
      <c r="H913" s="423"/>
      <c r="N913" s="534"/>
    </row>
    <row r="914" spans="1:14" x14ac:dyDescent="0.2">
      <c r="A914" s="420"/>
      <c r="B914" s="423"/>
      <c r="C914" s="425"/>
      <c r="D914" s="423"/>
      <c r="E914" s="423"/>
      <c r="F914" s="423"/>
      <c r="G914" s="423"/>
      <c r="H914" s="423"/>
      <c r="N914" s="534"/>
    </row>
    <row r="915" spans="1:14" x14ac:dyDescent="0.2">
      <c r="A915" s="420"/>
      <c r="B915" s="423"/>
      <c r="C915" s="425"/>
      <c r="D915" s="423"/>
      <c r="E915" s="423"/>
      <c r="F915" s="423"/>
      <c r="G915" s="423"/>
      <c r="H915" s="423"/>
      <c r="N915" s="534"/>
    </row>
    <row r="916" spans="1:14" x14ac:dyDescent="0.2">
      <c r="A916" s="420"/>
      <c r="B916" s="423"/>
      <c r="C916" s="425"/>
      <c r="D916" s="423"/>
      <c r="E916" s="423"/>
      <c r="F916" s="423"/>
      <c r="G916" s="423"/>
      <c r="H916" s="423"/>
      <c r="N916" s="534"/>
    </row>
    <row r="917" spans="1:14" x14ac:dyDescent="0.2">
      <c r="A917" s="420"/>
      <c r="B917" s="423"/>
      <c r="C917" s="425"/>
      <c r="D917" s="423"/>
      <c r="E917" s="423"/>
      <c r="F917" s="423"/>
      <c r="G917" s="423"/>
      <c r="H917" s="423"/>
      <c r="N917" s="534"/>
    </row>
    <row r="918" spans="1:14" x14ac:dyDescent="0.2">
      <c r="A918" s="420"/>
      <c r="B918" s="423"/>
      <c r="C918" s="425"/>
      <c r="D918" s="423"/>
      <c r="E918" s="423"/>
      <c r="F918" s="423"/>
      <c r="G918" s="423"/>
      <c r="H918" s="423"/>
      <c r="N918" s="534"/>
    </row>
    <row r="919" spans="1:14" x14ac:dyDescent="0.2">
      <c r="A919" s="420"/>
      <c r="B919" s="423"/>
      <c r="C919" s="425"/>
      <c r="D919" s="423"/>
      <c r="E919" s="423"/>
      <c r="F919" s="423"/>
      <c r="G919" s="423"/>
      <c r="H919" s="423"/>
      <c r="N919" s="534"/>
    </row>
    <row r="920" spans="1:14" x14ac:dyDescent="0.2">
      <c r="A920" s="420"/>
      <c r="B920" s="423"/>
      <c r="C920" s="425"/>
      <c r="D920" s="423"/>
      <c r="E920" s="423"/>
      <c r="F920" s="423"/>
      <c r="G920" s="423"/>
      <c r="H920" s="423"/>
      <c r="N920" s="534"/>
    </row>
    <row r="921" spans="1:14" x14ac:dyDescent="0.2">
      <c r="A921" s="420"/>
      <c r="B921" s="423"/>
      <c r="C921" s="425"/>
      <c r="D921" s="423"/>
      <c r="E921" s="423"/>
      <c r="F921" s="423"/>
      <c r="G921" s="423"/>
      <c r="H921" s="423"/>
      <c r="N921" s="534"/>
    </row>
    <row r="922" spans="1:14" x14ac:dyDescent="0.2">
      <c r="A922" s="420"/>
      <c r="B922" s="423"/>
      <c r="C922" s="425"/>
      <c r="D922" s="423"/>
      <c r="E922" s="423"/>
      <c r="F922" s="423"/>
      <c r="G922" s="423"/>
      <c r="H922" s="423"/>
      <c r="N922" s="534"/>
    </row>
    <row r="923" spans="1:14" x14ac:dyDescent="0.2">
      <c r="A923" s="420"/>
      <c r="B923" s="423"/>
      <c r="C923" s="425"/>
      <c r="D923" s="423"/>
      <c r="E923" s="423"/>
      <c r="F923" s="423"/>
      <c r="G923" s="423"/>
      <c r="H923" s="423"/>
      <c r="N923" s="534"/>
    </row>
    <row r="924" spans="1:14" x14ac:dyDescent="0.2">
      <c r="A924" s="420"/>
      <c r="B924" s="423"/>
      <c r="C924" s="425"/>
      <c r="D924" s="423"/>
      <c r="E924" s="423"/>
      <c r="F924" s="423"/>
      <c r="G924" s="423"/>
      <c r="H924" s="423"/>
      <c r="N924" s="534"/>
    </row>
    <row r="925" spans="1:14" x14ac:dyDescent="0.2">
      <c r="A925" s="420"/>
      <c r="B925" s="423"/>
      <c r="C925" s="425"/>
      <c r="D925" s="423"/>
      <c r="E925" s="423"/>
      <c r="F925" s="423"/>
      <c r="G925" s="423"/>
      <c r="H925" s="423"/>
      <c r="N925" s="534"/>
    </row>
    <row r="926" spans="1:14" x14ac:dyDescent="0.2">
      <c r="A926" s="420"/>
      <c r="B926" s="423"/>
      <c r="C926" s="425"/>
      <c r="D926" s="423"/>
      <c r="E926" s="423"/>
      <c r="F926" s="423"/>
      <c r="G926" s="423"/>
      <c r="H926" s="423"/>
      <c r="N926" s="534"/>
    </row>
    <row r="927" spans="1:14" x14ac:dyDescent="0.2">
      <c r="A927" s="420"/>
      <c r="B927" s="423"/>
      <c r="C927" s="425"/>
      <c r="D927" s="423"/>
      <c r="E927" s="423"/>
      <c r="F927" s="423"/>
      <c r="G927" s="423"/>
      <c r="H927" s="423"/>
      <c r="N927" s="534"/>
    </row>
    <row r="928" spans="1:14" x14ac:dyDescent="0.2">
      <c r="A928" s="420"/>
      <c r="B928" s="423"/>
      <c r="C928" s="425"/>
      <c r="D928" s="423"/>
      <c r="E928" s="423"/>
      <c r="F928" s="423"/>
      <c r="G928" s="423"/>
      <c r="H928" s="423"/>
      <c r="N928" s="534"/>
    </row>
    <row r="929" spans="1:14" x14ac:dyDescent="0.2">
      <c r="A929" s="420"/>
      <c r="B929" s="423"/>
      <c r="C929" s="425"/>
      <c r="D929" s="423"/>
      <c r="E929" s="423"/>
      <c r="F929" s="423"/>
      <c r="G929" s="423"/>
      <c r="H929" s="423"/>
      <c r="N929" s="534"/>
    </row>
    <row r="930" spans="1:14" x14ac:dyDescent="0.2">
      <c r="A930" s="420"/>
      <c r="B930" s="423"/>
      <c r="C930" s="425"/>
      <c r="D930" s="423"/>
      <c r="E930" s="423"/>
      <c r="F930" s="423"/>
      <c r="G930" s="423"/>
      <c r="H930" s="423"/>
      <c r="N930" s="534"/>
    </row>
    <row r="931" spans="1:14" x14ac:dyDescent="0.2">
      <c r="A931" s="420"/>
      <c r="B931" s="423"/>
      <c r="C931" s="425"/>
      <c r="D931" s="423"/>
      <c r="E931" s="423"/>
      <c r="F931" s="423"/>
      <c r="G931" s="423"/>
      <c r="H931" s="423"/>
      <c r="N931" s="534"/>
    </row>
    <row r="932" spans="1:14" x14ac:dyDescent="0.2">
      <c r="A932" s="420"/>
      <c r="B932" s="423"/>
      <c r="C932" s="425"/>
      <c r="D932" s="423"/>
      <c r="E932" s="423"/>
      <c r="F932" s="423"/>
      <c r="G932" s="423"/>
      <c r="H932" s="423"/>
      <c r="N932" s="534"/>
    </row>
    <row r="933" spans="1:14" x14ac:dyDescent="0.2">
      <c r="A933" s="420"/>
      <c r="B933" s="423"/>
      <c r="C933" s="425"/>
      <c r="D933" s="423"/>
      <c r="E933" s="423"/>
      <c r="F933" s="423"/>
      <c r="G933" s="423"/>
      <c r="H933" s="423"/>
      <c r="N933" s="534"/>
    </row>
    <row r="934" spans="1:14" x14ac:dyDescent="0.2">
      <c r="A934" s="420"/>
      <c r="B934" s="423"/>
      <c r="C934" s="425"/>
      <c r="D934" s="423"/>
      <c r="E934" s="423"/>
      <c r="F934" s="423"/>
      <c r="G934" s="423"/>
      <c r="H934" s="423"/>
      <c r="N934" s="534"/>
    </row>
    <row r="935" spans="1:14" x14ac:dyDescent="0.2">
      <c r="A935" s="420"/>
      <c r="B935" s="423"/>
      <c r="C935" s="425"/>
      <c r="D935" s="423"/>
      <c r="E935" s="423"/>
      <c r="F935" s="423"/>
      <c r="G935" s="423"/>
      <c r="H935" s="423"/>
      <c r="N935" s="534"/>
    </row>
    <row r="936" spans="1:14" x14ac:dyDescent="0.2">
      <c r="A936" s="420"/>
      <c r="B936" s="423"/>
      <c r="C936" s="425"/>
      <c r="D936" s="423"/>
      <c r="E936" s="423"/>
      <c r="F936" s="423"/>
      <c r="G936" s="423"/>
      <c r="H936" s="423"/>
      <c r="N936" s="534"/>
    </row>
    <row r="937" spans="1:14" x14ac:dyDescent="0.2">
      <c r="A937" s="420"/>
      <c r="B937" s="423"/>
      <c r="C937" s="425"/>
      <c r="D937" s="423"/>
      <c r="E937" s="423"/>
      <c r="F937" s="423"/>
      <c r="G937" s="423"/>
      <c r="H937" s="423"/>
      <c r="N937" s="534"/>
    </row>
    <row r="938" spans="1:14" x14ac:dyDescent="0.2">
      <c r="A938" s="420"/>
      <c r="B938" s="423"/>
      <c r="C938" s="425"/>
      <c r="D938" s="423"/>
      <c r="E938" s="423"/>
      <c r="F938" s="423"/>
      <c r="G938" s="423"/>
      <c r="H938" s="423"/>
      <c r="N938" s="534"/>
    </row>
    <row r="939" spans="1:14" x14ac:dyDescent="0.2">
      <c r="A939" s="420"/>
      <c r="B939" s="423"/>
      <c r="C939" s="425"/>
      <c r="D939" s="423"/>
      <c r="E939" s="423"/>
      <c r="F939" s="423"/>
      <c r="G939" s="423"/>
      <c r="H939" s="423"/>
      <c r="N939" s="534"/>
    </row>
    <row r="940" spans="1:14" x14ac:dyDescent="0.2">
      <c r="A940" s="420"/>
      <c r="B940" s="423"/>
      <c r="C940" s="425"/>
      <c r="D940" s="423"/>
      <c r="E940" s="423"/>
      <c r="F940" s="423"/>
      <c r="G940" s="423"/>
      <c r="H940" s="423"/>
      <c r="N940" s="534"/>
    </row>
    <row r="941" spans="1:14" x14ac:dyDescent="0.2">
      <c r="A941" s="420"/>
      <c r="B941" s="423"/>
      <c r="C941" s="425"/>
      <c r="D941" s="423"/>
      <c r="E941" s="423"/>
      <c r="F941" s="423"/>
      <c r="G941" s="423"/>
      <c r="H941" s="423"/>
      <c r="N941" s="534"/>
    </row>
    <row r="942" spans="1:14" x14ac:dyDescent="0.2">
      <c r="A942" s="420"/>
      <c r="B942" s="423"/>
      <c r="C942" s="425"/>
      <c r="D942" s="423"/>
      <c r="E942" s="423"/>
      <c r="F942" s="423"/>
      <c r="G942" s="423"/>
      <c r="H942" s="423"/>
      <c r="N942" s="534"/>
    </row>
    <row r="943" spans="1:14" x14ac:dyDescent="0.2">
      <c r="A943" s="420"/>
      <c r="B943" s="423"/>
      <c r="C943" s="425"/>
      <c r="D943" s="423"/>
      <c r="E943" s="423"/>
      <c r="F943" s="423"/>
      <c r="G943" s="423"/>
      <c r="H943" s="423"/>
      <c r="N943" s="534"/>
    </row>
    <row r="944" spans="1:14" x14ac:dyDescent="0.2">
      <c r="A944" s="420"/>
      <c r="B944" s="423"/>
      <c r="C944" s="425"/>
      <c r="D944" s="423"/>
      <c r="E944" s="423"/>
      <c r="F944" s="423"/>
      <c r="G944" s="423"/>
      <c r="H944" s="423"/>
      <c r="N944" s="534"/>
    </row>
    <row r="945" spans="1:14" x14ac:dyDescent="0.2">
      <c r="A945" s="420"/>
      <c r="B945" s="423"/>
      <c r="C945" s="425"/>
      <c r="D945" s="423"/>
      <c r="E945" s="423"/>
      <c r="F945" s="423"/>
      <c r="G945" s="423"/>
      <c r="H945" s="423"/>
      <c r="N945" s="534"/>
    </row>
    <row r="946" spans="1:14" x14ac:dyDescent="0.2">
      <c r="A946" s="420"/>
      <c r="B946" s="423"/>
      <c r="C946" s="425"/>
      <c r="D946" s="423"/>
      <c r="E946" s="423"/>
      <c r="F946" s="423"/>
      <c r="G946" s="423"/>
      <c r="H946" s="423"/>
      <c r="N946" s="534"/>
    </row>
    <row r="947" spans="1:14" x14ac:dyDescent="0.2">
      <c r="A947" s="420"/>
      <c r="B947" s="423"/>
      <c r="C947" s="425"/>
      <c r="D947" s="423"/>
      <c r="E947" s="423"/>
      <c r="F947" s="423"/>
      <c r="G947" s="423"/>
      <c r="H947" s="423"/>
      <c r="N947" s="534"/>
    </row>
    <row r="948" spans="1:14" x14ac:dyDescent="0.2">
      <c r="A948" s="420"/>
      <c r="B948" s="423"/>
      <c r="C948" s="425"/>
      <c r="D948" s="423"/>
      <c r="E948" s="423"/>
      <c r="F948" s="423"/>
      <c r="G948" s="423"/>
      <c r="H948" s="423"/>
      <c r="N948" s="534"/>
    </row>
    <row r="949" spans="1:14" x14ac:dyDescent="0.2">
      <c r="A949" s="420"/>
      <c r="B949" s="423"/>
      <c r="C949" s="425"/>
      <c r="D949" s="423"/>
      <c r="E949" s="423"/>
      <c r="F949" s="423"/>
      <c r="G949" s="423"/>
      <c r="H949" s="423"/>
      <c r="N949" s="534"/>
    </row>
    <row r="950" spans="1:14" x14ac:dyDescent="0.2">
      <c r="A950" s="420"/>
      <c r="B950" s="423"/>
      <c r="C950" s="425"/>
      <c r="D950" s="423"/>
      <c r="E950" s="423"/>
      <c r="F950" s="423"/>
      <c r="G950" s="423"/>
      <c r="H950" s="423"/>
      <c r="N950" s="534"/>
    </row>
    <row r="951" spans="1:14" x14ac:dyDescent="0.2">
      <c r="A951" s="420"/>
      <c r="B951" s="423"/>
      <c r="C951" s="425"/>
      <c r="D951" s="423"/>
      <c r="E951" s="423"/>
      <c r="F951" s="423"/>
      <c r="G951" s="423"/>
      <c r="H951" s="423"/>
      <c r="N951" s="534"/>
    </row>
    <row r="952" spans="1:14" x14ac:dyDescent="0.2">
      <c r="A952" s="420"/>
      <c r="B952" s="423"/>
      <c r="C952" s="425"/>
      <c r="D952" s="423"/>
      <c r="E952" s="423"/>
      <c r="F952" s="423"/>
      <c r="G952" s="423"/>
      <c r="H952" s="423"/>
      <c r="N952" s="534"/>
    </row>
    <row r="953" spans="1:14" x14ac:dyDescent="0.2">
      <c r="A953" s="420"/>
      <c r="B953" s="423"/>
      <c r="C953" s="425"/>
      <c r="D953" s="423"/>
      <c r="E953" s="423"/>
      <c r="F953" s="423"/>
      <c r="G953" s="423"/>
      <c r="H953" s="423"/>
      <c r="N953" s="534"/>
    </row>
    <row r="954" spans="1:14" x14ac:dyDescent="0.2">
      <c r="A954" s="420"/>
      <c r="B954" s="423"/>
      <c r="C954" s="425"/>
      <c r="D954" s="423"/>
      <c r="E954" s="423"/>
      <c r="F954" s="423"/>
      <c r="G954" s="423"/>
      <c r="H954" s="423"/>
      <c r="N954" s="534"/>
    </row>
    <row r="955" spans="1:14" x14ac:dyDescent="0.2">
      <c r="A955" s="420"/>
      <c r="B955" s="423"/>
      <c r="C955" s="425"/>
      <c r="D955" s="423"/>
      <c r="E955" s="423"/>
      <c r="F955" s="423"/>
      <c r="G955" s="423"/>
      <c r="H955" s="423"/>
      <c r="N955" s="534"/>
    </row>
    <row r="956" spans="1:14" x14ac:dyDescent="0.2">
      <c r="A956" s="420"/>
      <c r="B956" s="423"/>
      <c r="C956" s="425"/>
      <c r="D956" s="423"/>
      <c r="E956" s="423"/>
      <c r="F956" s="423"/>
      <c r="G956" s="423"/>
      <c r="H956" s="423"/>
      <c r="N956" s="534"/>
    </row>
    <row r="957" spans="1:14" x14ac:dyDescent="0.2">
      <c r="A957" s="420"/>
      <c r="B957" s="423"/>
      <c r="C957" s="425"/>
      <c r="D957" s="423"/>
      <c r="E957" s="423"/>
      <c r="F957" s="423"/>
      <c r="G957" s="423"/>
      <c r="H957" s="423"/>
      <c r="N957" s="534"/>
    </row>
    <row r="958" spans="1:14" x14ac:dyDescent="0.2">
      <c r="A958" s="420"/>
      <c r="B958" s="423"/>
      <c r="C958" s="425"/>
      <c r="D958" s="423"/>
      <c r="E958" s="423"/>
      <c r="F958" s="423"/>
      <c r="G958" s="423"/>
      <c r="H958" s="423"/>
      <c r="N958" s="534"/>
    </row>
    <row r="959" spans="1:14" x14ac:dyDescent="0.2">
      <c r="A959" s="420"/>
      <c r="B959" s="423"/>
      <c r="C959" s="425"/>
      <c r="D959" s="423"/>
      <c r="E959" s="423"/>
      <c r="F959" s="423"/>
      <c r="G959" s="423"/>
      <c r="H959" s="423"/>
      <c r="N959" s="534"/>
    </row>
    <row r="960" spans="1:14" x14ac:dyDescent="0.2">
      <c r="A960" s="420"/>
      <c r="B960" s="423"/>
      <c r="C960" s="425"/>
      <c r="D960" s="423"/>
      <c r="E960" s="423"/>
      <c r="F960" s="423"/>
      <c r="G960" s="423"/>
      <c r="H960" s="423"/>
      <c r="N960" s="534"/>
    </row>
    <row r="961" spans="1:14" x14ac:dyDescent="0.2">
      <c r="A961" s="420"/>
      <c r="B961" s="423"/>
      <c r="C961" s="425"/>
      <c r="D961" s="423"/>
      <c r="E961" s="423"/>
      <c r="F961" s="423"/>
      <c r="G961" s="423"/>
      <c r="H961" s="423"/>
      <c r="N961" s="534"/>
    </row>
    <row r="962" spans="1:14" x14ac:dyDescent="0.2">
      <c r="A962" s="420"/>
      <c r="B962" s="423"/>
      <c r="C962" s="425"/>
      <c r="D962" s="423"/>
      <c r="E962" s="423"/>
      <c r="F962" s="423"/>
      <c r="G962" s="423"/>
      <c r="H962" s="423"/>
      <c r="N962" s="534"/>
    </row>
    <row r="963" spans="1:14" x14ac:dyDescent="0.2">
      <c r="A963" s="420"/>
      <c r="B963" s="423"/>
      <c r="C963" s="425"/>
      <c r="D963" s="423"/>
      <c r="E963" s="423"/>
      <c r="F963" s="423"/>
      <c r="G963" s="423"/>
      <c r="H963" s="423"/>
      <c r="N963" s="534"/>
    </row>
    <row r="964" spans="1:14" x14ac:dyDescent="0.2">
      <c r="A964" s="420"/>
      <c r="B964" s="423"/>
      <c r="C964" s="425"/>
      <c r="D964" s="423"/>
      <c r="E964" s="423"/>
      <c r="F964" s="423"/>
      <c r="G964" s="423"/>
      <c r="H964" s="423"/>
      <c r="N964" s="534"/>
    </row>
    <row r="965" spans="1:14" x14ac:dyDescent="0.2">
      <c r="A965" s="420"/>
      <c r="B965" s="423"/>
      <c r="C965" s="425"/>
      <c r="D965" s="423"/>
      <c r="E965" s="423"/>
      <c r="F965" s="423"/>
      <c r="G965" s="423"/>
      <c r="H965" s="423"/>
      <c r="N965" s="534"/>
    </row>
    <row r="966" spans="1:14" x14ac:dyDescent="0.2">
      <c r="A966" s="420"/>
      <c r="B966" s="423"/>
      <c r="C966" s="425"/>
      <c r="D966" s="423"/>
      <c r="E966" s="423"/>
      <c r="F966" s="423"/>
      <c r="G966" s="423"/>
      <c r="H966" s="423"/>
      <c r="N966" s="534"/>
    </row>
    <row r="967" spans="1:14" x14ac:dyDescent="0.2">
      <c r="A967" s="420"/>
      <c r="B967" s="423"/>
      <c r="C967" s="425"/>
      <c r="D967" s="423"/>
      <c r="E967" s="423"/>
      <c r="F967" s="423"/>
      <c r="G967" s="423"/>
      <c r="H967" s="423"/>
      <c r="N967" s="534"/>
    </row>
    <row r="968" spans="1:14" x14ac:dyDescent="0.2">
      <c r="A968" s="420"/>
      <c r="B968" s="423"/>
      <c r="C968" s="425"/>
      <c r="D968" s="423"/>
      <c r="E968" s="423"/>
      <c r="F968" s="423"/>
      <c r="G968" s="423"/>
      <c r="H968" s="423"/>
      <c r="N968" s="534"/>
    </row>
    <row r="969" spans="1:14" x14ac:dyDescent="0.2">
      <c r="A969" s="420"/>
      <c r="B969" s="423"/>
      <c r="C969" s="425"/>
      <c r="D969" s="423"/>
      <c r="E969" s="423"/>
      <c r="F969" s="423"/>
      <c r="G969" s="423"/>
      <c r="H969" s="423"/>
      <c r="N969" s="534"/>
    </row>
    <row r="970" spans="1:14" x14ac:dyDescent="0.2">
      <c r="A970" s="420"/>
      <c r="B970" s="423"/>
      <c r="C970" s="425"/>
      <c r="D970" s="423"/>
      <c r="E970" s="423"/>
      <c r="F970" s="423"/>
      <c r="G970" s="423"/>
      <c r="H970" s="423"/>
      <c r="N970" s="534"/>
    </row>
    <row r="971" spans="1:14" x14ac:dyDescent="0.2">
      <c r="A971" s="420"/>
      <c r="B971" s="423"/>
      <c r="C971" s="425"/>
      <c r="D971" s="423"/>
      <c r="E971" s="423"/>
      <c r="F971" s="423"/>
      <c r="G971" s="423"/>
      <c r="H971" s="423"/>
      <c r="N971" s="534"/>
    </row>
    <row r="972" spans="1:14" x14ac:dyDescent="0.2">
      <c r="A972" s="420"/>
      <c r="B972" s="423"/>
      <c r="C972" s="425"/>
      <c r="D972" s="423"/>
      <c r="E972" s="423"/>
      <c r="F972" s="423"/>
      <c r="G972" s="423"/>
      <c r="H972" s="423"/>
      <c r="N972" s="534"/>
    </row>
    <row r="973" spans="1:14" x14ac:dyDescent="0.2">
      <c r="A973" s="420"/>
      <c r="B973" s="423"/>
      <c r="C973" s="425"/>
      <c r="D973" s="423"/>
      <c r="E973" s="423"/>
      <c r="F973" s="423"/>
      <c r="G973" s="423"/>
      <c r="H973" s="423"/>
      <c r="N973" s="534"/>
    </row>
    <row r="974" spans="1:14" x14ac:dyDescent="0.2">
      <c r="A974" s="420"/>
      <c r="B974" s="423"/>
      <c r="C974" s="425"/>
      <c r="D974" s="423"/>
      <c r="E974" s="423"/>
      <c r="F974" s="423"/>
      <c r="G974" s="423"/>
      <c r="H974" s="423"/>
      <c r="N974" s="534"/>
    </row>
    <row r="975" spans="1:14" x14ac:dyDescent="0.2">
      <c r="A975" s="420"/>
      <c r="B975" s="423"/>
      <c r="C975" s="425"/>
      <c r="D975" s="423"/>
      <c r="E975" s="423"/>
      <c r="F975" s="423"/>
      <c r="G975" s="423"/>
      <c r="H975" s="423"/>
      <c r="N975" s="534"/>
    </row>
    <row r="976" spans="1:14" x14ac:dyDescent="0.2">
      <c r="A976" s="420"/>
      <c r="B976" s="423"/>
      <c r="C976" s="425"/>
      <c r="D976" s="423"/>
      <c r="E976" s="423"/>
      <c r="F976" s="423"/>
      <c r="G976" s="423"/>
      <c r="H976" s="423"/>
      <c r="N976" s="534"/>
    </row>
    <row r="977" spans="1:14" x14ac:dyDescent="0.2">
      <c r="A977" s="420"/>
      <c r="B977" s="423"/>
      <c r="C977" s="425"/>
      <c r="D977" s="423"/>
      <c r="E977" s="423"/>
      <c r="F977" s="423"/>
      <c r="G977" s="423"/>
      <c r="H977" s="423"/>
      <c r="N977" s="534"/>
    </row>
    <row r="978" spans="1:14" x14ac:dyDescent="0.2">
      <c r="A978" s="420"/>
      <c r="B978" s="423"/>
      <c r="C978" s="425"/>
      <c r="D978" s="423"/>
      <c r="E978" s="423"/>
      <c r="F978" s="423"/>
      <c r="G978" s="423"/>
      <c r="H978" s="423"/>
      <c r="N978" s="534"/>
    </row>
    <row r="979" spans="1:14" x14ac:dyDescent="0.2">
      <c r="A979" s="420"/>
      <c r="B979" s="423"/>
      <c r="C979" s="425"/>
      <c r="D979" s="423"/>
      <c r="E979" s="423"/>
      <c r="F979" s="423"/>
      <c r="G979" s="423"/>
      <c r="H979" s="423"/>
      <c r="N979" s="534"/>
    </row>
    <row r="980" spans="1:14" x14ac:dyDescent="0.2">
      <c r="A980" s="420"/>
      <c r="B980" s="423"/>
      <c r="C980" s="425"/>
      <c r="D980" s="423"/>
      <c r="E980" s="423"/>
      <c r="F980" s="423"/>
      <c r="G980" s="423"/>
      <c r="H980" s="423"/>
      <c r="N980" s="534"/>
    </row>
    <row r="981" spans="1:14" x14ac:dyDescent="0.2">
      <c r="A981" s="420"/>
      <c r="B981" s="423"/>
      <c r="C981" s="425"/>
      <c r="D981" s="423"/>
      <c r="E981" s="423"/>
      <c r="F981" s="423"/>
      <c r="G981" s="423"/>
      <c r="H981" s="423"/>
      <c r="N981" s="534"/>
    </row>
    <row r="982" spans="1:14" x14ac:dyDescent="0.2">
      <c r="A982" s="420"/>
      <c r="B982" s="423"/>
      <c r="C982" s="425"/>
      <c r="D982" s="423"/>
      <c r="E982" s="423"/>
      <c r="F982" s="423"/>
      <c r="G982" s="423"/>
      <c r="H982" s="423"/>
      <c r="N982" s="534"/>
    </row>
    <row r="983" spans="1:14" x14ac:dyDescent="0.2">
      <c r="A983" s="420"/>
      <c r="B983" s="423"/>
      <c r="C983" s="425"/>
      <c r="D983" s="423"/>
      <c r="E983" s="423"/>
      <c r="F983" s="423"/>
      <c r="G983" s="423"/>
      <c r="H983" s="423"/>
      <c r="N983" s="534"/>
    </row>
    <row r="984" spans="1:14" x14ac:dyDescent="0.2">
      <c r="A984" s="420"/>
      <c r="B984" s="423"/>
      <c r="C984" s="425"/>
      <c r="D984" s="423"/>
      <c r="E984" s="423"/>
      <c r="F984" s="423"/>
      <c r="G984" s="423"/>
      <c r="H984" s="423"/>
      <c r="N984" s="534"/>
    </row>
    <row r="985" spans="1:14" x14ac:dyDescent="0.2">
      <c r="A985" s="420"/>
      <c r="B985" s="423"/>
      <c r="C985" s="425"/>
      <c r="D985" s="423"/>
      <c r="E985" s="423"/>
      <c r="F985" s="423"/>
      <c r="G985" s="423"/>
      <c r="H985" s="423"/>
      <c r="N985" s="534"/>
    </row>
    <row r="986" spans="1:14" x14ac:dyDescent="0.2">
      <c r="A986" s="420"/>
      <c r="B986" s="423"/>
      <c r="C986" s="425"/>
      <c r="D986" s="423"/>
      <c r="E986" s="423"/>
      <c r="F986" s="423"/>
      <c r="G986" s="423"/>
      <c r="H986" s="423"/>
      <c r="N986" s="534"/>
    </row>
    <row r="987" spans="1:14" x14ac:dyDescent="0.2">
      <c r="A987" s="420"/>
      <c r="B987" s="423"/>
      <c r="C987" s="425"/>
      <c r="D987" s="423"/>
      <c r="E987" s="423"/>
      <c r="F987" s="423"/>
      <c r="G987" s="423"/>
      <c r="H987" s="423"/>
      <c r="N987" s="534"/>
    </row>
    <row r="988" spans="1:14" x14ac:dyDescent="0.2">
      <c r="A988" s="420"/>
      <c r="B988" s="423"/>
      <c r="C988" s="425"/>
      <c r="D988" s="423"/>
      <c r="E988" s="423"/>
      <c r="F988" s="423"/>
      <c r="G988" s="423"/>
      <c r="H988" s="423"/>
      <c r="N988" s="534"/>
    </row>
    <row r="989" spans="1:14" x14ac:dyDescent="0.2">
      <c r="A989" s="420"/>
      <c r="B989" s="423"/>
      <c r="C989" s="425"/>
      <c r="D989" s="423"/>
      <c r="E989" s="423"/>
      <c r="F989" s="423"/>
      <c r="G989" s="423"/>
      <c r="H989" s="423"/>
      <c r="N989" s="534"/>
    </row>
    <row r="990" spans="1:14" x14ac:dyDescent="0.2">
      <c r="A990" s="420"/>
      <c r="B990" s="423"/>
      <c r="C990" s="425"/>
      <c r="D990" s="423"/>
      <c r="E990" s="423"/>
      <c r="F990" s="423"/>
      <c r="G990" s="423"/>
      <c r="H990" s="423"/>
      <c r="N990" s="534"/>
    </row>
    <row r="991" spans="1:14" x14ac:dyDescent="0.2">
      <c r="A991" s="420"/>
      <c r="B991" s="423"/>
      <c r="C991" s="425"/>
      <c r="D991" s="423"/>
      <c r="E991" s="423"/>
      <c r="F991" s="423"/>
      <c r="G991" s="423"/>
      <c r="H991" s="423"/>
      <c r="N991" s="534"/>
    </row>
    <row r="992" spans="1:14" x14ac:dyDescent="0.2">
      <c r="A992" s="420"/>
      <c r="B992" s="423"/>
      <c r="C992" s="425"/>
      <c r="D992" s="423"/>
      <c r="E992" s="423"/>
      <c r="F992" s="423"/>
      <c r="G992" s="423"/>
      <c r="H992" s="423"/>
      <c r="N992" s="534"/>
    </row>
    <row r="993" spans="1:14" x14ac:dyDescent="0.2">
      <c r="A993" s="420"/>
      <c r="B993" s="423"/>
      <c r="C993" s="425"/>
      <c r="D993" s="423"/>
      <c r="E993" s="423"/>
      <c r="F993" s="423"/>
      <c r="G993" s="423"/>
      <c r="H993" s="423"/>
      <c r="N993" s="534"/>
    </row>
    <row r="994" spans="1:14" x14ac:dyDescent="0.2">
      <c r="A994" s="420"/>
      <c r="B994" s="423"/>
      <c r="C994" s="425"/>
      <c r="D994" s="423"/>
      <c r="E994" s="423"/>
      <c r="F994" s="423"/>
      <c r="G994" s="423"/>
      <c r="H994" s="423"/>
      <c r="N994" s="534"/>
    </row>
    <row r="995" spans="1:14" x14ac:dyDescent="0.2">
      <c r="A995" s="420"/>
      <c r="B995" s="423"/>
      <c r="C995" s="425"/>
      <c r="D995" s="423"/>
      <c r="E995" s="423"/>
      <c r="F995" s="423"/>
      <c r="G995" s="423"/>
      <c r="H995" s="423"/>
      <c r="N995" s="534"/>
    </row>
    <row r="996" spans="1:14" x14ac:dyDescent="0.2">
      <c r="A996" s="420"/>
      <c r="B996" s="423"/>
      <c r="C996" s="425"/>
      <c r="D996" s="423"/>
      <c r="E996" s="423"/>
      <c r="F996" s="423"/>
      <c r="G996" s="423"/>
      <c r="H996" s="423"/>
      <c r="N996" s="534"/>
    </row>
    <row r="997" spans="1:14" x14ac:dyDescent="0.2">
      <c r="A997" s="420"/>
      <c r="B997" s="423"/>
      <c r="C997" s="425"/>
      <c r="D997" s="423"/>
      <c r="E997" s="423"/>
      <c r="F997" s="423"/>
      <c r="G997" s="423"/>
      <c r="H997" s="423"/>
      <c r="N997" s="534"/>
    </row>
    <row r="998" spans="1:14" x14ac:dyDescent="0.2">
      <c r="A998" s="420"/>
      <c r="B998" s="423"/>
      <c r="C998" s="425"/>
      <c r="D998" s="423"/>
      <c r="E998" s="423"/>
      <c r="F998" s="423"/>
      <c r="G998" s="423"/>
      <c r="H998" s="423"/>
      <c r="N998" s="534"/>
    </row>
    <row r="999" spans="1:14" x14ac:dyDescent="0.2">
      <c r="A999" s="420"/>
      <c r="B999" s="423"/>
      <c r="C999" s="425"/>
      <c r="D999" s="423"/>
      <c r="E999" s="423"/>
      <c r="F999" s="423"/>
      <c r="G999" s="423"/>
      <c r="H999" s="423"/>
      <c r="N999" s="534"/>
    </row>
    <row r="1000" spans="1:14" x14ac:dyDescent="0.2">
      <c r="A1000" s="420"/>
      <c r="B1000" s="423"/>
      <c r="C1000" s="425"/>
      <c r="D1000" s="423"/>
      <c r="E1000" s="423"/>
      <c r="F1000" s="423"/>
      <c r="G1000" s="423"/>
      <c r="H1000" s="423"/>
      <c r="N1000" s="534"/>
    </row>
    <row r="1001" spans="1:14" x14ac:dyDescent="0.2">
      <c r="A1001" s="420"/>
      <c r="B1001" s="423"/>
      <c r="C1001" s="425"/>
      <c r="D1001" s="423"/>
      <c r="E1001" s="423"/>
      <c r="F1001" s="423"/>
      <c r="G1001" s="423"/>
      <c r="H1001" s="423"/>
      <c r="N1001" s="534"/>
    </row>
    <row r="1002" spans="1:14" x14ac:dyDescent="0.2">
      <c r="A1002" s="420"/>
      <c r="B1002" s="423"/>
      <c r="C1002" s="425"/>
      <c r="D1002" s="423"/>
      <c r="E1002" s="423"/>
      <c r="F1002" s="423"/>
      <c r="G1002" s="423"/>
      <c r="H1002" s="423"/>
      <c r="N1002" s="534"/>
    </row>
    <row r="1003" spans="1:14" x14ac:dyDescent="0.2">
      <c r="A1003" s="420"/>
      <c r="B1003" s="423"/>
      <c r="C1003" s="425"/>
      <c r="D1003" s="423"/>
      <c r="E1003" s="423"/>
      <c r="F1003" s="423"/>
      <c r="G1003" s="423"/>
      <c r="H1003" s="423"/>
      <c r="N1003" s="534"/>
    </row>
    <row r="1004" spans="1:14" x14ac:dyDescent="0.2">
      <c r="A1004" s="420"/>
      <c r="B1004" s="423"/>
      <c r="C1004" s="425"/>
      <c r="D1004" s="423"/>
      <c r="E1004" s="423"/>
      <c r="F1004" s="423"/>
      <c r="G1004" s="423"/>
      <c r="H1004" s="423"/>
      <c r="N1004" s="534"/>
    </row>
    <row r="1005" spans="1:14" x14ac:dyDescent="0.2">
      <c r="A1005" s="420"/>
      <c r="B1005" s="423"/>
      <c r="C1005" s="425"/>
      <c r="D1005" s="423"/>
      <c r="E1005" s="423"/>
      <c r="F1005" s="423"/>
      <c r="G1005" s="423"/>
      <c r="H1005" s="423"/>
      <c r="N1005" s="534"/>
    </row>
    <row r="1006" spans="1:14" x14ac:dyDescent="0.2">
      <c r="A1006" s="420"/>
      <c r="B1006" s="423"/>
      <c r="C1006" s="425"/>
      <c r="D1006" s="423"/>
      <c r="E1006" s="423"/>
      <c r="F1006" s="423"/>
      <c r="G1006" s="423"/>
      <c r="H1006" s="423"/>
      <c r="N1006" s="534"/>
    </row>
    <row r="1007" spans="1:14" x14ac:dyDescent="0.2">
      <c r="A1007" s="420"/>
      <c r="B1007" s="423"/>
      <c r="C1007" s="425"/>
      <c r="D1007" s="423"/>
      <c r="E1007" s="423"/>
      <c r="F1007" s="423"/>
      <c r="G1007" s="423"/>
      <c r="H1007" s="423"/>
      <c r="N1007" s="534"/>
    </row>
    <row r="1008" spans="1:14" x14ac:dyDescent="0.2">
      <c r="A1008" s="420"/>
      <c r="B1008" s="423"/>
      <c r="C1008" s="425"/>
      <c r="D1008" s="423"/>
      <c r="E1008" s="423"/>
      <c r="F1008" s="423"/>
      <c r="G1008" s="423"/>
      <c r="H1008" s="423"/>
      <c r="N1008" s="534"/>
    </row>
    <row r="1009" spans="1:14" x14ac:dyDescent="0.2">
      <c r="A1009" s="420"/>
      <c r="B1009" s="423"/>
      <c r="C1009" s="425"/>
      <c r="D1009" s="423"/>
      <c r="E1009" s="423"/>
      <c r="F1009" s="423"/>
      <c r="G1009" s="423"/>
      <c r="H1009" s="423"/>
      <c r="N1009" s="534"/>
    </row>
    <row r="1010" spans="1:14" x14ac:dyDescent="0.2">
      <c r="A1010" s="420"/>
      <c r="B1010" s="423"/>
      <c r="C1010" s="425"/>
      <c r="D1010" s="423"/>
      <c r="E1010" s="423"/>
      <c r="F1010" s="423"/>
      <c r="G1010" s="423"/>
      <c r="H1010" s="423"/>
      <c r="N1010" s="534"/>
    </row>
    <row r="1011" spans="1:14" x14ac:dyDescent="0.2">
      <c r="A1011" s="420"/>
      <c r="B1011" s="423"/>
      <c r="C1011" s="425"/>
      <c r="D1011" s="423"/>
      <c r="E1011" s="423"/>
      <c r="F1011" s="423"/>
      <c r="G1011" s="423"/>
      <c r="H1011" s="423"/>
      <c r="N1011" s="534"/>
    </row>
    <row r="1012" spans="1:14" x14ac:dyDescent="0.2">
      <c r="A1012" s="420"/>
      <c r="B1012" s="423"/>
      <c r="C1012" s="425"/>
      <c r="D1012" s="423"/>
      <c r="E1012" s="423"/>
      <c r="F1012" s="423"/>
      <c r="G1012" s="423"/>
      <c r="H1012" s="423"/>
      <c r="N1012" s="534"/>
    </row>
    <row r="1013" spans="1:14" x14ac:dyDescent="0.2">
      <c r="A1013" s="420"/>
      <c r="B1013" s="423"/>
      <c r="C1013" s="425"/>
      <c r="D1013" s="423"/>
      <c r="E1013" s="423"/>
      <c r="F1013" s="423"/>
      <c r="G1013" s="423"/>
      <c r="H1013" s="423"/>
      <c r="N1013" s="534"/>
    </row>
    <row r="1014" spans="1:14" x14ac:dyDescent="0.2">
      <c r="A1014" s="420"/>
      <c r="B1014" s="423"/>
      <c r="C1014" s="425"/>
      <c r="D1014" s="423"/>
      <c r="E1014" s="423"/>
      <c r="F1014" s="423"/>
      <c r="G1014" s="423"/>
      <c r="H1014" s="423"/>
      <c r="N1014" s="534"/>
    </row>
    <row r="1015" spans="1:14" x14ac:dyDescent="0.2">
      <c r="A1015" s="420"/>
      <c r="B1015" s="423"/>
      <c r="C1015" s="425"/>
      <c r="D1015" s="423"/>
      <c r="E1015" s="423"/>
      <c r="F1015" s="423"/>
      <c r="G1015" s="423"/>
      <c r="H1015" s="423"/>
      <c r="N1015" s="534"/>
    </row>
    <row r="1016" spans="1:14" x14ac:dyDescent="0.2">
      <c r="A1016" s="420"/>
      <c r="B1016" s="423"/>
      <c r="C1016" s="425"/>
      <c r="D1016" s="423"/>
      <c r="E1016" s="423"/>
      <c r="F1016" s="423"/>
      <c r="G1016" s="423"/>
      <c r="H1016" s="423"/>
      <c r="N1016" s="534"/>
    </row>
    <row r="1017" spans="1:14" x14ac:dyDescent="0.2">
      <c r="A1017" s="420"/>
      <c r="B1017" s="423"/>
      <c r="C1017" s="425"/>
      <c r="D1017" s="423"/>
      <c r="E1017" s="423"/>
      <c r="F1017" s="423"/>
      <c r="G1017" s="423"/>
      <c r="H1017" s="423"/>
      <c r="N1017" s="534"/>
    </row>
    <row r="1018" spans="1:14" x14ac:dyDescent="0.2">
      <c r="A1018" s="420"/>
      <c r="B1018" s="423"/>
      <c r="C1018" s="425"/>
      <c r="D1018" s="423"/>
      <c r="E1018" s="423"/>
      <c r="F1018" s="423"/>
      <c r="G1018" s="423"/>
      <c r="H1018" s="423"/>
      <c r="N1018" s="534"/>
    </row>
    <row r="1019" spans="1:14" x14ac:dyDescent="0.2">
      <c r="A1019" s="420"/>
      <c r="B1019" s="423"/>
      <c r="C1019" s="425"/>
      <c r="D1019" s="423"/>
      <c r="E1019" s="423"/>
      <c r="F1019" s="423"/>
      <c r="G1019" s="423"/>
      <c r="H1019" s="423"/>
      <c r="N1019" s="534"/>
    </row>
    <row r="1020" spans="1:14" x14ac:dyDescent="0.2">
      <c r="A1020" s="420"/>
      <c r="B1020" s="423"/>
      <c r="C1020" s="425"/>
      <c r="D1020" s="423"/>
      <c r="E1020" s="423"/>
      <c r="F1020" s="423"/>
      <c r="G1020" s="423"/>
      <c r="H1020" s="423"/>
      <c r="N1020" s="534"/>
    </row>
    <row r="1021" spans="1:14" x14ac:dyDescent="0.2">
      <c r="A1021" s="420"/>
      <c r="B1021" s="423"/>
      <c r="C1021" s="425"/>
      <c r="D1021" s="423"/>
      <c r="E1021" s="423"/>
      <c r="F1021" s="423"/>
      <c r="G1021" s="423"/>
      <c r="H1021" s="423"/>
      <c r="N1021" s="534"/>
    </row>
    <row r="1022" spans="1:14" x14ac:dyDescent="0.2">
      <c r="A1022" s="420"/>
      <c r="B1022" s="423"/>
      <c r="C1022" s="425"/>
      <c r="D1022" s="423"/>
      <c r="E1022" s="423"/>
      <c r="F1022" s="423"/>
      <c r="G1022" s="423"/>
      <c r="H1022" s="423"/>
      <c r="N1022" s="534"/>
    </row>
    <row r="1023" spans="1:14" x14ac:dyDescent="0.2">
      <c r="A1023" s="420"/>
      <c r="B1023" s="423"/>
      <c r="C1023" s="425"/>
      <c r="D1023" s="423"/>
      <c r="E1023" s="423"/>
      <c r="F1023" s="423"/>
      <c r="G1023" s="423"/>
      <c r="H1023" s="423"/>
      <c r="N1023" s="534"/>
    </row>
    <row r="1024" spans="1:14" x14ac:dyDescent="0.2">
      <c r="A1024" s="420"/>
      <c r="B1024" s="423"/>
      <c r="C1024" s="425"/>
      <c r="D1024" s="423"/>
      <c r="E1024" s="423"/>
      <c r="F1024" s="423"/>
      <c r="G1024" s="423"/>
      <c r="H1024" s="423"/>
      <c r="N1024" s="534"/>
    </row>
    <row r="1025" spans="1:14" x14ac:dyDescent="0.2">
      <c r="A1025" s="420"/>
      <c r="B1025" s="423"/>
      <c r="C1025" s="425"/>
      <c r="D1025" s="423"/>
      <c r="E1025" s="423"/>
      <c r="F1025" s="423"/>
      <c r="G1025" s="423"/>
      <c r="H1025" s="423"/>
      <c r="N1025" s="534"/>
    </row>
    <row r="1026" spans="1:14" x14ac:dyDescent="0.2">
      <c r="A1026" s="420"/>
      <c r="B1026" s="423"/>
      <c r="C1026" s="425"/>
      <c r="D1026" s="423"/>
      <c r="E1026" s="423"/>
      <c r="F1026" s="423"/>
      <c r="G1026" s="423"/>
      <c r="H1026" s="423"/>
      <c r="N1026" s="534"/>
    </row>
    <row r="1027" spans="1:14" x14ac:dyDescent="0.2">
      <c r="A1027" s="420"/>
      <c r="B1027" s="423"/>
      <c r="C1027" s="425"/>
      <c r="D1027" s="423"/>
      <c r="E1027" s="423"/>
      <c r="F1027" s="423"/>
      <c r="G1027" s="423"/>
      <c r="H1027" s="423"/>
      <c r="N1027" s="534"/>
    </row>
    <row r="1028" spans="1:14" x14ac:dyDescent="0.2">
      <c r="A1028" s="420"/>
      <c r="B1028" s="423"/>
      <c r="C1028" s="425"/>
      <c r="D1028" s="423"/>
      <c r="E1028" s="423"/>
      <c r="F1028" s="423"/>
      <c r="G1028" s="423"/>
      <c r="H1028" s="423"/>
      <c r="N1028" s="534"/>
    </row>
    <row r="1029" spans="1:14" x14ac:dyDescent="0.2">
      <c r="A1029" s="420"/>
      <c r="B1029" s="423"/>
      <c r="C1029" s="425"/>
      <c r="D1029" s="423"/>
      <c r="E1029" s="423"/>
      <c r="F1029" s="423"/>
      <c r="G1029" s="423"/>
      <c r="H1029" s="423"/>
      <c r="N1029" s="534"/>
    </row>
    <row r="1030" spans="1:14" x14ac:dyDescent="0.2">
      <c r="A1030" s="420"/>
      <c r="B1030" s="423"/>
      <c r="C1030" s="425"/>
      <c r="D1030" s="423"/>
      <c r="E1030" s="423"/>
      <c r="F1030" s="423"/>
      <c r="G1030" s="423"/>
      <c r="H1030" s="423"/>
      <c r="N1030" s="534"/>
    </row>
    <row r="1031" spans="1:14" x14ac:dyDescent="0.2">
      <c r="A1031" s="420"/>
      <c r="B1031" s="423"/>
      <c r="C1031" s="425"/>
      <c r="D1031" s="423"/>
      <c r="E1031" s="423"/>
      <c r="F1031" s="423"/>
      <c r="G1031" s="423"/>
      <c r="H1031" s="423"/>
      <c r="N1031" s="534"/>
    </row>
    <row r="1032" spans="1:14" x14ac:dyDescent="0.2">
      <c r="A1032" s="420"/>
      <c r="B1032" s="423"/>
      <c r="C1032" s="425"/>
      <c r="D1032" s="423"/>
      <c r="E1032" s="423"/>
      <c r="F1032" s="423"/>
      <c r="G1032" s="423"/>
      <c r="H1032" s="423"/>
      <c r="N1032" s="534"/>
    </row>
    <row r="1033" spans="1:14" x14ac:dyDescent="0.2">
      <c r="A1033" s="420"/>
      <c r="B1033" s="423"/>
      <c r="C1033" s="425"/>
      <c r="D1033" s="423"/>
      <c r="E1033" s="423"/>
      <c r="F1033" s="423"/>
      <c r="G1033" s="423"/>
      <c r="H1033" s="423"/>
      <c r="N1033" s="534"/>
    </row>
    <row r="1034" spans="1:14" x14ac:dyDescent="0.2">
      <c r="A1034" s="420"/>
      <c r="B1034" s="423"/>
      <c r="C1034" s="425"/>
      <c r="D1034" s="423"/>
      <c r="E1034" s="423"/>
      <c r="F1034" s="423"/>
      <c r="G1034" s="423"/>
      <c r="H1034" s="423"/>
      <c r="N1034" s="534"/>
    </row>
    <row r="1035" spans="1:14" x14ac:dyDescent="0.2">
      <c r="A1035" s="420"/>
      <c r="B1035" s="423"/>
      <c r="C1035" s="425"/>
      <c r="D1035" s="423"/>
      <c r="E1035" s="423"/>
      <c r="F1035" s="423"/>
      <c r="G1035" s="423"/>
      <c r="H1035" s="423"/>
      <c r="N1035" s="534"/>
    </row>
    <row r="1036" spans="1:14" x14ac:dyDescent="0.2">
      <c r="A1036" s="420"/>
      <c r="B1036" s="423"/>
      <c r="C1036" s="425"/>
      <c r="D1036" s="423"/>
      <c r="E1036" s="423"/>
      <c r="F1036" s="423"/>
      <c r="G1036" s="423"/>
      <c r="H1036" s="423"/>
      <c r="N1036" s="534"/>
    </row>
    <row r="1037" spans="1:14" x14ac:dyDescent="0.2">
      <c r="A1037" s="420"/>
      <c r="B1037" s="423"/>
      <c r="C1037" s="425"/>
      <c r="D1037" s="423"/>
      <c r="E1037" s="423"/>
      <c r="F1037" s="423"/>
      <c r="G1037" s="423"/>
      <c r="H1037" s="423"/>
      <c r="N1037" s="534"/>
    </row>
    <row r="1038" spans="1:14" x14ac:dyDescent="0.2">
      <c r="A1038" s="420"/>
      <c r="B1038" s="423"/>
      <c r="C1038" s="425"/>
      <c r="D1038" s="423"/>
      <c r="E1038" s="423"/>
      <c r="F1038" s="423"/>
      <c r="G1038" s="423"/>
      <c r="H1038" s="423"/>
      <c r="N1038" s="534"/>
    </row>
    <row r="1039" spans="1:14" x14ac:dyDescent="0.2">
      <c r="A1039" s="420"/>
      <c r="B1039" s="423"/>
      <c r="C1039" s="425"/>
      <c r="D1039" s="423"/>
      <c r="E1039" s="423"/>
      <c r="F1039" s="423"/>
      <c r="G1039" s="423"/>
      <c r="H1039" s="423"/>
      <c r="N1039" s="534"/>
    </row>
    <row r="1040" spans="1:14" x14ac:dyDescent="0.2">
      <c r="A1040" s="420"/>
      <c r="B1040" s="423"/>
      <c r="C1040" s="425"/>
      <c r="D1040" s="423"/>
      <c r="E1040" s="423"/>
      <c r="F1040" s="423"/>
      <c r="G1040" s="423"/>
      <c r="H1040" s="423"/>
      <c r="N1040" s="534"/>
    </row>
    <row r="1041" spans="1:14" x14ac:dyDescent="0.2">
      <c r="A1041" s="420"/>
      <c r="B1041" s="423"/>
      <c r="C1041" s="425"/>
      <c r="D1041" s="423"/>
      <c r="E1041" s="423"/>
      <c r="F1041" s="423"/>
      <c r="G1041" s="423"/>
      <c r="H1041" s="423"/>
      <c r="N1041" s="534"/>
    </row>
    <row r="1042" spans="1:14" x14ac:dyDescent="0.2">
      <c r="A1042" s="420"/>
      <c r="B1042" s="423"/>
      <c r="C1042" s="425"/>
      <c r="D1042" s="423"/>
      <c r="E1042" s="423"/>
      <c r="F1042" s="423"/>
      <c r="G1042" s="423"/>
      <c r="H1042" s="423"/>
      <c r="N1042" s="534"/>
    </row>
    <row r="1043" spans="1:14" x14ac:dyDescent="0.2">
      <c r="A1043" s="420"/>
      <c r="B1043" s="423"/>
      <c r="C1043" s="425"/>
      <c r="D1043" s="423"/>
      <c r="E1043" s="423"/>
      <c r="F1043" s="423"/>
      <c r="G1043" s="423"/>
      <c r="H1043" s="423"/>
      <c r="N1043" s="534"/>
    </row>
    <row r="1044" spans="1:14" x14ac:dyDescent="0.2">
      <c r="A1044" s="420"/>
      <c r="B1044" s="423"/>
      <c r="C1044" s="425"/>
      <c r="D1044" s="423"/>
      <c r="E1044" s="423"/>
      <c r="F1044" s="423"/>
      <c r="G1044" s="423"/>
      <c r="H1044" s="423"/>
      <c r="N1044" s="534"/>
    </row>
    <row r="1045" spans="1:14" x14ac:dyDescent="0.2">
      <c r="A1045" s="420"/>
      <c r="B1045" s="423"/>
      <c r="C1045" s="425"/>
      <c r="D1045" s="423"/>
      <c r="E1045" s="423"/>
      <c r="F1045" s="423"/>
      <c r="G1045" s="423"/>
      <c r="H1045" s="423"/>
      <c r="N1045" s="534"/>
    </row>
    <row r="1046" spans="1:14" x14ac:dyDescent="0.2">
      <c r="A1046" s="420"/>
      <c r="B1046" s="423"/>
      <c r="C1046" s="425"/>
      <c r="D1046" s="423"/>
      <c r="E1046" s="423"/>
      <c r="F1046" s="423"/>
      <c r="G1046" s="423"/>
      <c r="H1046" s="423"/>
      <c r="N1046" s="534"/>
    </row>
    <row r="1047" spans="1:14" x14ac:dyDescent="0.2">
      <c r="A1047" s="420"/>
      <c r="B1047" s="423"/>
      <c r="C1047" s="425"/>
      <c r="D1047" s="423"/>
      <c r="E1047" s="423"/>
      <c r="F1047" s="423"/>
      <c r="G1047" s="423"/>
      <c r="H1047" s="423"/>
      <c r="N1047" s="534"/>
    </row>
    <row r="1048" spans="1:14" x14ac:dyDescent="0.2">
      <c r="A1048" s="420"/>
      <c r="B1048" s="423"/>
      <c r="C1048" s="425"/>
      <c r="D1048" s="423"/>
      <c r="E1048" s="423"/>
      <c r="F1048" s="423"/>
      <c r="G1048" s="423"/>
      <c r="H1048" s="423"/>
      <c r="N1048" s="534"/>
    </row>
    <row r="1049" spans="1:14" x14ac:dyDescent="0.2">
      <c r="A1049" s="420"/>
      <c r="B1049" s="423"/>
      <c r="C1049" s="425"/>
      <c r="D1049" s="423"/>
      <c r="E1049" s="423"/>
      <c r="F1049" s="423"/>
      <c r="G1049" s="423"/>
      <c r="H1049" s="423"/>
      <c r="N1049" s="534"/>
    </row>
    <row r="1050" spans="1:14" x14ac:dyDescent="0.2">
      <c r="A1050" s="420"/>
      <c r="B1050" s="423"/>
      <c r="C1050" s="425"/>
      <c r="D1050" s="423"/>
      <c r="E1050" s="423"/>
      <c r="F1050" s="423"/>
      <c r="G1050" s="423"/>
      <c r="H1050" s="423"/>
      <c r="N1050" s="534"/>
    </row>
    <row r="1051" spans="1:14" x14ac:dyDescent="0.2">
      <c r="A1051" s="420"/>
      <c r="B1051" s="423"/>
      <c r="C1051" s="425"/>
      <c r="D1051" s="423"/>
      <c r="E1051" s="423"/>
      <c r="F1051" s="423"/>
      <c r="G1051" s="423"/>
      <c r="H1051" s="423"/>
      <c r="N1051" s="534"/>
    </row>
    <row r="1052" spans="1:14" x14ac:dyDescent="0.2">
      <c r="A1052" s="420"/>
      <c r="B1052" s="423"/>
      <c r="C1052" s="425"/>
      <c r="D1052" s="423"/>
      <c r="E1052" s="423"/>
      <c r="F1052" s="423"/>
      <c r="G1052" s="423"/>
      <c r="H1052" s="423"/>
      <c r="N1052" s="534"/>
    </row>
    <row r="1053" spans="1:14" x14ac:dyDescent="0.2">
      <c r="A1053" s="420"/>
      <c r="B1053" s="423"/>
      <c r="C1053" s="425"/>
      <c r="D1053" s="423"/>
      <c r="E1053" s="423"/>
      <c r="F1053" s="423"/>
      <c r="G1053" s="423"/>
      <c r="H1053" s="423"/>
      <c r="N1053" s="534"/>
    </row>
    <row r="1054" spans="1:14" x14ac:dyDescent="0.2">
      <c r="A1054" s="420"/>
      <c r="B1054" s="423"/>
      <c r="C1054" s="425"/>
      <c r="D1054" s="423"/>
      <c r="E1054" s="423"/>
      <c r="F1054" s="423"/>
      <c r="G1054" s="423"/>
      <c r="H1054" s="423"/>
      <c r="N1054" s="534"/>
    </row>
    <row r="1055" spans="1:14" x14ac:dyDescent="0.2">
      <c r="A1055" s="420"/>
      <c r="B1055" s="423"/>
      <c r="C1055" s="425"/>
      <c r="D1055" s="423"/>
      <c r="E1055" s="423"/>
      <c r="F1055" s="423"/>
      <c r="G1055" s="423"/>
      <c r="H1055" s="423"/>
      <c r="N1055" s="534"/>
    </row>
    <row r="1056" spans="1:14" x14ac:dyDescent="0.2">
      <c r="A1056" s="420"/>
      <c r="B1056" s="423"/>
      <c r="C1056" s="425"/>
      <c r="D1056" s="423"/>
      <c r="E1056" s="423"/>
      <c r="F1056" s="423"/>
      <c r="G1056" s="423"/>
      <c r="H1056" s="423"/>
      <c r="N1056" s="534"/>
    </row>
    <row r="1057" spans="1:14" x14ac:dyDescent="0.2">
      <c r="A1057" s="420"/>
      <c r="B1057" s="423"/>
      <c r="C1057" s="425"/>
      <c r="D1057" s="423"/>
      <c r="E1057" s="423"/>
      <c r="F1057" s="423"/>
      <c r="G1057" s="423"/>
      <c r="H1057" s="423"/>
      <c r="N1057" s="534"/>
    </row>
    <row r="1058" spans="1:14" x14ac:dyDescent="0.2">
      <c r="A1058" s="420"/>
      <c r="B1058" s="423"/>
      <c r="C1058" s="425"/>
      <c r="D1058" s="423"/>
      <c r="E1058" s="423"/>
      <c r="F1058" s="423"/>
      <c r="G1058" s="423"/>
      <c r="H1058" s="423"/>
      <c r="N1058" s="534"/>
    </row>
    <row r="1059" spans="1:14" x14ac:dyDescent="0.2">
      <c r="A1059" s="420"/>
      <c r="B1059" s="423"/>
      <c r="C1059" s="425"/>
      <c r="D1059" s="423"/>
      <c r="E1059" s="423"/>
      <c r="F1059" s="423"/>
      <c r="G1059" s="423"/>
      <c r="H1059" s="423"/>
      <c r="N1059" s="534"/>
    </row>
    <row r="1060" spans="1:14" x14ac:dyDescent="0.2">
      <c r="A1060" s="420"/>
      <c r="B1060" s="423"/>
      <c r="C1060" s="425"/>
      <c r="D1060" s="423"/>
      <c r="E1060" s="423"/>
      <c r="F1060" s="423"/>
      <c r="G1060" s="423"/>
      <c r="H1060" s="423"/>
      <c r="N1060" s="534"/>
    </row>
    <row r="1061" spans="1:14" x14ac:dyDescent="0.2">
      <c r="A1061" s="420"/>
      <c r="B1061" s="423"/>
      <c r="C1061" s="425"/>
      <c r="D1061" s="423"/>
      <c r="E1061" s="423"/>
      <c r="F1061" s="423"/>
      <c r="G1061" s="423"/>
      <c r="H1061" s="423"/>
      <c r="N1061" s="534"/>
    </row>
    <row r="1062" spans="1:14" x14ac:dyDescent="0.2">
      <c r="A1062" s="420"/>
      <c r="B1062" s="423"/>
      <c r="C1062" s="425"/>
      <c r="D1062" s="423"/>
      <c r="E1062" s="423"/>
      <c r="F1062" s="423"/>
      <c r="G1062" s="423"/>
      <c r="H1062" s="423"/>
      <c r="N1062" s="534"/>
    </row>
    <row r="1063" spans="1:14" x14ac:dyDescent="0.2">
      <c r="A1063" s="420"/>
      <c r="B1063" s="423"/>
      <c r="C1063" s="425"/>
      <c r="D1063" s="423"/>
      <c r="E1063" s="423"/>
      <c r="F1063" s="423"/>
      <c r="G1063" s="423"/>
      <c r="H1063" s="423"/>
      <c r="N1063" s="534"/>
    </row>
    <row r="1064" spans="1:14" x14ac:dyDescent="0.2">
      <c r="A1064" s="420"/>
      <c r="B1064" s="423"/>
      <c r="C1064" s="425"/>
      <c r="D1064" s="423"/>
      <c r="E1064" s="423"/>
      <c r="F1064" s="423"/>
      <c r="G1064" s="423"/>
      <c r="H1064" s="423"/>
      <c r="N1064" s="534"/>
    </row>
    <row r="1065" spans="1:14" x14ac:dyDescent="0.2">
      <c r="A1065" s="420"/>
      <c r="B1065" s="423"/>
      <c r="C1065" s="425"/>
      <c r="D1065" s="423"/>
      <c r="E1065" s="423"/>
      <c r="F1065" s="423"/>
      <c r="G1065" s="423"/>
      <c r="H1065" s="423"/>
      <c r="N1065" s="534"/>
    </row>
    <row r="1066" spans="1:14" x14ac:dyDescent="0.2">
      <c r="A1066" s="420"/>
      <c r="B1066" s="423"/>
      <c r="C1066" s="425"/>
      <c r="D1066" s="423"/>
      <c r="E1066" s="423"/>
      <c r="F1066" s="423"/>
      <c r="G1066" s="423"/>
      <c r="H1066" s="423"/>
      <c r="N1066" s="534"/>
    </row>
    <row r="1067" spans="1:14" x14ac:dyDescent="0.2">
      <c r="A1067" s="420"/>
      <c r="B1067" s="423"/>
      <c r="C1067" s="425"/>
      <c r="D1067" s="423"/>
      <c r="E1067" s="423"/>
      <c r="F1067" s="423"/>
      <c r="G1067" s="423"/>
      <c r="H1067" s="423"/>
      <c r="N1067" s="534"/>
    </row>
    <row r="1068" spans="1:14" x14ac:dyDescent="0.2">
      <c r="A1068" s="420"/>
      <c r="B1068" s="423"/>
      <c r="C1068" s="425"/>
      <c r="D1068" s="423"/>
      <c r="E1068" s="423"/>
      <c r="F1068" s="423"/>
      <c r="G1068" s="423"/>
      <c r="H1068" s="423"/>
      <c r="N1068" s="534"/>
    </row>
    <row r="1069" spans="1:14" x14ac:dyDescent="0.2">
      <c r="A1069" s="420"/>
      <c r="B1069" s="423"/>
      <c r="C1069" s="425"/>
      <c r="D1069" s="423"/>
      <c r="E1069" s="423"/>
      <c r="F1069" s="423"/>
      <c r="G1069" s="423"/>
      <c r="H1069" s="423"/>
      <c r="N1069" s="534"/>
    </row>
    <row r="1070" spans="1:14" x14ac:dyDescent="0.2">
      <c r="A1070" s="420"/>
      <c r="B1070" s="423"/>
      <c r="C1070" s="425"/>
      <c r="D1070" s="423"/>
      <c r="E1070" s="423"/>
      <c r="F1070" s="423"/>
      <c r="G1070" s="423"/>
      <c r="H1070" s="423"/>
      <c r="N1070" s="534"/>
    </row>
    <row r="1071" spans="1:14" x14ac:dyDescent="0.2">
      <c r="A1071" s="420"/>
      <c r="B1071" s="423"/>
      <c r="C1071" s="425"/>
      <c r="D1071" s="423"/>
      <c r="E1071" s="423"/>
      <c r="F1071" s="423"/>
      <c r="G1071" s="423"/>
      <c r="H1071" s="423"/>
      <c r="N1071" s="534"/>
    </row>
    <row r="1072" spans="1:14" x14ac:dyDescent="0.2">
      <c r="A1072" s="420"/>
      <c r="B1072" s="423"/>
      <c r="C1072" s="425"/>
      <c r="D1072" s="423"/>
      <c r="E1072" s="423"/>
      <c r="F1072" s="423"/>
      <c r="G1072" s="423"/>
      <c r="H1072" s="423"/>
      <c r="N1072" s="534"/>
    </row>
    <row r="1073" spans="1:14" x14ac:dyDescent="0.2">
      <c r="A1073" s="420"/>
      <c r="B1073" s="423"/>
      <c r="C1073" s="425"/>
      <c r="D1073" s="423"/>
      <c r="E1073" s="423"/>
      <c r="F1073" s="423"/>
      <c r="G1073" s="423"/>
      <c r="H1073" s="423"/>
      <c r="N1073" s="534"/>
    </row>
    <row r="1074" spans="1:14" x14ac:dyDescent="0.2">
      <c r="A1074" s="420"/>
      <c r="B1074" s="423"/>
      <c r="C1074" s="425"/>
      <c r="D1074" s="423"/>
      <c r="E1074" s="423"/>
      <c r="F1074" s="423"/>
      <c r="G1074" s="423"/>
      <c r="H1074" s="423"/>
      <c r="N1074" s="534"/>
    </row>
    <row r="1075" spans="1:14" x14ac:dyDescent="0.2">
      <c r="A1075" s="420"/>
      <c r="B1075" s="423"/>
      <c r="C1075" s="425"/>
      <c r="D1075" s="423"/>
      <c r="E1075" s="423"/>
      <c r="F1075" s="423"/>
      <c r="G1075" s="423"/>
      <c r="H1075" s="423"/>
      <c r="N1075" s="534"/>
    </row>
    <row r="1076" spans="1:14" x14ac:dyDescent="0.2">
      <c r="A1076" s="420"/>
      <c r="B1076" s="423"/>
      <c r="C1076" s="425"/>
      <c r="D1076" s="423"/>
      <c r="E1076" s="423"/>
      <c r="F1076" s="423"/>
      <c r="G1076" s="423"/>
      <c r="H1076" s="423"/>
      <c r="N1076" s="534"/>
    </row>
    <row r="1077" spans="1:14" x14ac:dyDescent="0.2">
      <c r="A1077" s="420"/>
      <c r="B1077" s="423"/>
      <c r="C1077" s="425"/>
      <c r="D1077" s="423"/>
      <c r="E1077" s="423"/>
      <c r="F1077" s="423"/>
      <c r="G1077" s="423"/>
      <c r="H1077" s="423"/>
      <c r="N1077" s="534"/>
    </row>
    <row r="1078" spans="1:14" x14ac:dyDescent="0.2">
      <c r="A1078" s="420"/>
      <c r="B1078" s="423"/>
      <c r="C1078" s="425"/>
      <c r="D1078" s="423"/>
      <c r="E1078" s="423"/>
      <c r="F1078" s="423"/>
      <c r="G1078" s="423"/>
      <c r="H1078" s="423"/>
      <c r="N1078" s="534"/>
    </row>
    <row r="1079" spans="1:14" x14ac:dyDescent="0.2">
      <c r="A1079" s="420"/>
      <c r="B1079" s="423"/>
      <c r="C1079" s="425"/>
      <c r="D1079" s="423"/>
      <c r="E1079" s="423"/>
      <c r="F1079" s="423"/>
      <c r="G1079" s="423"/>
      <c r="H1079" s="423"/>
      <c r="N1079" s="534"/>
    </row>
    <row r="1080" spans="1:14" x14ac:dyDescent="0.2">
      <c r="A1080" s="420"/>
      <c r="B1080" s="423"/>
      <c r="C1080" s="425"/>
      <c r="D1080" s="423"/>
      <c r="E1080" s="423"/>
      <c r="F1080" s="423"/>
      <c r="G1080" s="423"/>
      <c r="H1080" s="423"/>
      <c r="N1080" s="534"/>
    </row>
    <row r="1081" spans="1:14" x14ac:dyDescent="0.2">
      <c r="A1081" s="420"/>
      <c r="B1081" s="423"/>
      <c r="C1081" s="425"/>
      <c r="D1081" s="423"/>
      <c r="E1081" s="423"/>
      <c r="F1081" s="423"/>
      <c r="G1081" s="423"/>
      <c r="H1081" s="423"/>
      <c r="N1081" s="534"/>
    </row>
    <row r="1082" spans="1:14" x14ac:dyDescent="0.2">
      <c r="A1082" s="420"/>
      <c r="B1082" s="423"/>
      <c r="C1082" s="425"/>
      <c r="D1082" s="423"/>
      <c r="E1082" s="423"/>
      <c r="F1082" s="423"/>
      <c r="G1082" s="423"/>
      <c r="H1082" s="423"/>
      <c r="N1082" s="534"/>
    </row>
    <row r="1083" spans="1:14" x14ac:dyDescent="0.2">
      <c r="A1083" s="420"/>
      <c r="B1083" s="423"/>
      <c r="C1083" s="425"/>
      <c r="D1083" s="423"/>
      <c r="E1083" s="423"/>
      <c r="F1083" s="423"/>
      <c r="G1083" s="423"/>
      <c r="H1083" s="423"/>
      <c r="N1083" s="534"/>
    </row>
    <row r="1084" spans="1:14" x14ac:dyDescent="0.2">
      <c r="A1084" s="420"/>
      <c r="B1084" s="423"/>
      <c r="C1084" s="425"/>
      <c r="D1084" s="423"/>
      <c r="E1084" s="423"/>
      <c r="F1084" s="423"/>
      <c r="G1084" s="423"/>
      <c r="H1084" s="423"/>
      <c r="N1084" s="534"/>
    </row>
    <row r="1085" spans="1:14" x14ac:dyDescent="0.2">
      <c r="A1085" s="420"/>
      <c r="B1085" s="423"/>
      <c r="C1085" s="425"/>
      <c r="D1085" s="423"/>
      <c r="E1085" s="423"/>
      <c r="F1085" s="423"/>
      <c r="G1085" s="423"/>
      <c r="H1085" s="423"/>
      <c r="N1085" s="534"/>
    </row>
    <row r="1086" spans="1:14" x14ac:dyDescent="0.2">
      <c r="A1086" s="420"/>
      <c r="B1086" s="423"/>
      <c r="C1086" s="425"/>
      <c r="D1086" s="423"/>
      <c r="E1086" s="423"/>
      <c r="F1086" s="423"/>
      <c r="G1086" s="423"/>
      <c r="H1086" s="423"/>
      <c r="N1086" s="534"/>
    </row>
    <row r="1087" spans="1:14" x14ac:dyDescent="0.2">
      <c r="A1087" s="420"/>
      <c r="B1087" s="423"/>
      <c r="C1087" s="425"/>
      <c r="D1087" s="423"/>
      <c r="E1087" s="423"/>
      <c r="F1087" s="423"/>
      <c r="G1087" s="423"/>
      <c r="H1087" s="423"/>
      <c r="N1087" s="534"/>
    </row>
    <row r="1088" spans="1:14" x14ac:dyDescent="0.2">
      <c r="A1088" s="420"/>
      <c r="B1088" s="423"/>
      <c r="C1088" s="425"/>
      <c r="D1088" s="423"/>
      <c r="E1088" s="423"/>
      <c r="F1088" s="423"/>
      <c r="G1088" s="423"/>
      <c r="H1088" s="423"/>
      <c r="N1088" s="534"/>
    </row>
    <row r="1089" spans="1:14" x14ac:dyDescent="0.2">
      <c r="A1089" s="420"/>
      <c r="B1089" s="423"/>
      <c r="C1089" s="425"/>
      <c r="D1089" s="423"/>
      <c r="E1089" s="423"/>
      <c r="F1089" s="423"/>
      <c r="G1089" s="423"/>
      <c r="H1089" s="423"/>
      <c r="N1089" s="534"/>
    </row>
    <row r="1090" spans="1:14" x14ac:dyDescent="0.2">
      <c r="A1090" s="420"/>
      <c r="B1090" s="423"/>
      <c r="C1090" s="425"/>
      <c r="D1090" s="423"/>
      <c r="E1090" s="423"/>
      <c r="F1090" s="423"/>
      <c r="G1090" s="423"/>
      <c r="H1090" s="423"/>
      <c r="N1090" s="534"/>
    </row>
    <row r="1091" spans="1:14" x14ac:dyDescent="0.2">
      <c r="A1091" s="420"/>
      <c r="B1091" s="423"/>
      <c r="C1091" s="425"/>
      <c r="D1091" s="423"/>
      <c r="E1091" s="423"/>
      <c r="F1091" s="423"/>
      <c r="G1091" s="423"/>
      <c r="H1091" s="423"/>
      <c r="N1091" s="534"/>
    </row>
    <row r="1092" spans="1:14" x14ac:dyDescent="0.2">
      <c r="A1092" s="420"/>
      <c r="B1092" s="423"/>
      <c r="C1092" s="425"/>
      <c r="D1092" s="423"/>
      <c r="E1092" s="423"/>
      <c r="F1092" s="423"/>
      <c r="G1092" s="423"/>
      <c r="H1092" s="423"/>
      <c r="N1092" s="534"/>
    </row>
    <row r="1093" spans="1:14" x14ac:dyDescent="0.2">
      <c r="A1093" s="420"/>
      <c r="B1093" s="423"/>
      <c r="C1093" s="425"/>
      <c r="D1093" s="423"/>
      <c r="E1093" s="423"/>
      <c r="F1093" s="423"/>
      <c r="G1093" s="423"/>
      <c r="H1093" s="423"/>
      <c r="N1093" s="534"/>
    </row>
    <row r="1094" spans="1:14" x14ac:dyDescent="0.2">
      <c r="A1094" s="420"/>
      <c r="B1094" s="423"/>
      <c r="C1094" s="425"/>
      <c r="D1094" s="423"/>
      <c r="E1094" s="423"/>
      <c r="F1094" s="423"/>
      <c r="G1094" s="423"/>
      <c r="H1094" s="423"/>
      <c r="N1094" s="534"/>
    </row>
    <row r="1095" spans="1:14" x14ac:dyDescent="0.2">
      <c r="A1095" s="420"/>
      <c r="B1095" s="423"/>
      <c r="C1095" s="425"/>
      <c r="D1095" s="423"/>
      <c r="E1095" s="423"/>
      <c r="F1095" s="423"/>
      <c r="G1095" s="423"/>
      <c r="H1095" s="423"/>
      <c r="N1095" s="534"/>
    </row>
    <row r="1096" spans="1:14" x14ac:dyDescent="0.2">
      <c r="A1096" s="420"/>
      <c r="B1096" s="423"/>
      <c r="C1096" s="425"/>
      <c r="D1096" s="423"/>
      <c r="E1096" s="423"/>
      <c r="F1096" s="423"/>
      <c r="G1096" s="423"/>
      <c r="H1096" s="423"/>
      <c r="N1096" s="534"/>
    </row>
    <row r="1097" spans="1:14" x14ac:dyDescent="0.2">
      <c r="A1097" s="420"/>
      <c r="B1097" s="423"/>
      <c r="C1097" s="425"/>
      <c r="D1097" s="423"/>
      <c r="E1097" s="423"/>
      <c r="F1097" s="423"/>
      <c r="G1097" s="423"/>
      <c r="H1097" s="423"/>
      <c r="N1097" s="534"/>
    </row>
    <row r="1098" spans="1:14" x14ac:dyDescent="0.2">
      <c r="A1098" s="420"/>
      <c r="B1098" s="423"/>
      <c r="C1098" s="425"/>
      <c r="D1098" s="423"/>
      <c r="E1098" s="423"/>
      <c r="F1098" s="423"/>
      <c r="G1098" s="423"/>
      <c r="H1098" s="423"/>
      <c r="N1098" s="534"/>
    </row>
    <row r="1099" spans="1:14" x14ac:dyDescent="0.2">
      <c r="A1099" s="420"/>
      <c r="B1099" s="423"/>
      <c r="C1099" s="425"/>
      <c r="D1099" s="423"/>
      <c r="E1099" s="423"/>
      <c r="F1099" s="423"/>
      <c r="G1099" s="423"/>
      <c r="H1099" s="423"/>
      <c r="N1099" s="534"/>
    </row>
    <row r="1100" spans="1:14" x14ac:dyDescent="0.2">
      <c r="A1100" s="420"/>
      <c r="B1100" s="423"/>
      <c r="C1100" s="425"/>
      <c r="D1100" s="423"/>
      <c r="E1100" s="423"/>
      <c r="F1100" s="423"/>
      <c r="G1100" s="423"/>
      <c r="H1100" s="423"/>
      <c r="N1100" s="534"/>
    </row>
    <row r="1101" spans="1:14" x14ac:dyDescent="0.2">
      <c r="A1101" s="420"/>
      <c r="B1101" s="423"/>
      <c r="C1101" s="425"/>
      <c r="D1101" s="423"/>
      <c r="E1101" s="423"/>
      <c r="F1101" s="423"/>
      <c r="G1101" s="423"/>
      <c r="H1101" s="423"/>
      <c r="N1101" s="534"/>
    </row>
    <row r="1102" spans="1:14" x14ac:dyDescent="0.2">
      <c r="A1102" s="420"/>
      <c r="B1102" s="423"/>
      <c r="C1102" s="425"/>
      <c r="D1102" s="423"/>
      <c r="E1102" s="423"/>
      <c r="F1102" s="423"/>
      <c r="G1102" s="423"/>
      <c r="H1102" s="423"/>
      <c r="N1102" s="534"/>
    </row>
    <row r="1103" spans="1:14" x14ac:dyDescent="0.2">
      <c r="A1103" s="420"/>
      <c r="B1103" s="423"/>
      <c r="C1103" s="425"/>
      <c r="D1103" s="423"/>
      <c r="E1103" s="423"/>
      <c r="F1103" s="423"/>
      <c r="G1103" s="423"/>
      <c r="H1103" s="423"/>
      <c r="N1103" s="534"/>
    </row>
    <row r="1104" spans="1:14" x14ac:dyDescent="0.2">
      <c r="A1104" s="420"/>
      <c r="B1104" s="423"/>
      <c r="C1104" s="425"/>
      <c r="D1104" s="423"/>
      <c r="E1104" s="423"/>
      <c r="F1104" s="423"/>
      <c r="G1104" s="423"/>
      <c r="H1104" s="423"/>
      <c r="N1104" s="534"/>
    </row>
    <row r="1105" spans="1:14" x14ac:dyDescent="0.2">
      <c r="A1105" s="420"/>
      <c r="B1105" s="423"/>
      <c r="C1105" s="425"/>
      <c r="D1105" s="423"/>
      <c r="E1105" s="423"/>
      <c r="F1105" s="423"/>
      <c r="G1105" s="423"/>
      <c r="H1105" s="423"/>
      <c r="N1105" s="534"/>
    </row>
    <row r="1106" spans="1:14" x14ac:dyDescent="0.2">
      <c r="A1106" s="420"/>
      <c r="B1106" s="423"/>
      <c r="C1106" s="425"/>
      <c r="D1106" s="423"/>
      <c r="E1106" s="423"/>
      <c r="F1106" s="423"/>
      <c r="G1106" s="423"/>
      <c r="H1106" s="423"/>
      <c r="N1106" s="534"/>
    </row>
    <row r="1107" spans="1:14" x14ac:dyDescent="0.2">
      <c r="A1107" s="420"/>
      <c r="B1107" s="423"/>
      <c r="C1107" s="425"/>
      <c r="D1107" s="423"/>
      <c r="E1107" s="423"/>
      <c r="F1107" s="423"/>
      <c r="G1107" s="423"/>
      <c r="H1107" s="423"/>
      <c r="N1107" s="534"/>
    </row>
    <row r="1108" spans="1:14" x14ac:dyDescent="0.2">
      <c r="A1108" s="420"/>
      <c r="B1108" s="423"/>
      <c r="C1108" s="425"/>
      <c r="D1108" s="423"/>
      <c r="E1108" s="423"/>
      <c r="F1108" s="423"/>
      <c r="G1108" s="423"/>
      <c r="H1108" s="423"/>
      <c r="N1108" s="534"/>
    </row>
    <row r="1109" spans="1:14" x14ac:dyDescent="0.2">
      <c r="A1109" s="420"/>
      <c r="B1109" s="423"/>
      <c r="C1109" s="425"/>
      <c r="D1109" s="423"/>
      <c r="E1109" s="423"/>
      <c r="F1109" s="423"/>
      <c r="G1109" s="423"/>
      <c r="H1109" s="423"/>
      <c r="N1109" s="534"/>
    </row>
    <row r="1110" spans="1:14" x14ac:dyDescent="0.2">
      <c r="A1110" s="420"/>
      <c r="B1110" s="423"/>
      <c r="C1110" s="425"/>
      <c r="D1110" s="423"/>
      <c r="E1110" s="423"/>
      <c r="F1110" s="423"/>
      <c r="G1110" s="423"/>
      <c r="H1110" s="423"/>
      <c r="N1110" s="534"/>
    </row>
    <row r="1111" spans="1:14" x14ac:dyDescent="0.2">
      <c r="A1111" s="420"/>
      <c r="B1111" s="423"/>
      <c r="C1111" s="425"/>
      <c r="D1111" s="423"/>
      <c r="E1111" s="423"/>
      <c r="F1111" s="423"/>
      <c r="G1111" s="423"/>
      <c r="H1111" s="423"/>
      <c r="N1111" s="534"/>
    </row>
    <row r="1112" spans="1:14" x14ac:dyDescent="0.2">
      <c r="A1112" s="420"/>
      <c r="B1112" s="423"/>
      <c r="C1112" s="425"/>
      <c r="D1112" s="423"/>
      <c r="E1112" s="423"/>
      <c r="F1112" s="423"/>
      <c r="G1112" s="423"/>
      <c r="H1112" s="423"/>
      <c r="N1112" s="534"/>
    </row>
    <row r="1113" spans="1:14" x14ac:dyDescent="0.2">
      <c r="A1113" s="420"/>
      <c r="B1113" s="423"/>
      <c r="C1113" s="425"/>
      <c r="D1113" s="423"/>
      <c r="E1113" s="423"/>
      <c r="F1113" s="423"/>
      <c r="G1113" s="423"/>
      <c r="H1113" s="423"/>
      <c r="N1113" s="534"/>
    </row>
    <row r="1114" spans="1:14" x14ac:dyDescent="0.2">
      <c r="A1114" s="420"/>
      <c r="B1114" s="423"/>
      <c r="C1114" s="425"/>
      <c r="D1114" s="423"/>
      <c r="E1114" s="423"/>
      <c r="F1114" s="423"/>
      <c r="G1114" s="423"/>
      <c r="H1114" s="423"/>
      <c r="N1114" s="534"/>
    </row>
    <row r="1115" spans="1:14" x14ac:dyDescent="0.2">
      <c r="A1115" s="420"/>
      <c r="B1115" s="423"/>
      <c r="C1115" s="425"/>
      <c r="D1115" s="423"/>
      <c r="E1115" s="423"/>
      <c r="F1115" s="423"/>
      <c r="G1115" s="423"/>
      <c r="H1115" s="423"/>
      <c r="N1115" s="534"/>
    </row>
    <row r="1116" spans="1:14" x14ac:dyDescent="0.2">
      <c r="A1116" s="420"/>
      <c r="B1116" s="423"/>
      <c r="C1116" s="425"/>
      <c r="D1116" s="423"/>
      <c r="E1116" s="423"/>
      <c r="F1116" s="423"/>
      <c r="G1116" s="423"/>
      <c r="H1116" s="423"/>
      <c r="N1116" s="534"/>
    </row>
    <row r="1117" spans="1:14" x14ac:dyDescent="0.2">
      <c r="A1117" s="420"/>
      <c r="B1117" s="423"/>
      <c r="C1117" s="425"/>
      <c r="D1117" s="423"/>
      <c r="E1117" s="423"/>
      <c r="F1117" s="423"/>
      <c r="G1117" s="423"/>
      <c r="H1117" s="423"/>
      <c r="N1117" s="534"/>
    </row>
    <row r="1118" spans="1:14" x14ac:dyDescent="0.2">
      <c r="A1118" s="420"/>
      <c r="B1118" s="423"/>
      <c r="C1118" s="425"/>
      <c r="D1118" s="423"/>
      <c r="E1118" s="423"/>
      <c r="F1118" s="423"/>
      <c r="G1118" s="423"/>
      <c r="H1118" s="423"/>
      <c r="N1118" s="534"/>
    </row>
    <row r="1119" spans="1:14" x14ac:dyDescent="0.2">
      <c r="A1119" s="420"/>
      <c r="B1119" s="423"/>
      <c r="C1119" s="425"/>
      <c r="D1119" s="423"/>
      <c r="E1119" s="423"/>
      <c r="F1119" s="423"/>
      <c r="G1119" s="423"/>
      <c r="H1119" s="423"/>
      <c r="N1119" s="534"/>
    </row>
    <row r="1120" spans="1:14" x14ac:dyDescent="0.2">
      <c r="A1120" s="420"/>
      <c r="B1120" s="423"/>
      <c r="C1120" s="425"/>
      <c r="D1120" s="423"/>
      <c r="E1120" s="423"/>
      <c r="F1120" s="423"/>
      <c r="G1120" s="423"/>
      <c r="H1120" s="423"/>
      <c r="N1120" s="534"/>
    </row>
    <row r="1121" spans="1:14" x14ac:dyDescent="0.2">
      <c r="A1121" s="420"/>
      <c r="B1121" s="423"/>
      <c r="C1121" s="425"/>
      <c r="D1121" s="423"/>
      <c r="E1121" s="423"/>
      <c r="F1121" s="423"/>
      <c r="G1121" s="423"/>
      <c r="H1121" s="423"/>
      <c r="N1121" s="534"/>
    </row>
    <row r="1122" spans="1:14" x14ac:dyDescent="0.2">
      <c r="A1122" s="420"/>
      <c r="B1122" s="423"/>
      <c r="C1122" s="425"/>
      <c r="D1122" s="423"/>
      <c r="E1122" s="423"/>
      <c r="F1122" s="423"/>
      <c r="G1122" s="423"/>
      <c r="H1122" s="423"/>
      <c r="N1122" s="534"/>
    </row>
    <row r="1123" spans="1:14" x14ac:dyDescent="0.2">
      <c r="A1123" s="420"/>
      <c r="B1123" s="423"/>
      <c r="C1123" s="425"/>
      <c r="D1123" s="423"/>
      <c r="E1123" s="423"/>
      <c r="F1123" s="423"/>
      <c r="G1123" s="423"/>
      <c r="H1123" s="423"/>
      <c r="N1123" s="534"/>
    </row>
    <row r="1124" spans="1:14" x14ac:dyDescent="0.2">
      <c r="A1124" s="420"/>
      <c r="B1124" s="423"/>
      <c r="C1124" s="425"/>
      <c r="D1124" s="423"/>
      <c r="E1124" s="423"/>
      <c r="F1124" s="423"/>
      <c r="G1124" s="423"/>
      <c r="H1124" s="423"/>
      <c r="N1124" s="534"/>
    </row>
    <row r="1125" spans="1:14" x14ac:dyDescent="0.2">
      <c r="A1125" s="420"/>
      <c r="B1125" s="423"/>
      <c r="C1125" s="425"/>
      <c r="D1125" s="423"/>
      <c r="E1125" s="423"/>
      <c r="F1125" s="423"/>
      <c r="G1125" s="423"/>
      <c r="H1125" s="423"/>
      <c r="N1125" s="534"/>
    </row>
    <row r="1126" spans="1:14" x14ac:dyDescent="0.2">
      <c r="A1126" s="420"/>
      <c r="B1126" s="423"/>
      <c r="C1126" s="425"/>
      <c r="D1126" s="423"/>
      <c r="E1126" s="423"/>
      <c r="F1126" s="423"/>
      <c r="G1126" s="423"/>
      <c r="H1126" s="423"/>
      <c r="N1126" s="534"/>
    </row>
    <row r="1127" spans="1:14" x14ac:dyDescent="0.2">
      <c r="A1127" s="420"/>
      <c r="B1127" s="423"/>
      <c r="C1127" s="425"/>
      <c r="D1127" s="423"/>
      <c r="E1127" s="423"/>
      <c r="F1127" s="423"/>
      <c r="G1127" s="423"/>
      <c r="H1127" s="423"/>
      <c r="N1127" s="534"/>
    </row>
    <row r="1128" spans="1:14" x14ac:dyDescent="0.2">
      <c r="A1128" s="420"/>
      <c r="B1128" s="423"/>
      <c r="C1128" s="425"/>
      <c r="D1128" s="423"/>
      <c r="E1128" s="423"/>
      <c r="F1128" s="423"/>
      <c r="G1128" s="423"/>
      <c r="H1128" s="423"/>
      <c r="N1128" s="534"/>
    </row>
    <row r="1129" spans="1:14" x14ac:dyDescent="0.2">
      <c r="A1129" s="420"/>
      <c r="B1129" s="423"/>
      <c r="C1129" s="425"/>
      <c r="D1129" s="423"/>
      <c r="E1129" s="423"/>
      <c r="F1129" s="423"/>
      <c r="G1129" s="423"/>
      <c r="H1129" s="423"/>
      <c r="N1129" s="534"/>
    </row>
    <row r="1130" spans="1:14" x14ac:dyDescent="0.2">
      <c r="A1130" s="420"/>
      <c r="B1130" s="423"/>
      <c r="C1130" s="425"/>
      <c r="D1130" s="423"/>
      <c r="E1130" s="423"/>
      <c r="F1130" s="423"/>
      <c r="G1130" s="423"/>
      <c r="H1130" s="423"/>
      <c r="N1130" s="534"/>
    </row>
    <row r="1131" spans="1:14" x14ac:dyDescent="0.2">
      <c r="A1131" s="420"/>
      <c r="B1131" s="423"/>
      <c r="C1131" s="425"/>
      <c r="D1131" s="423"/>
      <c r="E1131" s="423"/>
      <c r="F1131" s="423"/>
      <c r="G1131" s="423"/>
      <c r="H1131" s="423"/>
      <c r="N1131" s="534"/>
    </row>
    <row r="1132" spans="1:14" x14ac:dyDescent="0.2">
      <c r="A1132" s="420"/>
      <c r="B1132" s="423"/>
      <c r="C1132" s="425"/>
      <c r="D1132" s="423"/>
      <c r="E1132" s="423"/>
      <c r="F1132" s="423"/>
      <c r="G1132" s="423"/>
      <c r="H1132" s="423"/>
      <c r="N1132" s="534"/>
    </row>
    <row r="1133" spans="1:14" x14ac:dyDescent="0.2">
      <c r="A1133" s="420"/>
      <c r="B1133" s="423"/>
      <c r="C1133" s="425"/>
      <c r="D1133" s="423"/>
      <c r="E1133" s="423"/>
      <c r="F1133" s="423"/>
      <c r="G1133" s="423"/>
      <c r="H1133" s="423"/>
      <c r="N1133" s="534"/>
    </row>
    <row r="1134" spans="1:14" x14ac:dyDescent="0.2">
      <c r="A1134" s="420"/>
      <c r="B1134" s="423"/>
      <c r="C1134" s="425"/>
      <c r="D1134" s="423"/>
      <c r="E1134" s="423"/>
      <c r="F1134" s="423"/>
      <c r="G1134" s="423"/>
      <c r="H1134" s="423"/>
      <c r="N1134" s="534"/>
    </row>
    <row r="1135" spans="1:14" x14ac:dyDescent="0.2">
      <c r="A1135" s="420"/>
      <c r="B1135" s="423"/>
      <c r="C1135" s="425"/>
      <c r="D1135" s="423"/>
      <c r="E1135" s="423"/>
      <c r="F1135" s="423"/>
      <c r="G1135" s="423"/>
      <c r="H1135" s="423"/>
      <c r="N1135" s="534"/>
    </row>
    <row r="1136" spans="1:14" x14ac:dyDescent="0.2">
      <c r="A1136" s="420"/>
      <c r="B1136" s="423"/>
      <c r="C1136" s="425"/>
      <c r="D1136" s="423"/>
      <c r="E1136" s="423"/>
      <c r="F1136" s="423"/>
      <c r="G1136" s="423"/>
      <c r="H1136" s="423"/>
      <c r="N1136" s="534"/>
    </row>
    <row r="1137" spans="1:14" x14ac:dyDescent="0.2">
      <c r="A1137" s="420"/>
      <c r="B1137" s="423"/>
      <c r="C1137" s="425"/>
      <c r="D1137" s="423"/>
      <c r="E1137" s="423"/>
      <c r="F1137" s="423"/>
      <c r="G1137" s="423"/>
      <c r="H1137" s="423"/>
      <c r="N1137" s="534"/>
    </row>
    <row r="1138" spans="1:14" x14ac:dyDescent="0.2">
      <c r="A1138" s="420"/>
      <c r="B1138" s="423"/>
      <c r="C1138" s="425"/>
      <c r="D1138" s="423"/>
      <c r="E1138" s="423"/>
      <c r="F1138" s="423"/>
      <c r="G1138" s="423"/>
      <c r="H1138" s="423"/>
      <c r="N1138" s="534"/>
    </row>
    <row r="1139" spans="1:14" x14ac:dyDescent="0.2">
      <c r="A1139" s="420"/>
      <c r="B1139" s="423"/>
      <c r="C1139" s="425"/>
      <c r="D1139" s="423"/>
      <c r="E1139" s="423"/>
      <c r="F1139" s="423"/>
      <c r="G1139" s="423"/>
      <c r="H1139" s="423"/>
      <c r="N1139" s="534"/>
    </row>
    <row r="1140" spans="1:14" x14ac:dyDescent="0.2">
      <c r="A1140" s="420"/>
      <c r="B1140" s="423"/>
      <c r="C1140" s="425"/>
      <c r="D1140" s="423"/>
      <c r="E1140" s="423"/>
      <c r="F1140" s="423"/>
      <c r="G1140" s="423"/>
      <c r="H1140" s="423"/>
      <c r="N1140" s="534"/>
    </row>
    <row r="1141" spans="1:14" x14ac:dyDescent="0.2">
      <c r="A1141" s="420"/>
      <c r="B1141" s="423"/>
      <c r="C1141" s="425"/>
      <c r="D1141" s="423"/>
      <c r="E1141" s="423"/>
      <c r="F1141" s="423"/>
      <c r="G1141" s="423"/>
      <c r="H1141" s="423"/>
      <c r="N1141" s="534"/>
    </row>
    <row r="1142" spans="1:14" x14ac:dyDescent="0.2">
      <c r="A1142" s="420"/>
      <c r="B1142" s="423"/>
      <c r="C1142" s="425"/>
      <c r="D1142" s="423"/>
      <c r="E1142" s="423"/>
      <c r="F1142" s="423"/>
      <c r="G1142" s="423"/>
      <c r="H1142" s="423"/>
      <c r="N1142" s="534"/>
    </row>
    <row r="1143" spans="1:14" x14ac:dyDescent="0.2">
      <c r="A1143" s="420"/>
      <c r="B1143" s="423"/>
      <c r="C1143" s="425"/>
      <c r="D1143" s="423"/>
      <c r="E1143" s="423"/>
      <c r="F1143" s="423"/>
      <c r="G1143" s="423"/>
      <c r="H1143" s="423"/>
      <c r="N1143" s="534"/>
    </row>
    <row r="1144" spans="1:14" x14ac:dyDescent="0.2">
      <c r="A1144" s="420"/>
      <c r="B1144" s="423"/>
      <c r="C1144" s="425"/>
      <c r="D1144" s="423"/>
      <c r="E1144" s="423"/>
      <c r="F1144" s="423"/>
      <c r="G1144" s="423"/>
      <c r="H1144" s="423"/>
      <c r="N1144" s="534"/>
    </row>
    <row r="1145" spans="1:14" x14ac:dyDescent="0.2">
      <c r="A1145" s="420"/>
      <c r="B1145" s="423"/>
      <c r="C1145" s="425"/>
      <c r="D1145" s="423"/>
      <c r="E1145" s="423"/>
      <c r="F1145" s="423"/>
      <c r="G1145" s="423"/>
      <c r="H1145" s="423"/>
      <c r="N1145" s="534"/>
    </row>
    <row r="1146" spans="1:14" x14ac:dyDescent="0.2">
      <c r="A1146" s="420"/>
      <c r="B1146" s="423"/>
      <c r="C1146" s="425"/>
      <c r="D1146" s="423"/>
      <c r="E1146" s="423"/>
      <c r="F1146" s="423"/>
      <c r="G1146" s="423"/>
      <c r="H1146" s="423"/>
      <c r="N1146" s="534"/>
    </row>
    <row r="1147" spans="1:14" x14ac:dyDescent="0.2">
      <c r="A1147" s="420"/>
      <c r="B1147" s="423"/>
      <c r="C1147" s="425"/>
      <c r="D1147" s="423"/>
      <c r="E1147" s="423"/>
      <c r="F1147" s="423"/>
      <c r="G1147" s="423"/>
      <c r="H1147" s="423"/>
      <c r="N1147" s="534"/>
    </row>
    <row r="1148" spans="1:14" x14ac:dyDescent="0.2">
      <c r="A1148" s="420"/>
      <c r="B1148" s="423"/>
      <c r="C1148" s="425"/>
      <c r="D1148" s="423"/>
      <c r="E1148" s="423"/>
      <c r="F1148" s="423"/>
      <c r="G1148" s="423"/>
      <c r="H1148" s="423"/>
      <c r="N1148" s="534"/>
    </row>
    <row r="1149" spans="1:14" x14ac:dyDescent="0.2">
      <c r="A1149" s="420"/>
      <c r="B1149" s="423"/>
      <c r="C1149" s="425"/>
      <c r="D1149" s="423"/>
      <c r="E1149" s="423"/>
      <c r="F1149" s="423"/>
      <c r="G1149" s="423"/>
      <c r="H1149" s="423"/>
      <c r="N1149" s="534"/>
    </row>
    <row r="1150" spans="1:14" x14ac:dyDescent="0.2">
      <c r="A1150" s="420"/>
      <c r="B1150" s="423"/>
      <c r="C1150" s="425"/>
      <c r="D1150" s="423"/>
      <c r="E1150" s="423"/>
      <c r="F1150" s="423"/>
      <c r="G1150" s="423"/>
      <c r="H1150" s="423"/>
      <c r="N1150" s="534"/>
    </row>
    <row r="1151" spans="1:14" x14ac:dyDescent="0.2">
      <c r="A1151" s="420"/>
      <c r="B1151" s="423"/>
      <c r="C1151" s="425"/>
      <c r="D1151" s="423"/>
      <c r="E1151" s="423"/>
      <c r="F1151" s="423"/>
      <c r="G1151" s="423"/>
      <c r="H1151" s="423"/>
      <c r="N1151" s="534"/>
    </row>
    <row r="1152" spans="1:14" x14ac:dyDescent="0.2">
      <c r="A1152" s="420"/>
      <c r="B1152" s="423"/>
      <c r="C1152" s="425"/>
      <c r="D1152" s="423"/>
      <c r="E1152" s="423"/>
      <c r="F1152" s="423"/>
      <c r="G1152" s="423"/>
      <c r="H1152" s="423"/>
      <c r="N1152" s="534"/>
    </row>
    <row r="1153" spans="1:14" x14ac:dyDescent="0.2">
      <c r="A1153" s="420"/>
      <c r="B1153" s="423"/>
      <c r="C1153" s="425"/>
      <c r="D1153" s="423"/>
      <c r="E1153" s="423"/>
      <c r="F1153" s="423"/>
      <c r="G1153" s="423"/>
      <c r="H1153" s="423"/>
      <c r="N1153" s="534"/>
    </row>
    <row r="1154" spans="1:14" x14ac:dyDescent="0.2">
      <c r="A1154" s="420"/>
      <c r="B1154" s="423"/>
      <c r="C1154" s="425"/>
      <c r="D1154" s="423"/>
      <c r="E1154" s="423"/>
      <c r="F1154" s="423"/>
      <c r="G1154" s="423"/>
      <c r="H1154" s="423"/>
      <c r="N1154" s="534"/>
    </row>
    <row r="1155" spans="1:14" x14ac:dyDescent="0.2">
      <c r="A1155" s="420"/>
      <c r="B1155" s="423"/>
      <c r="C1155" s="425"/>
      <c r="D1155" s="423"/>
      <c r="E1155" s="423"/>
      <c r="F1155" s="423"/>
      <c r="G1155" s="423"/>
      <c r="H1155" s="423"/>
      <c r="N1155" s="534"/>
    </row>
    <row r="1156" spans="1:14" x14ac:dyDescent="0.2">
      <c r="A1156" s="420"/>
      <c r="B1156" s="423"/>
      <c r="C1156" s="425"/>
      <c r="D1156" s="423"/>
      <c r="E1156" s="423"/>
      <c r="F1156" s="423"/>
      <c r="G1156" s="423"/>
      <c r="H1156" s="423"/>
      <c r="N1156" s="534"/>
    </row>
    <row r="1157" spans="1:14" x14ac:dyDescent="0.2">
      <c r="A1157" s="420"/>
      <c r="B1157" s="423"/>
      <c r="C1157" s="425"/>
      <c r="D1157" s="423"/>
      <c r="E1157" s="423"/>
      <c r="F1157" s="423"/>
      <c r="G1157" s="423"/>
      <c r="H1157" s="423"/>
      <c r="N1157" s="534"/>
    </row>
    <row r="1158" spans="1:14" x14ac:dyDescent="0.2">
      <c r="A1158" s="420"/>
      <c r="B1158" s="423"/>
      <c r="C1158" s="425"/>
      <c r="D1158" s="423"/>
      <c r="E1158" s="423"/>
      <c r="F1158" s="423"/>
      <c r="G1158" s="423"/>
      <c r="H1158" s="423"/>
      <c r="N1158" s="534"/>
    </row>
    <row r="1159" spans="1:14" x14ac:dyDescent="0.2">
      <c r="A1159" s="420"/>
      <c r="B1159" s="423"/>
      <c r="C1159" s="425"/>
      <c r="D1159" s="423"/>
      <c r="E1159" s="423"/>
      <c r="F1159" s="423"/>
      <c r="G1159" s="423"/>
      <c r="H1159" s="423"/>
      <c r="N1159" s="534"/>
    </row>
    <row r="1160" spans="1:14" x14ac:dyDescent="0.2">
      <c r="A1160" s="420"/>
      <c r="B1160" s="423"/>
      <c r="C1160" s="425"/>
      <c r="D1160" s="423"/>
      <c r="E1160" s="423"/>
      <c r="F1160" s="423"/>
      <c r="G1160" s="423"/>
      <c r="H1160" s="423"/>
      <c r="N1160" s="534"/>
    </row>
    <row r="1161" spans="1:14" x14ac:dyDescent="0.2">
      <c r="A1161" s="420"/>
      <c r="B1161" s="423"/>
      <c r="C1161" s="425"/>
      <c r="D1161" s="423"/>
      <c r="E1161" s="423"/>
      <c r="F1161" s="423"/>
      <c r="G1161" s="423"/>
      <c r="H1161" s="423"/>
      <c r="N1161" s="534"/>
    </row>
    <row r="1162" spans="1:14" x14ac:dyDescent="0.2">
      <c r="A1162" s="420"/>
      <c r="B1162" s="423"/>
      <c r="C1162" s="425"/>
      <c r="D1162" s="423"/>
      <c r="E1162" s="423"/>
      <c r="F1162" s="423"/>
      <c r="G1162" s="423"/>
      <c r="H1162" s="423"/>
      <c r="N1162" s="534"/>
    </row>
    <row r="1163" spans="1:14" x14ac:dyDescent="0.2">
      <c r="A1163" s="420"/>
      <c r="B1163" s="423"/>
      <c r="C1163" s="425"/>
      <c r="D1163" s="423"/>
      <c r="E1163" s="423"/>
      <c r="F1163" s="423"/>
      <c r="G1163" s="423"/>
      <c r="H1163" s="423"/>
      <c r="N1163" s="534"/>
    </row>
    <row r="1164" spans="1:14" x14ac:dyDescent="0.2">
      <c r="A1164" s="420"/>
      <c r="B1164" s="423"/>
      <c r="C1164" s="425"/>
      <c r="D1164" s="423"/>
      <c r="E1164" s="423"/>
      <c r="F1164" s="423"/>
      <c r="G1164" s="423"/>
      <c r="H1164" s="423"/>
      <c r="N1164" s="534"/>
    </row>
    <row r="1165" spans="1:14" x14ac:dyDescent="0.2">
      <c r="A1165" s="420"/>
      <c r="B1165" s="423"/>
      <c r="C1165" s="425"/>
      <c r="D1165" s="423"/>
      <c r="E1165" s="423"/>
      <c r="F1165" s="423"/>
      <c r="G1165" s="423"/>
      <c r="H1165" s="423"/>
      <c r="N1165" s="534"/>
    </row>
    <row r="1166" spans="1:14" x14ac:dyDescent="0.2">
      <c r="A1166" s="420"/>
      <c r="B1166" s="423"/>
      <c r="C1166" s="425"/>
      <c r="D1166" s="423"/>
      <c r="E1166" s="423"/>
      <c r="F1166" s="423"/>
      <c r="G1166" s="423"/>
      <c r="H1166" s="423"/>
      <c r="N1166" s="534"/>
    </row>
    <row r="1167" spans="1:14" x14ac:dyDescent="0.2">
      <c r="A1167" s="420"/>
      <c r="B1167" s="423"/>
      <c r="C1167" s="425"/>
      <c r="D1167" s="423"/>
      <c r="E1167" s="423"/>
      <c r="F1167" s="423"/>
      <c r="G1167" s="423"/>
      <c r="H1167" s="423"/>
      <c r="N1167" s="534"/>
    </row>
    <row r="1168" spans="1:14" x14ac:dyDescent="0.2">
      <c r="A1168" s="420"/>
      <c r="B1168" s="423"/>
      <c r="C1168" s="425"/>
      <c r="D1168" s="423"/>
      <c r="E1168" s="423"/>
      <c r="F1168" s="423"/>
      <c r="G1168" s="423"/>
      <c r="H1168" s="423"/>
      <c r="N1168" s="534"/>
    </row>
    <row r="1169" spans="1:14" x14ac:dyDescent="0.2">
      <c r="A1169" s="420"/>
      <c r="B1169" s="423"/>
      <c r="C1169" s="425"/>
      <c r="D1169" s="423"/>
      <c r="E1169" s="423"/>
      <c r="F1169" s="423"/>
      <c r="G1169" s="423"/>
      <c r="H1169" s="423"/>
      <c r="N1169" s="534"/>
    </row>
    <row r="1170" spans="1:14" x14ac:dyDescent="0.2">
      <c r="A1170" s="420"/>
      <c r="B1170" s="423"/>
      <c r="C1170" s="425"/>
      <c r="D1170" s="423"/>
      <c r="E1170" s="423"/>
      <c r="F1170" s="423"/>
      <c r="G1170" s="423"/>
      <c r="H1170" s="423"/>
      <c r="N1170" s="534"/>
    </row>
    <row r="1171" spans="1:14" x14ac:dyDescent="0.2">
      <c r="A1171" s="420"/>
      <c r="B1171" s="423"/>
      <c r="C1171" s="425"/>
      <c r="D1171" s="423"/>
      <c r="E1171" s="423"/>
      <c r="F1171" s="423"/>
      <c r="G1171" s="423"/>
      <c r="H1171" s="423"/>
      <c r="N1171" s="534"/>
    </row>
    <row r="1172" spans="1:14" x14ac:dyDescent="0.2">
      <c r="A1172" s="420"/>
      <c r="B1172" s="423"/>
      <c r="C1172" s="425"/>
      <c r="D1172" s="423"/>
      <c r="E1172" s="423"/>
      <c r="F1172" s="423"/>
      <c r="G1172" s="423"/>
      <c r="H1172" s="423"/>
      <c r="N1172" s="534"/>
    </row>
    <row r="1173" spans="1:14" x14ac:dyDescent="0.2">
      <c r="A1173" s="420"/>
      <c r="B1173" s="423"/>
      <c r="C1173" s="425"/>
      <c r="D1173" s="423"/>
      <c r="E1173" s="423"/>
      <c r="F1173" s="423"/>
      <c r="G1173" s="423"/>
      <c r="H1173" s="423"/>
      <c r="N1173" s="534"/>
    </row>
    <row r="1174" spans="1:14" x14ac:dyDescent="0.2">
      <c r="A1174" s="420"/>
      <c r="B1174" s="423"/>
      <c r="C1174" s="425"/>
      <c r="D1174" s="423"/>
      <c r="E1174" s="423"/>
      <c r="F1174" s="423"/>
      <c r="G1174" s="423"/>
      <c r="H1174" s="423"/>
      <c r="N1174" s="534"/>
    </row>
    <row r="1175" spans="1:14" x14ac:dyDescent="0.2">
      <c r="A1175" s="420"/>
      <c r="B1175" s="423"/>
      <c r="C1175" s="425"/>
      <c r="D1175" s="423"/>
      <c r="E1175" s="423"/>
      <c r="F1175" s="423"/>
      <c r="G1175" s="423"/>
      <c r="H1175" s="423"/>
      <c r="N1175" s="534"/>
    </row>
    <row r="1176" spans="1:14" x14ac:dyDescent="0.2">
      <c r="A1176" s="420"/>
      <c r="B1176" s="423"/>
      <c r="C1176" s="425"/>
      <c r="D1176" s="423"/>
      <c r="E1176" s="423"/>
      <c r="F1176" s="423"/>
      <c r="G1176" s="423"/>
      <c r="H1176" s="423"/>
      <c r="N1176" s="534"/>
    </row>
    <row r="1177" spans="1:14" x14ac:dyDescent="0.2">
      <c r="A1177" s="420"/>
      <c r="B1177" s="423"/>
      <c r="C1177" s="425"/>
      <c r="D1177" s="423"/>
      <c r="E1177" s="423"/>
      <c r="F1177" s="423"/>
      <c r="G1177" s="423"/>
      <c r="H1177" s="423"/>
      <c r="N1177" s="534"/>
    </row>
    <row r="1178" spans="1:14" x14ac:dyDescent="0.2">
      <c r="A1178" s="420"/>
      <c r="B1178" s="423"/>
      <c r="C1178" s="425"/>
      <c r="D1178" s="423"/>
      <c r="E1178" s="423"/>
      <c r="F1178" s="423"/>
      <c r="G1178" s="423"/>
      <c r="H1178" s="423"/>
      <c r="N1178" s="534"/>
    </row>
    <row r="1179" spans="1:14" x14ac:dyDescent="0.2">
      <c r="A1179" s="420"/>
      <c r="B1179" s="423"/>
      <c r="C1179" s="425"/>
      <c r="D1179" s="423"/>
      <c r="E1179" s="423"/>
      <c r="F1179" s="423"/>
      <c r="G1179" s="423"/>
      <c r="H1179" s="423"/>
      <c r="N1179" s="534"/>
    </row>
    <row r="1180" spans="1:14" x14ac:dyDescent="0.2">
      <c r="A1180" s="420"/>
      <c r="B1180" s="423"/>
      <c r="C1180" s="425"/>
      <c r="D1180" s="423"/>
      <c r="E1180" s="423"/>
      <c r="F1180" s="423"/>
      <c r="G1180" s="423"/>
      <c r="H1180" s="423"/>
      <c r="N1180" s="534"/>
    </row>
    <row r="1181" spans="1:14" x14ac:dyDescent="0.2">
      <c r="A1181" s="420"/>
      <c r="B1181" s="423"/>
      <c r="C1181" s="425"/>
      <c r="D1181" s="423"/>
      <c r="E1181" s="423"/>
      <c r="F1181" s="423"/>
      <c r="G1181" s="423"/>
      <c r="H1181" s="423"/>
      <c r="N1181" s="534"/>
    </row>
    <row r="1182" spans="1:14" x14ac:dyDescent="0.2">
      <c r="A1182" s="420"/>
      <c r="B1182" s="423"/>
      <c r="C1182" s="425"/>
      <c r="D1182" s="423"/>
      <c r="E1182" s="423"/>
      <c r="F1182" s="423"/>
      <c r="G1182" s="423"/>
      <c r="H1182" s="423"/>
      <c r="N1182" s="534"/>
    </row>
    <row r="1183" spans="1:14" x14ac:dyDescent="0.2">
      <c r="A1183" s="420"/>
      <c r="B1183" s="423"/>
      <c r="C1183" s="425"/>
      <c r="D1183" s="423"/>
      <c r="E1183" s="423"/>
      <c r="F1183" s="423"/>
      <c r="G1183" s="423"/>
      <c r="H1183" s="423"/>
      <c r="N1183" s="534"/>
    </row>
    <row r="1184" spans="1:14" x14ac:dyDescent="0.2">
      <c r="A1184" s="420"/>
      <c r="B1184" s="423"/>
      <c r="C1184" s="425"/>
      <c r="D1184" s="423"/>
      <c r="E1184" s="423"/>
      <c r="F1184" s="423"/>
      <c r="G1184" s="423"/>
      <c r="H1184" s="423"/>
      <c r="N1184" s="534"/>
    </row>
    <row r="1185" spans="1:14" x14ac:dyDescent="0.2">
      <c r="A1185" s="420"/>
      <c r="B1185" s="423"/>
      <c r="C1185" s="425"/>
      <c r="D1185" s="423"/>
      <c r="E1185" s="423"/>
      <c r="F1185" s="423"/>
      <c r="G1185" s="423"/>
      <c r="H1185" s="423"/>
      <c r="N1185" s="534"/>
    </row>
    <row r="1186" spans="1:14" x14ac:dyDescent="0.2">
      <c r="A1186" s="420"/>
      <c r="B1186" s="423"/>
      <c r="C1186" s="425"/>
      <c r="D1186" s="423"/>
      <c r="E1186" s="423"/>
      <c r="F1186" s="423"/>
      <c r="G1186" s="423"/>
      <c r="H1186" s="423"/>
      <c r="N1186" s="534"/>
    </row>
    <row r="1187" spans="1:14" x14ac:dyDescent="0.2">
      <c r="A1187" s="420"/>
      <c r="B1187" s="423"/>
      <c r="C1187" s="425"/>
      <c r="D1187" s="423"/>
      <c r="E1187" s="423"/>
      <c r="F1187" s="423"/>
      <c r="G1187" s="423"/>
      <c r="H1187" s="423"/>
      <c r="N1187" s="534"/>
    </row>
    <row r="1188" spans="1:14" x14ac:dyDescent="0.2">
      <c r="A1188" s="420"/>
      <c r="B1188" s="423"/>
      <c r="C1188" s="425"/>
      <c r="D1188" s="423"/>
      <c r="E1188" s="423"/>
      <c r="F1188" s="423"/>
      <c r="G1188" s="423"/>
      <c r="H1188" s="423"/>
      <c r="N1188" s="534"/>
    </row>
    <row r="1189" spans="1:14" x14ac:dyDescent="0.2">
      <c r="A1189" s="420"/>
      <c r="B1189" s="423"/>
      <c r="C1189" s="425"/>
      <c r="D1189" s="423"/>
      <c r="E1189" s="423"/>
      <c r="F1189" s="423"/>
      <c r="G1189" s="423"/>
      <c r="H1189" s="423"/>
      <c r="N1189" s="534"/>
    </row>
    <row r="1190" spans="1:14" x14ac:dyDescent="0.2">
      <c r="A1190" s="420"/>
      <c r="B1190" s="423"/>
      <c r="C1190" s="425"/>
      <c r="D1190" s="423"/>
      <c r="E1190" s="423"/>
      <c r="F1190" s="423"/>
      <c r="G1190" s="423"/>
      <c r="H1190" s="423"/>
      <c r="N1190" s="534"/>
    </row>
    <row r="1191" spans="1:14" x14ac:dyDescent="0.2">
      <c r="A1191" s="420"/>
      <c r="B1191" s="423"/>
      <c r="C1191" s="425"/>
      <c r="D1191" s="423"/>
      <c r="E1191" s="423"/>
      <c r="F1191" s="423"/>
      <c r="G1191" s="423"/>
      <c r="H1191" s="423"/>
      <c r="N1191" s="534"/>
    </row>
    <row r="1192" spans="1:14" x14ac:dyDescent="0.2">
      <c r="A1192" s="420"/>
      <c r="B1192" s="423"/>
      <c r="C1192" s="425"/>
      <c r="D1192" s="423"/>
      <c r="E1192" s="423"/>
      <c r="F1192" s="423"/>
      <c r="G1192" s="423"/>
      <c r="H1192" s="423"/>
      <c r="N1192" s="534"/>
    </row>
    <row r="1193" spans="1:14" x14ac:dyDescent="0.2">
      <c r="A1193" s="420"/>
      <c r="B1193" s="423"/>
      <c r="C1193" s="425"/>
      <c r="D1193" s="423"/>
      <c r="E1193" s="423"/>
      <c r="F1193" s="423"/>
      <c r="G1193" s="423"/>
      <c r="H1193" s="423"/>
      <c r="N1193" s="534"/>
    </row>
    <row r="1194" spans="1:14" x14ac:dyDescent="0.2">
      <c r="A1194" s="420"/>
      <c r="B1194" s="423"/>
      <c r="C1194" s="425"/>
      <c r="D1194" s="423"/>
      <c r="E1194" s="423"/>
      <c r="F1194" s="423"/>
      <c r="G1194" s="423"/>
      <c r="H1194" s="423"/>
      <c r="N1194" s="534"/>
    </row>
    <row r="1195" spans="1:14" x14ac:dyDescent="0.2">
      <c r="A1195" s="420"/>
      <c r="B1195" s="423"/>
      <c r="C1195" s="425"/>
      <c r="D1195" s="423"/>
      <c r="E1195" s="423"/>
      <c r="F1195" s="423"/>
      <c r="G1195" s="423"/>
      <c r="H1195" s="423"/>
      <c r="N1195" s="534"/>
    </row>
    <row r="1196" spans="1:14" x14ac:dyDescent="0.2">
      <c r="A1196" s="420"/>
      <c r="B1196" s="423"/>
      <c r="C1196" s="425"/>
      <c r="D1196" s="423"/>
      <c r="E1196" s="423"/>
      <c r="F1196" s="423"/>
      <c r="G1196" s="423"/>
      <c r="H1196" s="423"/>
      <c r="N1196" s="534"/>
    </row>
    <row r="1197" spans="1:14" x14ac:dyDescent="0.2">
      <c r="A1197" s="420"/>
      <c r="B1197" s="423"/>
      <c r="C1197" s="425"/>
      <c r="D1197" s="423"/>
      <c r="E1197" s="423"/>
      <c r="F1197" s="423"/>
      <c r="G1197" s="423"/>
      <c r="H1197" s="423"/>
      <c r="N1197" s="534"/>
    </row>
    <row r="1198" spans="1:14" x14ac:dyDescent="0.2">
      <c r="A1198" s="420"/>
      <c r="B1198" s="423"/>
      <c r="C1198" s="425"/>
      <c r="D1198" s="423"/>
      <c r="E1198" s="423"/>
      <c r="F1198" s="423"/>
      <c r="G1198" s="423"/>
      <c r="H1198" s="423"/>
      <c r="N1198" s="534"/>
    </row>
    <row r="1199" spans="1:14" x14ac:dyDescent="0.2">
      <c r="A1199" s="420"/>
      <c r="B1199" s="423"/>
      <c r="C1199" s="425"/>
      <c r="D1199" s="423"/>
      <c r="E1199" s="423"/>
      <c r="F1199" s="423"/>
      <c r="G1199" s="423"/>
      <c r="H1199" s="423"/>
      <c r="N1199" s="534"/>
    </row>
    <row r="1200" spans="1:14" x14ac:dyDescent="0.2">
      <c r="A1200" s="420"/>
      <c r="B1200" s="423"/>
      <c r="C1200" s="425"/>
      <c r="D1200" s="423"/>
      <c r="E1200" s="423"/>
      <c r="F1200" s="423"/>
      <c r="G1200" s="423"/>
      <c r="H1200" s="423"/>
      <c r="N1200" s="534"/>
    </row>
    <row r="1201" spans="1:14" x14ac:dyDescent="0.2">
      <c r="A1201" s="420"/>
      <c r="B1201" s="423"/>
      <c r="C1201" s="425"/>
      <c r="D1201" s="423"/>
      <c r="E1201" s="423"/>
      <c r="F1201" s="423"/>
      <c r="G1201" s="423"/>
      <c r="H1201" s="423"/>
      <c r="N1201" s="534"/>
    </row>
    <row r="1202" spans="1:14" x14ac:dyDescent="0.2">
      <c r="A1202" s="420"/>
      <c r="B1202" s="423"/>
      <c r="C1202" s="425"/>
      <c r="D1202" s="423"/>
      <c r="E1202" s="423"/>
      <c r="F1202" s="423"/>
      <c r="G1202" s="423"/>
      <c r="H1202" s="423"/>
      <c r="N1202" s="534"/>
    </row>
    <row r="1203" spans="1:14" x14ac:dyDescent="0.2">
      <c r="A1203" s="420"/>
      <c r="B1203" s="423"/>
      <c r="C1203" s="425"/>
      <c r="D1203" s="423"/>
      <c r="E1203" s="423"/>
      <c r="F1203" s="423"/>
      <c r="G1203" s="423"/>
      <c r="H1203" s="423"/>
      <c r="N1203" s="534"/>
    </row>
    <row r="1204" spans="1:14" x14ac:dyDescent="0.2">
      <c r="A1204" s="420"/>
      <c r="B1204" s="423"/>
      <c r="C1204" s="425"/>
      <c r="D1204" s="423"/>
      <c r="E1204" s="423"/>
      <c r="F1204" s="423"/>
      <c r="G1204" s="423"/>
      <c r="H1204" s="423"/>
      <c r="N1204" s="534"/>
    </row>
    <row r="1205" spans="1:14" x14ac:dyDescent="0.2">
      <c r="A1205" s="420"/>
      <c r="B1205" s="423"/>
      <c r="C1205" s="425"/>
      <c r="D1205" s="423"/>
      <c r="E1205" s="423"/>
      <c r="F1205" s="423"/>
      <c r="G1205" s="423"/>
      <c r="H1205" s="423"/>
      <c r="N1205" s="534"/>
    </row>
    <row r="1206" spans="1:14" x14ac:dyDescent="0.2">
      <c r="A1206" s="420"/>
      <c r="B1206" s="423"/>
      <c r="C1206" s="425"/>
      <c r="D1206" s="423"/>
      <c r="E1206" s="423"/>
      <c r="F1206" s="423"/>
      <c r="G1206" s="423"/>
      <c r="H1206" s="423"/>
      <c r="N1206" s="534"/>
    </row>
    <row r="1207" spans="1:14" x14ac:dyDescent="0.2">
      <c r="A1207" s="420"/>
      <c r="B1207" s="423"/>
      <c r="C1207" s="425"/>
      <c r="D1207" s="423"/>
      <c r="E1207" s="423"/>
      <c r="F1207" s="423"/>
      <c r="G1207" s="423"/>
      <c r="H1207" s="423"/>
      <c r="N1207" s="534"/>
    </row>
    <row r="1208" spans="1:14" x14ac:dyDescent="0.2">
      <c r="A1208" s="420"/>
      <c r="B1208" s="423"/>
      <c r="C1208" s="425"/>
      <c r="D1208" s="423"/>
      <c r="E1208" s="423"/>
      <c r="F1208" s="423"/>
      <c r="G1208" s="423"/>
      <c r="H1208" s="423"/>
      <c r="N1208" s="534"/>
    </row>
    <row r="1209" spans="1:14" x14ac:dyDescent="0.2">
      <c r="A1209" s="420"/>
      <c r="B1209" s="423"/>
      <c r="C1209" s="425"/>
      <c r="D1209" s="423"/>
      <c r="E1209" s="423"/>
      <c r="F1209" s="423"/>
      <c r="G1209" s="423"/>
      <c r="H1209" s="423"/>
      <c r="N1209" s="534"/>
    </row>
    <row r="1210" spans="1:14" x14ac:dyDescent="0.2">
      <c r="A1210" s="420"/>
      <c r="B1210" s="423"/>
      <c r="C1210" s="425"/>
      <c r="D1210" s="423"/>
      <c r="E1210" s="423"/>
      <c r="F1210" s="423"/>
      <c r="G1210" s="423"/>
      <c r="H1210" s="423"/>
      <c r="N1210" s="534"/>
    </row>
    <row r="1211" spans="1:14" x14ac:dyDescent="0.2">
      <c r="A1211" s="420"/>
      <c r="B1211" s="423"/>
      <c r="C1211" s="425"/>
      <c r="D1211" s="423"/>
      <c r="E1211" s="423"/>
      <c r="F1211" s="423"/>
      <c r="G1211" s="423"/>
      <c r="H1211" s="423"/>
      <c r="N1211" s="534"/>
    </row>
    <row r="1212" spans="1:14" x14ac:dyDescent="0.2">
      <c r="A1212" s="420"/>
      <c r="B1212" s="423"/>
      <c r="C1212" s="425"/>
      <c r="D1212" s="423"/>
      <c r="E1212" s="423"/>
      <c r="F1212" s="423"/>
      <c r="G1212" s="423"/>
      <c r="H1212" s="423"/>
      <c r="N1212" s="534"/>
    </row>
    <row r="1213" spans="1:14" x14ac:dyDescent="0.2">
      <c r="A1213" s="420"/>
      <c r="B1213" s="423"/>
      <c r="C1213" s="425"/>
      <c r="D1213" s="423"/>
      <c r="E1213" s="423"/>
      <c r="F1213" s="423"/>
      <c r="G1213" s="423"/>
      <c r="H1213" s="423"/>
      <c r="N1213" s="534"/>
    </row>
    <row r="1214" spans="1:14" x14ac:dyDescent="0.2">
      <c r="A1214" s="420"/>
      <c r="B1214" s="423"/>
      <c r="C1214" s="425"/>
      <c r="D1214" s="423"/>
      <c r="E1214" s="423"/>
      <c r="F1214" s="423"/>
      <c r="G1214" s="423"/>
      <c r="H1214" s="423"/>
      <c r="N1214" s="534"/>
    </row>
    <row r="1215" spans="1:14" x14ac:dyDescent="0.2">
      <c r="A1215" s="420"/>
      <c r="B1215" s="423"/>
      <c r="C1215" s="425"/>
      <c r="D1215" s="423"/>
      <c r="E1215" s="423"/>
      <c r="F1215" s="423"/>
      <c r="G1215" s="423"/>
      <c r="H1215" s="423"/>
      <c r="N1215" s="534"/>
    </row>
    <row r="1216" spans="1:14" x14ac:dyDescent="0.2">
      <c r="A1216" s="420"/>
      <c r="B1216" s="423"/>
      <c r="C1216" s="425"/>
      <c r="D1216" s="423"/>
      <c r="E1216" s="423"/>
      <c r="F1216" s="423"/>
      <c r="G1216" s="423"/>
      <c r="H1216" s="423"/>
      <c r="N1216" s="534"/>
    </row>
    <row r="1217" spans="1:14" x14ac:dyDescent="0.2">
      <c r="A1217" s="420"/>
      <c r="B1217" s="423"/>
      <c r="C1217" s="425"/>
      <c r="D1217" s="423"/>
      <c r="E1217" s="423"/>
      <c r="F1217" s="423"/>
      <c r="G1217" s="423"/>
      <c r="H1217" s="423"/>
      <c r="N1217" s="534"/>
    </row>
    <row r="1218" spans="1:14" x14ac:dyDescent="0.2">
      <c r="A1218" s="420"/>
      <c r="B1218" s="423"/>
      <c r="C1218" s="425"/>
      <c r="D1218" s="423"/>
      <c r="E1218" s="423"/>
      <c r="F1218" s="423"/>
      <c r="G1218" s="423"/>
      <c r="H1218" s="423"/>
      <c r="N1218" s="534"/>
    </row>
    <row r="1219" spans="1:14" x14ac:dyDescent="0.2">
      <c r="A1219" s="420"/>
      <c r="B1219" s="423"/>
      <c r="C1219" s="425"/>
      <c r="D1219" s="423"/>
      <c r="E1219" s="423"/>
      <c r="F1219" s="423"/>
      <c r="G1219" s="423"/>
      <c r="H1219" s="423"/>
      <c r="N1219" s="534"/>
    </row>
    <row r="1220" spans="1:14" x14ac:dyDescent="0.2">
      <c r="A1220" s="420"/>
      <c r="B1220" s="423"/>
      <c r="C1220" s="425"/>
      <c r="D1220" s="423"/>
      <c r="E1220" s="423"/>
      <c r="F1220" s="423"/>
      <c r="G1220" s="423"/>
      <c r="H1220" s="423"/>
      <c r="N1220" s="534"/>
    </row>
    <row r="1221" spans="1:14" x14ac:dyDescent="0.2">
      <c r="A1221" s="420"/>
      <c r="B1221" s="423"/>
      <c r="C1221" s="425"/>
      <c r="D1221" s="423"/>
      <c r="E1221" s="423"/>
      <c r="F1221" s="423"/>
      <c r="G1221" s="423"/>
      <c r="H1221" s="423"/>
      <c r="N1221" s="534"/>
    </row>
    <row r="1222" spans="1:14" x14ac:dyDescent="0.2">
      <c r="A1222" s="420"/>
      <c r="B1222" s="423"/>
      <c r="C1222" s="425"/>
      <c r="D1222" s="423"/>
      <c r="E1222" s="423"/>
      <c r="F1222" s="423"/>
      <c r="G1222" s="423"/>
      <c r="H1222" s="423"/>
      <c r="N1222" s="534"/>
    </row>
    <row r="1223" spans="1:14" x14ac:dyDescent="0.2">
      <c r="A1223" s="420"/>
      <c r="B1223" s="423"/>
      <c r="C1223" s="425"/>
      <c r="D1223" s="423"/>
      <c r="E1223" s="423"/>
      <c r="F1223" s="423"/>
      <c r="G1223" s="423"/>
      <c r="H1223" s="423"/>
      <c r="N1223" s="534"/>
    </row>
    <row r="1224" spans="1:14" x14ac:dyDescent="0.2">
      <c r="A1224" s="420"/>
      <c r="B1224" s="423"/>
      <c r="C1224" s="425"/>
      <c r="D1224" s="423"/>
      <c r="E1224" s="423"/>
      <c r="F1224" s="423"/>
      <c r="G1224" s="423"/>
      <c r="H1224" s="423"/>
      <c r="N1224" s="534"/>
    </row>
    <row r="1225" spans="1:14" x14ac:dyDescent="0.2">
      <c r="A1225" s="420"/>
      <c r="B1225" s="423"/>
      <c r="C1225" s="425"/>
      <c r="D1225" s="423"/>
      <c r="E1225" s="423"/>
      <c r="F1225" s="423"/>
      <c r="G1225" s="423"/>
      <c r="H1225" s="423"/>
      <c r="N1225" s="534"/>
    </row>
    <row r="1226" spans="1:14" x14ac:dyDescent="0.2">
      <c r="A1226" s="420"/>
      <c r="B1226" s="423"/>
      <c r="C1226" s="425"/>
      <c r="D1226" s="423"/>
      <c r="E1226" s="423"/>
      <c r="F1226" s="423"/>
      <c r="G1226" s="423"/>
      <c r="H1226" s="423"/>
      <c r="N1226" s="534"/>
    </row>
    <row r="1227" spans="1:14" x14ac:dyDescent="0.2">
      <c r="A1227" s="420"/>
      <c r="B1227" s="423"/>
      <c r="C1227" s="425"/>
      <c r="D1227" s="423"/>
      <c r="E1227" s="423"/>
      <c r="F1227" s="423"/>
      <c r="G1227" s="423"/>
      <c r="H1227" s="423"/>
      <c r="N1227" s="534"/>
    </row>
    <row r="1228" spans="1:14" x14ac:dyDescent="0.2">
      <c r="A1228" s="420"/>
      <c r="B1228" s="423"/>
      <c r="C1228" s="425"/>
      <c r="D1228" s="423"/>
      <c r="E1228" s="423"/>
      <c r="F1228" s="423"/>
      <c r="G1228" s="423"/>
      <c r="H1228" s="423"/>
      <c r="N1228" s="534"/>
    </row>
    <row r="1229" spans="1:14" x14ac:dyDescent="0.2">
      <c r="A1229" s="420"/>
      <c r="B1229" s="423"/>
      <c r="C1229" s="425"/>
      <c r="D1229" s="423"/>
      <c r="E1229" s="423"/>
      <c r="F1229" s="423"/>
      <c r="G1229" s="423"/>
      <c r="H1229" s="423"/>
      <c r="N1229" s="534"/>
    </row>
    <row r="1230" spans="1:14" x14ac:dyDescent="0.2">
      <c r="A1230" s="420"/>
      <c r="B1230" s="423"/>
      <c r="C1230" s="425"/>
      <c r="D1230" s="423"/>
      <c r="E1230" s="423"/>
      <c r="F1230" s="423"/>
      <c r="G1230" s="423"/>
      <c r="H1230" s="423"/>
      <c r="N1230" s="534"/>
    </row>
    <row r="1231" spans="1:14" x14ac:dyDescent="0.2">
      <c r="A1231" s="420"/>
      <c r="B1231" s="423"/>
      <c r="C1231" s="425"/>
      <c r="D1231" s="423"/>
      <c r="E1231" s="423"/>
      <c r="F1231" s="423"/>
      <c r="G1231" s="423"/>
      <c r="H1231" s="423"/>
      <c r="N1231" s="534"/>
    </row>
    <row r="1232" spans="1:14" x14ac:dyDescent="0.2">
      <c r="A1232" s="420"/>
      <c r="B1232" s="423"/>
      <c r="C1232" s="425"/>
      <c r="D1232" s="423"/>
      <c r="E1232" s="423"/>
      <c r="F1232" s="423"/>
      <c r="G1232" s="423"/>
      <c r="H1232" s="423"/>
      <c r="N1232" s="534"/>
    </row>
    <row r="1233" spans="1:14" x14ac:dyDescent="0.2">
      <c r="A1233" s="420"/>
      <c r="B1233" s="423"/>
      <c r="C1233" s="425"/>
      <c r="D1233" s="423"/>
      <c r="E1233" s="423"/>
      <c r="F1233" s="423"/>
      <c r="G1233" s="423"/>
      <c r="H1233" s="423"/>
      <c r="N1233" s="534"/>
    </row>
    <row r="1234" spans="1:14" x14ac:dyDescent="0.2">
      <c r="A1234" s="420"/>
      <c r="B1234" s="423"/>
      <c r="C1234" s="425"/>
      <c r="D1234" s="423"/>
      <c r="E1234" s="423"/>
      <c r="F1234" s="423"/>
      <c r="G1234" s="423"/>
      <c r="H1234" s="423"/>
      <c r="N1234" s="534"/>
    </row>
    <row r="1235" spans="1:14" x14ac:dyDescent="0.2">
      <c r="A1235" s="420"/>
      <c r="B1235" s="423"/>
      <c r="C1235" s="425"/>
      <c r="D1235" s="423"/>
      <c r="E1235" s="423"/>
      <c r="F1235" s="423"/>
      <c r="G1235" s="423"/>
      <c r="H1235" s="423"/>
      <c r="N1235" s="534"/>
    </row>
    <row r="1236" spans="1:14" x14ac:dyDescent="0.2">
      <c r="A1236" s="420"/>
      <c r="B1236" s="423"/>
      <c r="C1236" s="425"/>
      <c r="D1236" s="423"/>
      <c r="E1236" s="423"/>
      <c r="F1236" s="423"/>
      <c r="G1236" s="423"/>
      <c r="H1236" s="423"/>
      <c r="N1236" s="534"/>
    </row>
    <row r="1237" spans="1:14" x14ac:dyDescent="0.2">
      <c r="A1237" s="420"/>
      <c r="B1237" s="423"/>
      <c r="C1237" s="425"/>
      <c r="D1237" s="423"/>
      <c r="E1237" s="423"/>
      <c r="F1237" s="423"/>
      <c r="G1237" s="423"/>
      <c r="H1237" s="423"/>
      <c r="N1237" s="534"/>
    </row>
    <row r="1238" spans="1:14" x14ac:dyDescent="0.2">
      <c r="A1238" s="420"/>
      <c r="B1238" s="423"/>
      <c r="C1238" s="425"/>
      <c r="D1238" s="423"/>
      <c r="E1238" s="423"/>
      <c r="F1238" s="423"/>
      <c r="G1238" s="423"/>
      <c r="H1238" s="423"/>
      <c r="N1238" s="534"/>
    </row>
    <row r="1239" spans="1:14" x14ac:dyDescent="0.2">
      <c r="A1239" s="420"/>
      <c r="B1239" s="423"/>
      <c r="C1239" s="425"/>
      <c r="D1239" s="423"/>
      <c r="E1239" s="423"/>
      <c r="F1239" s="423"/>
      <c r="G1239" s="423"/>
      <c r="H1239" s="423"/>
      <c r="N1239" s="534"/>
    </row>
    <row r="1240" spans="1:14" x14ac:dyDescent="0.2">
      <c r="A1240" s="420"/>
      <c r="B1240" s="423"/>
      <c r="C1240" s="425"/>
      <c r="D1240" s="423"/>
      <c r="E1240" s="423"/>
      <c r="F1240" s="423"/>
      <c r="G1240" s="423"/>
      <c r="H1240" s="423"/>
      <c r="N1240" s="534"/>
    </row>
    <row r="1241" spans="1:14" x14ac:dyDescent="0.2">
      <c r="A1241" s="420"/>
      <c r="B1241" s="423"/>
      <c r="C1241" s="425"/>
      <c r="D1241" s="423"/>
      <c r="E1241" s="423"/>
      <c r="F1241" s="423"/>
      <c r="G1241" s="423"/>
      <c r="H1241" s="423"/>
      <c r="N1241" s="534"/>
    </row>
    <row r="1242" spans="1:14" x14ac:dyDescent="0.2">
      <c r="A1242" s="420"/>
      <c r="B1242" s="423"/>
      <c r="C1242" s="425"/>
      <c r="D1242" s="423"/>
      <c r="E1242" s="423"/>
      <c r="F1242" s="423"/>
      <c r="G1242" s="423"/>
      <c r="H1242" s="423"/>
      <c r="N1242" s="534"/>
    </row>
    <row r="1243" spans="1:14" x14ac:dyDescent="0.2">
      <c r="A1243" s="420"/>
      <c r="B1243" s="423"/>
      <c r="C1243" s="425"/>
      <c r="D1243" s="423"/>
      <c r="E1243" s="423"/>
      <c r="F1243" s="423"/>
      <c r="G1243" s="423"/>
      <c r="H1243" s="423"/>
      <c r="N1243" s="534"/>
    </row>
    <row r="1244" spans="1:14" x14ac:dyDescent="0.2">
      <c r="A1244" s="420"/>
      <c r="B1244" s="423"/>
      <c r="C1244" s="425"/>
      <c r="D1244" s="423"/>
      <c r="E1244" s="423"/>
      <c r="F1244" s="423"/>
      <c r="G1244" s="423"/>
      <c r="H1244" s="423"/>
      <c r="N1244" s="534"/>
    </row>
    <row r="1245" spans="1:14" x14ac:dyDescent="0.2">
      <c r="A1245" s="420"/>
      <c r="B1245" s="423"/>
      <c r="C1245" s="425"/>
      <c r="D1245" s="423"/>
      <c r="E1245" s="423"/>
      <c r="F1245" s="423"/>
      <c r="G1245" s="423"/>
      <c r="H1245" s="423"/>
      <c r="N1245" s="534"/>
    </row>
    <row r="1246" spans="1:14" x14ac:dyDescent="0.2">
      <c r="A1246" s="420"/>
      <c r="B1246" s="423"/>
      <c r="C1246" s="425"/>
      <c r="D1246" s="423"/>
      <c r="E1246" s="423"/>
      <c r="F1246" s="423"/>
      <c r="G1246" s="423"/>
      <c r="H1246" s="423"/>
      <c r="N1246" s="534"/>
    </row>
    <row r="1247" spans="1:14" x14ac:dyDescent="0.2">
      <c r="A1247" s="420"/>
      <c r="B1247" s="423"/>
      <c r="C1247" s="425"/>
      <c r="D1247" s="423"/>
      <c r="E1247" s="423"/>
      <c r="F1247" s="423"/>
      <c r="G1247" s="423"/>
      <c r="H1247" s="423"/>
      <c r="N1247" s="534"/>
    </row>
    <row r="1248" spans="1:14" x14ac:dyDescent="0.2">
      <c r="A1248" s="420"/>
      <c r="B1248" s="423"/>
      <c r="C1248" s="425"/>
      <c r="D1248" s="423"/>
      <c r="E1248" s="423"/>
      <c r="F1248" s="423"/>
      <c r="G1248" s="423"/>
      <c r="H1248" s="423"/>
      <c r="N1248" s="534"/>
    </row>
    <row r="1249" spans="1:14" x14ac:dyDescent="0.2">
      <c r="A1249" s="420"/>
      <c r="B1249" s="423"/>
      <c r="C1249" s="425"/>
      <c r="D1249" s="423"/>
      <c r="E1249" s="423"/>
      <c r="F1249" s="423"/>
      <c r="G1249" s="423"/>
      <c r="H1249" s="423"/>
      <c r="N1249" s="534"/>
    </row>
    <row r="1250" spans="1:14" x14ac:dyDescent="0.2">
      <c r="A1250" s="420"/>
      <c r="B1250" s="423"/>
      <c r="C1250" s="425"/>
      <c r="D1250" s="423"/>
      <c r="E1250" s="423"/>
      <c r="F1250" s="423"/>
      <c r="G1250" s="423"/>
      <c r="H1250" s="423"/>
      <c r="N1250" s="534"/>
    </row>
    <row r="1251" spans="1:14" x14ac:dyDescent="0.2">
      <c r="A1251" s="420"/>
      <c r="B1251" s="423"/>
      <c r="C1251" s="425"/>
      <c r="D1251" s="423"/>
      <c r="E1251" s="423"/>
      <c r="F1251" s="423"/>
      <c r="G1251" s="423"/>
      <c r="H1251" s="423"/>
      <c r="N1251" s="534"/>
    </row>
    <row r="1252" spans="1:14" x14ac:dyDescent="0.2">
      <c r="A1252" s="420"/>
      <c r="B1252" s="423"/>
      <c r="C1252" s="425"/>
      <c r="D1252" s="423"/>
      <c r="E1252" s="423"/>
      <c r="F1252" s="423"/>
      <c r="G1252" s="423"/>
      <c r="H1252" s="423"/>
      <c r="N1252" s="534"/>
    </row>
    <row r="1253" spans="1:14" x14ac:dyDescent="0.2">
      <c r="A1253" s="420"/>
      <c r="B1253" s="423"/>
      <c r="C1253" s="425"/>
      <c r="D1253" s="423"/>
      <c r="E1253" s="423"/>
      <c r="F1253" s="423"/>
      <c r="G1253" s="423"/>
      <c r="H1253" s="423"/>
      <c r="N1253" s="534"/>
    </row>
    <row r="1254" spans="1:14" x14ac:dyDescent="0.2">
      <c r="A1254" s="420"/>
      <c r="B1254" s="423"/>
      <c r="C1254" s="425"/>
      <c r="D1254" s="423"/>
      <c r="E1254" s="423"/>
      <c r="F1254" s="423"/>
      <c r="G1254" s="423"/>
      <c r="H1254" s="423"/>
      <c r="N1254" s="534"/>
    </row>
    <row r="1255" spans="1:14" x14ac:dyDescent="0.2">
      <c r="A1255" s="420"/>
      <c r="B1255" s="423"/>
      <c r="C1255" s="425"/>
      <c r="D1255" s="423"/>
      <c r="E1255" s="423"/>
      <c r="F1255" s="423"/>
      <c r="G1255" s="423"/>
      <c r="H1255" s="423"/>
      <c r="N1255" s="534"/>
    </row>
    <row r="1256" spans="1:14" x14ac:dyDescent="0.2">
      <c r="A1256" s="420"/>
      <c r="B1256" s="423"/>
      <c r="C1256" s="425"/>
      <c r="D1256" s="423"/>
      <c r="E1256" s="423"/>
      <c r="F1256" s="423"/>
      <c r="G1256" s="423"/>
      <c r="H1256" s="423"/>
      <c r="N1256" s="534"/>
    </row>
    <row r="1257" spans="1:14" x14ac:dyDescent="0.2">
      <c r="A1257" s="420"/>
      <c r="B1257" s="423"/>
      <c r="C1257" s="425"/>
      <c r="D1257" s="423"/>
      <c r="E1257" s="423"/>
      <c r="F1257" s="423"/>
      <c r="G1257" s="423"/>
      <c r="H1257" s="423"/>
      <c r="N1257" s="534"/>
    </row>
    <row r="1258" spans="1:14" x14ac:dyDescent="0.2">
      <c r="A1258" s="420"/>
      <c r="B1258" s="423"/>
      <c r="C1258" s="425"/>
      <c r="D1258" s="423"/>
      <c r="E1258" s="423"/>
      <c r="F1258" s="423"/>
      <c r="G1258" s="423"/>
      <c r="H1258" s="423"/>
      <c r="N1258" s="534"/>
    </row>
    <row r="1259" spans="1:14" x14ac:dyDescent="0.2">
      <c r="A1259" s="420"/>
      <c r="B1259" s="423"/>
      <c r="C1259" s="425"/>
      <c r="D1259" s="423"/>
      <c r="E1259" s="423"/>
      <c r="F1259" s="423"/>
      <c r="G1259" s="423"/>
      <c r="H1259" s="423"/>
      <c r="N1259" s="534"/>
    </row>
    <row r="1260" spans="1:14" x14ac:dyDescent="0.2">
      <c r="A1260" s="420"/>
      <c r="B1260" s="423"/>
      <c r="C1260" s="425"/>
      <c r="D1260" s="423"/>
      <c r="E1260" s="423"/>
      <c r="F1260" s="423"/>
      <c r="G1260" s="423"/>
      <c r="H1260" s="423"/>
      <c r="N1260" s="534"/>
    </row>
    <row r="1261" spans="1:14" x14ac:dyDescent="0.2">
      <c r="A1261" s="420"/>
      <c r="B1261" s="423"/>
      <c r="C1261" s="425"/>
      <c r="D1261" s="423"/>
      <c r="E1261" s="423"/>
      <c r="F1261" s="423"/>
      <c r="G1261" s="423"/>
      <c r="H1261" s="423"/>
      <c r="N1261" s="534"/>
    </row>
    <row r="1262" spans="1:14" x14ac:dyDescent="0.2">
      <c r="A1262" s="420"/>
      <c r="B1262" s="423"/>
      <c r="C1262" s="425"/>
      <c r="D1262" s="423"/>
      <c r="E1262" s="423"/>
      <c r="F1262" s="423"/>
      <c r="G1262" s="423"/>
      <c r="H1262" s="423"/>
      <c r="N1262" s="534"/>
    </row>
    <row r="1263" spans="1:14" x14ac:dyDescent="0.2">
      <c r="A1263" s="420"/>
      <c r="B1263" s="423"/>
      <c r="C1263" s="425"/>
      <c r="D1263" s="423"/>
      <c r="E1263" s="423"/>
      <c r="F1263" s="423"/>
      <c r="G1263" s="423"/>
      <c r="H1263" s="423"/>
      <c r="N1263" s="534"/>
    </row>
    <row r="1264" spans="1:14" x14ac:dyDescent="0.2">
      <c r="A1264" s="420"/>
      <c r="B1264" s="423"/>
      <c r="C1264" s="425"/>
      <c r="D1264" s="423"/>
      <c r="E1264" s="423"/>
      <c r="F1264" s="423"/>
      <c r="G1264" s="423"/>
      <c r="H1264" s="423"/>
      <c r="N1264" s="534"/>
    </row>
    <row r="1265" spans="1:14" x14ac:dyDescent="0.2">
      <c r="A1265" s="420"/>
      <c r="B1265" s="423"/>
      <c r="C1265" s="425"/>
      <c r="D1265" s="423"/>
      <c r="E1265" s="423"/>
      <c r="F1265" s="423"/>
      <c r="G1265" s="423"/>
      <c r="H1265" s="423"/>
      <c r="N1265" s="534"/>
    </row>
    <row r="1266" spans="1:14" x14ac:dyDescent="0.2">
      <c r="A1266" s="420"/>
      <c r="B1266" s="423"/>
      <c r="C1266" s="425"/>
      <c r="D1266" s="423"/>
      <c r="E1266" s="423"/>
      <c r="F1266" s="423"/>
      <c r="G1266" s="423"/>
      <c r="H1266" s="423"/>
      <c r="N1266" s="534"/>
    </row>
    <row r="1267" spans="1:14" x14ac:dyDescent="0.2">
      <c r="A1267" s="420"/>
      <c r="B1267" s="423"/>
      <c r="C1267" s="425"/>
      <c r="D1267" s="423"/>
      <c r="E1267" s="423"/>
      <c r="F1267" s="423"/>
      <c r="G1267" s="423"/>
      <c r="H1267" s="423"/>
      <c r="N1267" s="534"/>
    </row>
    <row r="1268" spans="1:14" x14ac:dyDescent="0.2">
      <c r="A1268" s="420"/>
      <c r="B1268" s="423"/>
      <c r="C1268" s="425"/>
      <c r="D1268" s="423"/>
      <c r="E1268" s="423"/>
      <c r="F1268" s="423"/>
      <c r="G1268" s="423"/>
      <c r="H1268" s="423"/>
      <c r="N1268" s="534"/>
    </row>
    <row r="1269" spans="1:14" x14ac:dyDescent="0.2">
      <c r="A1269" s="420"/>
      <c r="B1269" s="423"/>
      <c r="C1269" s="425"/>
      <c r="D1269" s="423"/>
      <c r="E1269" s="423"/>
      <c r="F1269" s="423"/>
      <c r="G1269" s="423"/>
      <c r="H1269" s="423"/>
      <c r="N1269" s="534"/>
    </row>
    <row r="1270" spans="1:14" x14ac:dyDescent="0.2">
      <c r="A1270" s="420"/>
      <c r="B1270" s="423"/>
      <c r="C1270" s="425"/>
      <c r="D1270" s="423"/>
      <c r="E1270" s="423"/>
      <c r="F1270" s="423"/>
      <c r="G1270" s="423"/>
      <c r="H1270" s="423"/>
      <c r="N1270" s="534"/>
    </row>
    <row r="1271" spans="1:14" x14ac:dyDescent="0.2">
      <c r="A1271" s="420"/>
      <c r="B1271" s="423"/>
      <c r="C1271" s="425"/>
      <c r="D1271" s="423"/>
      <c r="E1271" s="423"/>
      <c r="F1271" s="423"/>
      <c r="G1271" s="423"/>
      <c r="H1271" s="423"/>
      <c r="N1271" s="534"/>
    </row>
    <row r="1272" spans="1:14" x14ac:dyDescent="0.2">
      <c r="A1272" s="420"/>
      <c r="B1272" s="423"/>
      <c r="C1272" s="425"/>
      <c r="D1272" s="423"/>
      <c r="E1272" s="423"/>
      <c r="F1272" s="423"/>
      <c r="G1272" s="423"/>
      <c r="H1272" s="423"/>
      <c r="N1272" s="534"/>
    </row>
    <row r="1273" spans="1:14" x14ac:dyDescent="0.2">
      <c r="A1273" s="420"/>
      <c r="B1273" s="423"/>
      <c r="C1273" s="425"/>
      <c r="D1273" s="423"/>
      <c r="E1273" s="423"/>
      <c r="F1273" s="423"/>
      <c r="G1273" s="423"/>
      <c r="H1273" s="423"/>
      <c r="N1273" s="534"/>
    </row>
    <row r="1274" spans="1:14" x14ac:dyDescent="0.2">
      <c r="A1274" s="420"/>
      <c r="B1274" s="423"/>
      <c r="C1274" s="425"/>
      <c r="D1274" s="423"/>
      <c r="E1274" s="423"/>
      <c r="F1274" s="423"/>
      <c r="G1274" s="423"/>
      <c r="H1274" s="423"/>
      <c r="N1274" s="534"/>
    </row>
    <row r="1275" spans="1:14" x14ac:dyDescent="0.2">
      <c r="A1275" s="420"/>
      <c r="B1275" s="423"/>
      <c r="C1275" s="425"/>
      <c r="D1275" s="423"/>
      <c r="E1275" s="423"/>
      <c r="F1275" s="423"/>
      <c r="G1275" s="423"/>
      <c r="H1275" s="423"/>
      <c r="N1275" s="534"/>
    </row>
    <row r="1276" spans="1:14" x14ac:dyDescent="0.2">
      <c r="A1276" s="420"/>
      <c r="B1276" s="423"/>
      <c r="C1276" s="425"/>
      <c r="D1276" s="423"/>
      <c r="E1276" s="423"/>
      <c r="F1276" s="423"/>
      <c r="G1276" s="423"/>
      <c r="H1276" s="423"/>
      <c r="N1276" s="534"/>
    </row>
    <row r="1277" spans="1:14" x14ac:dyDescent="0.2">
      <c r="A1277" s="420"/>
      <c r="B1277" s="423"/>
      <c r="C1277" s="425"/>
      <c r="D1277" s="423"/>
      <c r="E1277" s="423"/>
      <c r="F1277" s="423"/>
      <c r="G1277" s="423"/>
      <c r="H1277" s="423"/>
      <c r="N1277" s="534"/>
    </row>
    <row r="1278" spans="1:14" x14ac:dyDescent="0.2">
      <c r="A1278" s="420"/>
      <c r="B1278" s="423"/>
      <c r="C1278" s="425"/>
      <c r="D1278" s="423"/>
      <c r="E1278" s="423"/>
      <c r="F1278" s="423"/>
      <c r="G1278" s="423"/>
      <c r="H1278" s="423"/>
      <c r="N1278" s="534"/>
    </row>
    <row r="1279" spans="1:14" x14ac:dyDescent="0.2">
      <c r="A1279" s="420"/>
      <c r="B1279" s="423"/>
      <c r="C1279" s="425"/>
      <c r="D1279" s="423"/>
      <c r="E1279" s="423"/>
      <c r="F1279" s="423"/>
      <c r="G1279" s="423"/>
      <c r="H1279" s="423"/>
      <c r="N1279" s="534"/>
    </row>
    <row r="1280" spans="1:14" x14ac:dyDescent="0.2">
      <c r="A1280" s="420"/>
      <c r="B1280" s="423"/>
      <c r="C1280" s="425"/>
      <c r="D1280" s="423"/>
      <c r="E1280" s="423"/>
      <c r="F1280" s="423"/>
      <c r="G1280" s="423"/>
      <c r="H1280" s="423"/>
      <c r="N1280" s="534"/>
    </row>
    <row r="1281" spans="1:14" x14ac:dyDescent="0.2">
      <c r="A1281" s="420"/>
      <c r="B1281" s="423"/>
      <c r="C1281" s="425"/>
      <c r="D1281" s="423"/>
      <c r="E1281" s="423"/>
      <c r="F1281" s="423"/>
      <c r="G1281" s="423"/>
      <c r="H1281" s="423"/>
      <c r="N1281" s="534"/>
    </row>
    <row r="1282" spans="1:14" x14ac:dyDescent="0.2">
      <c r="A1282" s="420"/>
      <c r="B1282" s="423"/>
      <c r="C1282" s="425"/>
      <c r="D1282" s="423"/>
      <c r="E1282" s="423"/>
      <c r="F1282" s="423"/>
      <c r="G1282" s="423"/>
      <c r="H1282" s="423"/>
      <c r="N1282" s="534"/>
    </row>
    <row r="1283" spans="1:14" x14ac:dyDescent="0.2">
      <c r="A1283" s="420"/>
      <c r="B1283" s="423"/>
      <c r="C1283" s="425"/>
      <c r="D1283" s="423"/>
      <c r="E1283" s="423"/>
      <c r="F1283" s="423"/>
      <c r="G1283" s="423"/>
      <c r="H1283" s="423"/>
      <c r="N1283" s="534"/>
    </row>
    <row r="1284" spans="1:14" x14ac:dyDescent="0.2">
      <c r="A1284" s="420"/>
      <c r="B1284" s="423"/>
      <c r="C1284" s="425"/>
      <c r="D1284" s="423"/>
      <c r="E1284" s="423"/>
      <c r="F1284" s="423"/>
      <c r="G1284" s="423"/>
      <c r="H1284" s="423"/>
      <c r="N1284" s="534"/>
    </row>
    <row r="1285" spans="1:14" x14ac:dyDescent="0.2">
      <c r="A1285" s="420"/>
      <c r="B1285" s="423"/>
      <c r="C1285" s="425"/>
      <c r="D1285" s="423"/>
      <c r="E1285" s="423"/>
      <c r="F1285" s="423"/>
      <c r="G1285" s="423"/>
      <c r="H1285" s="423"/>
      <c r="N1285" s="534"/>
    </row>
    <row r="1286" spans="1:14" x14ac:dyDescent="0.2">
      <c r="A1286" s="420"/>
      <c r="B1286" s="423"/>
      <c r="C1286" s="425"/>
      <c r="D1286" s="423"/>
      <c r="E1286" s="423"/>
      <c r="F1286" s="423"/>
      <c r="G1286" s="423"/>
      <c r="H1286" s="423"/>
      <c r="N1286" s="534"/>
    </row>
    <row r="1287" spans="1:14" x14ac:dyDescent="0.2">
      <c r="A1287" s="420"/>
      <c r="B1287" s="423"/>
      <c r="C1287" s="425"/>
      <c r="D1287" s="423"/>
      <c r="E1287" s="423"/>
      <c r="F1287" s="423"/>
      <c r="G1287" s="423"/>
      <c r="H1287" s="423"/>
      <c r="N1287" s="534"/>
    </row>
    <row r="1288" spans="1:14" x14ac:dyDescent="0.2">
      <c r="A1288" s="420"/>
      <c r="B1288" s="423"/>
      <c r="C1288" s="425"/>
      <c r="D1288" s="423"/>
      <c r="E1288" s="423"/>
      <c r="F1288" s="423"/>
      <c r="G1288" s="423"/>
      <c r="H1288" s="423"/>
      <c r="N1288" s="534"/>
    </row>
    <row r="1289" spans="1:14" x14ac:dyDescent="0.2">
      <c r="A1289" s="420"/>
      <c r="B1289" s="423"/>
      <c r="C1289" s="425"/>
      <c r="D1289" s="423"/>
      <c r="E1289" s="423"/>
      <c r="F1289" s="423"/>
      <c r="G1289" s="423"/>
      <c r="H1289" s="423"/>
      <c r="N1289" s="534"/>
    </row>
    <row r="1290" spans="1:14" x14ac:dyDescent="0.2">
      <c r="A1290" s="420"/>
      <c r="B1290" s="423"/>
      <c r="C1290" s="425"/>
      <c r="D1290" s="423"/>
      <c r="E1290" s="423"/>
      <c r="F1290" s="423"/>
      <c r="G1290" s="423"/>
      <c r="H1290" s="423"/>
      <c r="N1290" s="534"/>
    </row>
    <row r="1291" spans="1:14" x14ac:dyDescent="0.2">
      <c r="A1291" s="420"/>
      <c r="B1291" s="423"/>
      <c r="C1291" s="425"/>
      <c r="D1291" s="423"/>
      <c r="E1291" s="423"/>
      <c r="F1291" s="423"/>
      <c r="G1291" s="423"/>
      <c r="H1291" s="423"/>
      <c r="N1291" s="534"/>
    </row>
    <row r="1292" spans="1:14" x14ac:dyDescent="0.2">
      <c r="A1292" s="420"/>
      <c r="B1292" s="423"/>
      <c r="C1292" s="425"/>
      <c r="D1292" s="423"/>
      <c r="E1292" s="423"/>
      <c r="F1292" s="423"/>
      <c r="G1292" s="423"/>
      <c r="H1292" s="423"/>
      <c r="N1292" s="534"/>
    </row>
    <row r="1293" spans="1:14" x14ac:dyDescent="0.2">
      <c r="A1293" s="420"/>
      <c r="B1293" s="423"/>
      <c r="C1293" s="425"/>
      <c r="D1293" s="423"/>
      <c r="E1293" s="423"/>
      <c r="F1293" s="423"/>
      <c r="G1293" s="423"/>
      <c r="H1293" s="423"/>
      <c r="N1293" s="534"/>
    </row>
    <row r="1294" spans="1:14" x14ac:dyDescent="0.2">
      <c r="A1294" s="420"/>
      <c r="B1294" s="423"/>
      <c r="C1294" s="425"/>
      <c r="D1294" s="423"/>
      <c r="E1294" s="423"/>
      <c r="F1294" s="423"/>
      <c r="G1294" s="423"/>
      <c r="H1294" s="423"/>
      <c r="N1294" s="534"/>
    </row>
    <row r="1295" spans="1:14" x14ac:dyDescent="0.2">
      <c r="A1295" s="420"/>
      <c r="B1295" s="423"/>
      <c r="C1295" s="425"/>
      <c r="D1295" s="423"/>
      <c r="E1295" s="423"/>
      <c r="F1295" s="423"/>
      <c r="G1295" s="423"/>
      <c r="H1295" s="423"/>
      <c r="N1295" s="534"/>
    </row>
    <row r="1296" spans="1:14" x14ac:dyDescent="0.2">
      <c r="A1296" s="420"/>
      <c r="B1296" s="423"/>
      <c r="C1296" s="425"/>
      <c r="D1296" s="423"/>
      <c r="E1296" s="423"/>
      <c r="F1296" s="423"/>
      <c r="G1296" s="423"/>
      <c r="H1296" s="423"/>
      <c r="N1296" s="534"/>
    </row>
    <row r="1297" spans="1:14" x14ac:dyDescent="0.2">
      <c r="A1297" s="420"/>
      <c r="B1297" s="423"/>
      <c r="C1297" s="425"/>
      <c r="D1297" s="423"/>
      <c r="E1297" s="423"/>
      <c r="F1297" s="423"/>
      <c r="G1297" s="423"/>
      <c r="H1297" s="423"/>
      <c r="N1297" s="534"/>
    </row>
    <row r="1298" spans="1:14" x14ac:dyDescent="0.2">
      <c r="A1298" s="420"/>
      <c r="B1298" s="423"/>
      <c r="C1298" s="425"/>
      <c r="D1298" s="423"/>
      <c r="E1298" s="423"/>
      <c r="F1298" s="423"/>
      <c r="G1298" s="423"/>
      <c r="H1298" s="423"/>
      <c r="N1298" s="534"/>
    </row>
    <row r="1299" spans="1:14" x14ac:dyDescent="0.2">
      <c r="A1299" s="420"/>
      <c r="B1299" s="423"/>
      <c r="C1299" s="425"/>
      <c r="D1299" s="423"/>
      <c r="E1299" s="423"/>
      <c r="F1299" s="423"/>
      <c r="G1299" s="423"/>
      <c r="H1299" s="423"/>
      <c r="N1299" s="534"/>
    </row>
    <row r="1300" spans="1:14" x14ac:dyDescent="0.2">
      <c r="A1300" s="420"/>
      <c r="B1300" s="423"/>
      <c r="C1300" s="425"/>
      <c r="D1300" s="423"/>
      <c r="E1300" s="423"/>
      <c r="F1300" s="423"/>
      <c r="G1300" s="423"/>
      <c r="H1300" s="423"/>
      <c r="N1300" s="534"/>
    </row>
    <row r="1301" spans="1:14" x14ac:dyDescent="0.2">
      <c r="A1301" s="420"/>
      <c r="B1301" s="423"/>
      <c r="C1301" s="425"/>
      <c r="D1301" s="423"/>
      <c r="E1301" s="423"/>
      <c r="F1301" s="423"/>
      <c r="G1301" s="423"/>
      <c r="H1301" s="423"/>
      <c r="N1301" s="534"/>
    </row>
    <row r="1302" spans="1:14" x14ac:dyDescent="0.2">
      <c r="A1302" s="420"/>
      <c r="B1302" s="423"/>
      <c r="C1302" s="425"/>
      <c r="D1302" s="423"/>
      <c r="E1302" s="423"/>
      <c r="F1302" s="423"/>
      <c r="G1302" s="423"/>
      <c r="H1302" s="423"/>
      <c r="N1302" s="534"/>
    </row>
    <row r="1303" spans="1:14" x14ac:dyDescent="0.2">
      <c r="A1303" s="420"/>
      <c r="B1303" s="423"/>
      <c r="C1303" s="425"/>
      <c r="D1303" s="423"/>
      <c r="E1303" s="423"/>
      <c r="F1303" s="423"/>
      <c r="G1303" s="423"/>
      <c r="H1303" s="423"/>
      <c r="N1303" s="534"/>
    </row>
    <row r="1304" spans="1:14" x14ac:dyDescent="0.2">
      <c r="A1304" s="420"/>
      <c r="B1304" s="423"/>
      <c r="C1304" s="425"/>
      <c r="D1304" s="423"/>
      <c r="E1304" s="423"/>
      <c r="F1304" s="423"/>
      <c r="G1304" s="423"/>
      <c r="H1304" s="423"/>
      <c r="N1304" s="534"/>
    </row>
    <row r="1305" spans="1:14" x14ac:dyDescent="0.2">
      <c r="A1305" s="420"/>
      <c r="B1305" s="423"/>
      <c r="C1305" s="425"/>
      <c r="D1305" s="423"/>
      <c r="E1305" s="423"/>
      <c r="F1305" s="423"/>
      <c r="G1305" s="423"/>
      <c r="H1305" s="423"/>
      <c r="N1305" s="534"/>
    </row>
    <row r="1306" spans="1:14" x14ac:dyDescent="0.2">
      <c r="A1306" s="420"/>
      <c r="B1306" s="423"/>
      <c r="C1306" s="425"/>
      <c r="D1306" s="423"/>
      <c r="E1306" s="423"/>
      <c r="F1306" s="423"/>
      <c r="G1306" s="423"/>
      <c r="H1306" s="423"/>
      <c r="N1306" s="534"/>
    </row>
    <row r="1307" spans="1:14" x14ac:dyDescent="0.2">
      <c r="A1307" s="420"/>
      <c r="B1307" s="423"/>
      <c r="C1307" s="425"/>
      <c r="D1307" s="423"/>
      <c r="E1307" s="423"/>
      <c r="F1307" s="423"/>
      <c r="G1307" s="423"/>
      <c r="H1307" s="423"/>
      <c r="N1307" s="534"/>
    </row>
    <row r="1308" spans="1:14" x14ac:dyDescent="0.2">
      <c r="A1308" s="420"/>
      <c r="B1308" s="423"/>
      <c r="C1308" s="425"/>
      <c r="D1308" s="423"/>
      <c r="E1308" s="423"/>
      <c r="F1308" s="423"/>
      <c r="G1308" s="423"/>
      <c r="H1308" s="423"/>
      <c r="N1308" s="534"/>
    </row>
    <row r="1309" spans="1:14" x14ac:dyDescent="0.2">
      <c r="A1309" s="420"/>
      <c r="B1309" s="423"/>
      <c r="C1309" s="425"/>
      <c r="D1309" s="423"/>
      <c r="E1309" s="423"/>
      <c r="F1309" s="423"/>
      <c r="G1309" s="423"/>
      <c r="H1309" s="423"/>
      <c r="N1309" s="534"/>
    </row>
    <row r="1310" spans="1:14" x14ac:dyDescent="0.2">
      <c r="A1310" s="420"/>
      <c r="B1310" s="423"/>
      <c r="C1310" s="425"/>
      <c r="D1310" s="423"/>
      <c r="E1310" s="423"/>
      <c r="F1310" s="423"/>
      <c r="G1310" s="423"/>
      <c r="H1310" s="423"/>
      <c r="N1310" s="534"/>
    </row>
    <row r="1311" spans="1:14" x14ac:dyDescent="0.2">
      <c r="A1311" s="420"/>
      <c r="B1311" s="423"/>
      <c r="C1311" s="425"/>
      <c r="D1311" s="423"/>
      <c r="E1311" s="423"/>
      <c r="F1311" s="423"/>
      <c r="G1311" s="423"/>
      <c r="H1311" s="423"/>
      <c r="N1311" s="534"/>
    </row>
    <row r="1312" spans="1:14" x14ac:dyDescent="0.2">
      <c r="A1312" s="420"/>
      <c r="B1312" s="423"/>
      <c r="C1312" s="425"/>
      <c r="D1312" s="423"/>
      <c r="E1312" s="423"/>
      <c r="F1312" s="423"/>
      <c r="G1312" s="423"/>
      <c r="H1312" s="423"/>
      <c r="N1312" s="534"/>
    </row>
    <row r="1313" spans="1:14" x14ac:dyDescent="0.2">
      <c r="A1313" s="420"/>
      <c r="B1313" s="423"/>
      <c r="C1313" s="425"/>
      <c r="D1313" s="423"/>
      <c r="E1313" s="423"/>
      <c r="F1313" s="423"/>
      <c r="G1313" s="423"/>
      <c r="H1313" s="423"/>
      <c r="N1313" s="534"/>
    </row>
    <row r="1314" spans="1:14" x14ac:dyDescent="0.2">
      <c r="A1314" s="420"/>
      <c r="B1314" s="423"/>
      <c r="C1314" s="425"/>
      <c r="D1314" s="423"/>
      <c r="E1314" s="423"/>
      <c r="F1314" s="423"/>
      <c r="G1314" s="423"/>
      <c r="H1314" s="423"/>
      <c r="N1314" s="534"/>
    </row>
    <row r="1315" spans="1:14" x14ac:dyDescent="0.2">
      <c r="A1315" s="420"/>
      <c r="B1315" s="423"/>
      <c r="C1315" s="425"/>
      <c r="D1315" s="423"/>
      <c r="E1315" s="423"/>
      <c r="F1315" s="423"/>
      <c r="G1315" s="423"/>
      <c r="H1315" s="423"/>
      <c r="N1315" s="534"/>
    </row>
    <row r="1316" spans="1:14" x14ac:dyDescent="0.2">
      <c r="A1316" s="420"/>
      <c r="B1316" s="423"/>
      <c r="C1316" s="425"/>
      <c r="D1316" s="423"/>
      <c r="E1316" s="423"/>
      <c r="F1316" s="423"/>
      <c r="G1316" s="423"/>
      <c r="H1316" s="423"/>
      <c r="N1316" s="534"/>
    </row>
    <row r="1317" spans="1:14" x14ac:dyDescent="0.2">
      <c r="A1317" s="420"/>
      <c r="B1317" s="423"/>
      <c r="C1317" s="425"/>
      <c r="D1317" s="423"/>
      <c r="E1317" s="423"/>
      <c r="F1317" s="423"/>
      <c r="G1317" s="423"/>
      <c r="H1317" s="423"/>
      <c r="N1317" s="534"/>
    </row>
    <row r="1318" spans="1:14" x14ac:dyDescent="0.2">
      <c r="A1318" s="420"/>
      <c r="B1318" s="423"/>
      <c r="C1318" s="425"/>
      <c r="D1318" s="423"/>
      <c r="E1318" s="423"/>
      <c r="F1318" s="423"/>
      <c r="G1318" s="423"/>
      <c r="H1318" s="423"/>
      <c r="N1318" s="534"/>
    </row>
    <row r="1319" spans="1:14" x14ac:dyDescent="0.2">
      <c r="A1319" s="420"/>
      <c r="B1319" s="423"/>
      <c r="C1319" s="425"/>
      <c r="D1319" s="423"/>
      <c r="E1319" s="423"/>
      <c r="F1319" s="423"/>
      <c r="G1319" s="423"/>
      <c r="H1319" s="423"/>
      <c r="N1319" s="534"/>
    </row>
    <row r="1320" spans="1:14" x14ac:dyDescent="0.2">
      <c r="A1320" s="420"/>
      <c r="B1320" s="423"/>
      <c r="C1320" s="425"/>
      <c r="D1320" s="423"/>
      <c r="E1320" s="423"/>
      <c r="F1320" s="423"/>
      <c r="G1320" s="423"/>
      <c r="H1320" s="423"/>
      <c r="N1320" s="534"/>
    </row>
    <row r="1321" spans="1:14" x14ac:dyDescent="0.2">
      <c r="A1321" s="420"/>
      <c r="B1321" s="423"/>
      <c r="C1321" s="425"/>
      <c r="D1321" s="423"/>
      <c r="E1321" s="423"/>
      <c r="F1321" s="423"/>
      <c r="G1321" s="423"/>
      <c r="H1321" s="423"/>
      <c r="N1321" s="534"/>
    </row>
    <row r="1322" spans="1:14" x14ac:dyDescent="0.2">
      <c r="A1322" s="420"/>
      <c r="B1322" s="423"/>
      <c r="C1322" s="425"/>
      <c r="D1322" s="423"/>
      <c r="E1322" s="423"/>
      <c r="F1322" s="423"/>
      <c r="G1322" s="423"/>
      <c r="H1322" s="423"/>
      <c r="N1322" s="534"/>
    </row>
    <row r="1323" spans="1:14" x14ac:dyDescent="0.2">
      <c r="A1323" s="420"/>
      <c r="B1323" s="423"/>
      <c r="C1323" s="425"/>
      <c r="D1323" s="423"/>
      <c r="E1323" s="423"/>
      <c r="F1323" s="423"/>
      <c r="G1323" s="423"/>
      <c r="H1323" s="423"/>
      <c r="N1323" s="534"/>
    </row>
    <row r="1324" spans="1:14" x14ac:dyDescent="0.2">
      <c r="A1324" s="420"/>
      <c r="B1324" s="423"/>
      <c r="C1324" s="425"/>
      <c r="D1324" s="423"/>
      <c r="E1324" s="423"/>
      <c r="F1324" s="423"/>
      <c r="G1324" s="423"/>
      <c r="H1324" s="423"/>
      <c r="N1324" s="534"/>
    </row>
    <row r="1325" spans="1:14" x14ac:dyDescent="0.2">
      <c r="A1325" s="420"/>
      <c r="B1325" s="423"/>
      <c r="C1325" s="425"/>
      <c r="D1325" s="423"/>
      <c r="E1325" s="423"/>
      <c r="F1325" s="423"/>
      <c r="G1325" s="423"/>
      <c r="H1325" s="423"/>
      <c r="N1325" s="534"/>
    </row>
    <row r="1326" spans="1:14" x14ac:dyDescent="0.2">
      <c r="A1326" s="420"/>
      <c r="B1326" s="423"/>
      <c r="C1326" s="425"/>
      <c r="D1326" s="423"/>
      <c r="E1326" s="423"/>
      <c r="F1326" s="423"/>
      <c r="G1326" s="423"/>
      <c r="H1326" s="423"/>
      <c r="N1326" s="534"/>
    </row>
    <row r="1327" spans="1:14" x14ac:dyDescent="0.2">
      <c r="A1327" s="420"/>
      <c r="B1327" s="423"/>
      <c r="C1327" s="425"/>
      <c r="D1327" s="423"/>
      <c r="E1327" s="423"/>
      <c r="F1327" s="423"/>
      <c r="G1327" s="423"/>
      <c r="H1327" s="423"/>
      <c r="N1327" s="534"/>
    </row>
    <row r="1328" spans="1:14" x14ac:dyDescent="0.2">
      <c r="A1328" s="420"/>
      <c r="B1328" s="423"/>
      <c r="C1328" s="425"/>
      <c r="D1328" s="423"/>
      <c r="E1328" s="423"/>
      <c r="F1328" s="423"/>
      <c r="G1328" s="423"/>
      <c r="H1328" s="423"/>
      <c r="N1328" s="534"/>
    </row>
    <row r="1329" spans="1:14" x14ac:dyDescent="0.2">
      <c r="A1329" s="420"/>
      <c r="B1329" s="423"/>
      <c r="C1329" s="425"/>
      <c r="D1329" s="423"/>
      <c r="E1329" s="423"/>
      <c r="F1329" s="423"/>
      <c r="G1329" s="423"/>
      <c r="H1329" s="423"/>
      <c r="N1329" s="534"/>
    </row>
    <row r="1330" spans="1:14" x14ac:dyDescent="0.2">
      <c r="A1330" s="420"/>
      <c r="B1330" s="423"/>
      <c r="C1330" s="425"/>
      <c r="D1330" s="423"/>
      <c r="E1330" s="423"/>
      <c r="F1330" s="423"/>
      <c r="G1330" s="423"/>
      <c r="H1330" s="423"/>
      <c r="N1330" s="534"/>
    </row>
    <row r="1331" spans="1:14" x14ac:dyDescent="0.2">
      <c r="A1331" s="420"/>
      <c r="B1331" s="423"/>
      <c r="C1331" s="425"/>
      <c r="D1331" s="423"/>
      <c r="E1331" s="423"/>
      <c r="F1331" s="423"/>
      <c r="G1331" s="423"/>
      <c r="H1331" s="423"/>
      <c r="N1331" s="534"/>
    </row>
    <row r="1332" spans="1:14" x14ac:dyDescent="0.2">
      <c r="A1332" s="420"/>
      <c r="B1332" s="423"/>
      <c r="C1332" s="425"/>
      <c r="D1332" s="423"/>
      <c r="E1332" s="423"/>
      <c r="F1332" s="423"/>
      <c r="G1332" s="423"/>
      <c r="H1332" s="423"/>
      <c r="N1332" s="534"/>
    </row>
    <row r="1333" spans="1:14" x14ac:dyDescent="0.2">
      <c r="A1333" s="420"/>
      <c r="B1333" s="423"/>
      <c r="C1333" s="425"/>
      <c r="D1333" s="423"/>
      <c r="E1333" s="423"/>
      <c r="F1333" s="423"/>
      <c r="G1333" s="423"/>
      <c r="H1333" s="423"/>
      <c r="N1333" s="534"/>
    </row>
    <row r="1334" spans="1:14" x14ac:dyDescent="0.2">
      <c r="A1334" s="420"/>
      <c r="B1334" s="423"/>
      <c r="C1334" s="425"/>
      <c r="D1334" s="423"/>
      <c r="E1334" s="423"/>
      <c r="F1334" s="423"/>
      <c r="G1334" s="423"/>
      <c r="H1334" s="423"/>
      <c r="N1334" s="534"/>
    </row>
    <row r="1335" spans="1:14" x14ac:dyDescent="0.2">
      <c r="A1335" s="420"/>
      <c r="B1335" s="423"/>
      <c r="C1335" s="425"/>
      <c r="D1335" s="423"/>
      <c r="E1335" s="423"/>
      <c r="F1335" s="423"/>
      <c r="G1335" s="423"/>
      <c r="H1335" s="423"/>
      <c r="N1335" s="534"/>
    </row>
    <row r="1336" spans="1:14" x14ac:dyDescent="0.2">
      <c r="A1336" s="420"/>
      <c r="B1336" s="423"/>
      <c r="C1336" s="425"/>
      <c r="D1336" s="423"/>
      <c r="E1336" s="423"/>
      <c r="F1336" s="423"/>
      <c r="G1336" s="423"/>
      <c r="H1336" s="423"/>
      <c r="N1336" s="534"/>
    </row>
    <row r="1337" spans="1:14" x14ac:dyDescent="0.2">
      <c r="A1337" s="420"/>
      <c r="B1337" s="423"/>
      <c r="C1337" s="425"/>
      <c r="D1337" s="423"/>
      <c r="E1337" s="423"/>
      <c r="F1337" s="423"/>
      <c r="G1337" s="423"/>
      <c r="H1337" s="423"/>
      <c r="N1337" s="534"/>
    </row>
    <row r="1338" spans="1:14" x14ac:dyDescent="0.2">
      <c r="A1338" s="420"/>
      <c r="B1338" s="423"/>
      <c r="C1338" s="425"/>
      <c r="D1338" s="423"/>
      <c r="E1338" s="423"/>
      <c r="F1338" s="423"/>
      <c r="G1338" s="423"/>
      <c r="H1338" s="423"/>
      <c r="N1338" s="534"/>
    </row>
    <row r="1339" spans="1:14" x14ac:dyDescent="0.2">
      <c r="A1339" s="420"/>
      <c r="B1339" s="423"/>
      <c r="C1339" s="425"/>
      <c r="D1339" s="423"/>
      <c r="E1339" s="423"/>
      <c r="F1339" s="423"/>
      <c r="G1339" s="423"/>
      <c r="H1339" s="423"/>
      <c r="N1339" s="534"/>
    </row>
    <row r="1340" spans="1:14" x14ac:dyDescent="0.2">
      <c r="A1340" s="420"/>
      <c r="B1340" s="423"/>
      <c r="C1340" s="425"/>
      <c r="D1340" s="423"/>
      <c r="E1340" s="423"/>
      <c r="F1340" s="423"/>
      <c r="G1340" s="423"/>
      <c r="H1340" s="423"/>
      <c r="N1340" s="534"/>
    </row>
    <row r="1341" spans="1:14" x14ac:dyDescent="0.2">
      <c r="A1341" s="420"/>
      <c r="B1341" s="423"/>
      <c r="C1341" s="425"/>
      <c r="D1341" s="423"/>
      <c r="E1341" s="423"/>
      <c r="F1341" s="423"/>
      <c r="G1341" s="423"/>
      <c r="H1341" s="423"/>
      <c r="N1341" s="534"/>
    </row>
    <row r="1342" spans="1:14" x14ac:dyDescent="0.2">
      <c r="A1342" s="420"/>
      <c r="B1342" s="423"/>
      <c r="C1342" s="425"/>
      <c r="D1342" s="423"/>
      <c r="E1342" s="423"/>
      <c r="F1342" s="423"/>
      <c r="G1342" s="423"/>
      <c r="H1342" s="423"/>
      <c r="N1342" s="534"/>
    </row>
    <row r="1343" spans="1:14" x14ac:dyDescent="0.2">
      <c r="A1343" s="420"/>
      <c r="B1343" s="423"/>
      <c r="C1343" s="425"/>
      <c r="D1343" s="423"/>
      <c r="E1343" s="423"/>
      <c r="F1343" s="423"/>
      <c r="G1343" s="423"/>
      <c r="H1343" s="423"/>
      <c r="N1343" s="534"/>
    </row>
    <row r="1344" spans="1:14" x14ac:dyDescent="0.2">
      <c r="A1344" s="420"/>
      <c r="B1344" s="423"/>
      <c r="C1344" s="425"/>
      <c r="D1344" s="423"/>
      <c r="E1344" s="423"/>
      <c r="F1344" s="423"/>
      <c r="G1344" s="423"/>
      <c r="H1344" s="423"/>
      <c r="N1344" s="534"/>
    </row>
    <row r="1345" spans="1:14" x14ac:dyDescent="0.2">
      <c r="A1345" s="420"/>
      <c r="B1345" s="423"/>
      <c r="C1345" s="425"/>
      <c r="D1345" s="423"/>
      <c r="E1345" s="423"/>
      <c r="F1345" s="423"/>
      <c r="G1345" s="423"/>
      <c r="H1345" s="423"/>
      <c r="N1345" s="534"/>
    </row>
    <row r="1346" spans="1:14" x14ac:dyDescent="0.2">
      <c r="A1346" s="420"/>
      <c r="B1346" s="423"/>
      <c r="C1346" s="425"/>
      <c r="D1346" s="423"/>
      <c r="E1346" s="423"/>
      <c r="F1346" s="423"/>
      <c r="G1346" s="423"/>
      <c r="H1346" s="423"/>
      <c r="N1346" s="534"/>
    </row>
    <row r="1347" spans="1:14" x14ac:dyDescent="0.2">
      <c r="A1347" s="420"/>
      <c r="B1347" s="423"/>
      <c r="C1347" s="425"/>
      <c r="D1347" s="423"/>
      <c r="E1347" s="423"/>
      <c r="F1347" s="423"/>
      <c r="G1347" s="423"/>
      <c r="H1347" s="423"/>
      <c r="N1347" s="534"/>
    </row>
    <row r="1348" spans="1:14" x14ac:dyDescent="0.2">
      <c r="A1348" s="420"/>
      <c r="B1348" s="423"/>
      <c r="C1348" s="425"/>
      <c r="D1348" s="423"/>
      <c r="E1348" s="423"/>
      <c r="F1348" s="423"/>
      <c r="G1348" s="423"/>
      <c r="H1348" s="423"/>
      <c r="N1348" s="534"/>
    </row>
    <row r="1349" spans="1:14" x14ac:dyDescent="0.2">
      <c r="A1349" s="420"/>
      <c r="B1349" s="423"/>
      <c r="C1349" s="425"/>
      <c r="D1349" s="423"/>
      <c r="E1349" s="423"/>
      <c r="F1349" s="423"/>
      <c r="G1349" s="423"/>
      <c r="H1349" s="423"/>
      <c r="N1349" s="534"/>
    </row>
    <row r="1350" spans="1:14" x14ac:dyDescent="0.2">
      <c r="A1350" s="420"/>
      <c r="B1350" s="423"/>
      <c r="C1350" s="425"/>
      <c r="D1350" s="423"/>
      <c r="E1350" s="423"/>
      <c r="F1350" s="423"/>
      <c r="G1350" s="423"/>
      <c r="H1350" s="423"/>
      <c r="N1350" s="534"/>
    </row>
    <row r="1351" spans="1:14" x14ac:dyDescent="0.2">
      <c r="A1351" s="420"/>
      <c r="B1351" s="423"/>
      <c r="C1351" s="425"/>
      <c r="D1351" s="423"/>
      <c r="E1351" s="423"/>
      <c r="F1351" s="423"/>
      <c r="G1351" s="423"/>
      <c r="H1351" s="423"/>
      <c r="N1351" s="534"/>
    </row>
    <row r="1352" spans="1:14" x14ac:dyDescent="0.2">
      <c r="A1352" s="420"/>
      <c r="B1352" s="423"/>
      <c r="C1352" s="425"/>
      <c r="D1352" s="423"/>
      <c r="E1352" s="423"/>
      <c r="F1352" s="423"/>
      <c r="G1352" s="423"/>
      <c r="H1352" s="423"/>
      <c r="N1352" s="534"/>
    </row>
    <row r="1353" spans="1:14" x14ac:dyDescent="0.2">
      <c r="A1353" s="420"/>
      <c r="B1353" s="423"/>
      <c r="C1353" s="425"/>
      <c r="D1353" s="423"/>
      <c r="E1353" s="423"/>
      <c r="F1353" s="423"/>
      <c r="G1353" s="423"/>
      <c r="H1353" s="423"/>
      <c r="N1353" s="534"/>
    </row>
    <row r="1354" spans="1:14" x14ac:dyDescent="0.2">
      <c r="A1354" s="420"/>
      <c r="B1354" s="423"/>
      <c r="C1354" s="425"/>
      <c r="D1354" s="423"/>
      <c r="E1354" s="423"/>
      <c r="F1354" s="423"/>
      <c r="G1354" s="423"/>
      <c r="H1354" s="423"/>
      <c r="N1354" s="534"/>
    </row>
    <row r="1355" spans="1:14" x14ac:dyDescent="0.2">
      <c r="A1355" s="420"/>
      <c r="B1355" s="423"/>
      <c r="C1355" s="425"/>
      <c r="D1355" s="423"/>
      <c r="E1355" s="423"/>
      <c r="F1355" s="423"/>
      <c r="G1355" s="423"/>
      <c r="H1355" s="423"/>
      <c r="N1355" s="534"/>
    </row>
    <row r="1356" spans="1:14" x14ac:dyDescent="0.2">
      <c r="A1356" s="420"/>
      <c r="B1356" s="423"/>
      <c r="C1356" s="425"/>
      <c r="D1356" s="423"/>
      <c r="E1356" s="423"/>
      <c r="F1356" s="423"/>
      <c r="G1356" s="423"/>
      <c r="H1356" s="423"/>
      <c r="N1356" s="534"/>
    </row>
    <row r="1357" spans="1:14" x14ac:dyDescent="0.2">
      <c r="A1357" s="420"/>
      <c r="B1357" s="423"/>
      <c r="C1357" s="425"/>
      <c r="D1357" s="423"/>
      <c r="E1357" s="423"/>
      <c r="F1357" s="423"/>
      <c r="G1357" s="423"/>
      <c r="H1357" s="423"/>
      <c r="N1357" s="534"/>
    </row>
    <row r="1358" spans="1:14" x14ac:dyDescent="0.2">
      <c r="A1358" s="420"/>
      <c r="B1358" s="423"/>
      <c r="C1358" s="425"/>
      <c r="D1358" s="423"/>
      <c r="E1358" s="423"/>
      <c r="F1358" s="423"/>
      <c r="G1358" s="423"/>
      <c r="H1358" s="423"/>
      <c r="N1358" s="534"/>
    </row>
    <row r="1359" spans="1:14" x14ac:dyDescent="0.2">
      <c r="A1359" s="420"/>
      <c r="B1359" s="423"/>
      <c r="C1359" s="425"/>
      <c r="D1359" s="423"/>
      <c r="E1359" s="423"/>
      <c r="F1359" s="423"/>
      <c r="G1359" s="423"/>
      <c r="H1359" s="423"/>
      <c r="N1359" s="534"/>
    </row>
    <row r="1360" spans="1:14" x14ac:dyDescent="0.2">
      <c r="A1360" s="420"/>
      <c r="B1360" s="423"/>
      <c r="C1360" s="425"/>
      <c r="D1360" s="423"/>
      <c r="E1360" s="423"/>
      <c r="F1360" s="423"/>
      <c r="G1360" s="423"/>
      <c r="H1360" s="423"/>
      <c r="N1360" s="534"/>
    </row>
    <row r="1361" spans="1:14" x14ac:dyDescent="0.2">
      <c r="A1361" s="420"/>
      <c r="B1361" s="423"/>
      <c r="C1361" s="425"/>
      <c r="D1361" s="423"/>
      <c r="E1361" s="423"/>
      <c r="F1361" s="423"/>
      <c r="G1361" s="423"/>
      <c r="H1361" s="423"/>
      <c r="N1361" s="534"/>
    </row>
    <row r="1362" spans="1:14" x14ac:dyDescent="0.2">
      <c r="A1362" s="420"/>
      <c r="B1362" s="423"/>
      <c r="C1362" s="425"/>
      <c r="D1362" s="423"/>
      <c r="E1362" s="423"/>
      <c r="F1362" s="423"/>
      <c r="G1362" s="423"/>
      <c r="H1362" s="423"/>
      <c r="N1362" s="534"/>
    </row>
    <row r="1363" spans="1:14" x14ac:dyDescent="0.2">
      <c r="A1363" s="420"/>
      <c r="B1363" s="423"/>
      <c r="C1363" s="425"/>
      <c r="D1363" s="423"/>
      <c r="E1363" s="423"/>
      <c r="F1363" s="423"/>
      <c r="G1363" s="423"/>
      <c r="H1363" s="423"/>
      <c r="N1363" s="534"/>
    </row>
    <row r="1364" spans="1:14" x14ac:dyDescent="0.2">
      <c r="A1364" s="420"/>
      <c r="B1364" s="423"/>
      <c r="C1364" s="425"/>
      <c r="D1364" s="423"/>
      <c r="E1364" s="423"/>
      <c r="F1364" s="423"/>
      <c r="G1364" s="423"/>
      <c r="H1364" s="423"/>
      <c r="N1364" s="534"/>
    </row>
    <row r="1365" spans="1:14" x14ac:dyDescent="0.2">
      <c r="A1365" s="420"/>
      <c r="B1365" s="423"/>
      <c r="C1365" s="425"/>
      <c r="D1365" s="423"/>
      <c r="E1365" s="423"/>
      <c r="F1365" s="423"/>
      <c r="G1365" s="423"/>
      <c r="H1365" s="423"/>
      <c r="N1365" s="534"/>
    </row>
    <row r="1366" spans="1:14" x14ac:dyDescent="0.2">
      <c r="A1366" s="420"/>
      <c r="B1366" s="423"/>
      <c r="C1366" s="425"/>
      <c r="D1366" s="423"/>
      <c r="E1366" s="423"/>
      <c r="F1366" s="423"/>
      <c r="G1366" s="423"/>
      <c r="H1366" s="423"/>
      <c r="N1366" s="534"/>
    </row>
    <row r="1367" spans="1:14" x14ac:dyDescent="0.2">
      <c r="A1367" s="420"/>
      <c r="B1367" s="423"/>
      <c r="C1367" s="425"/>
      <c r="D1367" s="423"/>
      <c r="E1367" s="423"/>
      <c r="F1367" s="423"/>
      <c r="G1367" s="423"/>
      <c r="H1367" s="423"/>
      <c r="N1367" s="534"/>
    </row>
    <row r="1368" spans="1:14" x14ac:dyDescent="0.2">
      <c r="A1368" s="420"/>
      <c r="B1368" s="423"/>
      <c r="C1368" s="425"/>
      <c r="D1368" s="423"/>
      <c r="E1368" s="423"/>
      <c r="F1368" s="423"/>
      <c r="G1368" s="423"/>
      <c r="H1368" s="423"/>
      <c r="N1368" s="534"/>
    </row>
    <row r="1369" spans="1:14" x14ac:dyDescent="0.2">
      <c r="A1369" s="420"/>
      <c r="B1369" s="423"/>
      <c r="C1369" s="425"/>
      <c r="D1369" s="423"/>
      <c r="E1369" s="423"/>
      <c r="F1369" s="423"/>
      <c r="G1369" s="423"/>
      <c r="H1369" s="423"/>
      <c r="N1369" s="534"/>
    </row>
    <row r="1370" spans="1:14" x14ac:dyDescent="0.2">
      <c r="A1370" s="420"/>
      <c r="B1370" s="423"/>
      <c r="C1370" s="425"/>
      <c r="D1370" s="423"/>
      <c r="E1370" s="423"/>
      <c r="F1370" s="423"/>
      <c r="G1370" s="423"/>
      <c r="H1370" s="423"/>
      <c r="N1370" s="534"/>
    </row>
    <row r="1371" spans="1:14" x14ac:dyDescent="0.2">
      <c r="A1371" s="420"/>
      <c r="B1371" s="423"/>
      <c r="C1371" s="425"/>
      <c r="D1371" s="423"/>
      <c r="E1371" s="423"/>
      <c r="F1371" s="423"/>
      <c r="G1371" s="423"/>
      <c r="H1371" s="423"/>
      <c r="N1371" s="534"/>
    </row>
    <row r="1372" spans="1:14" x14ac:dyDescent="0.2">
      <c r="A1372" s="420"/>
      <c r="B1372" s="423"/>
      <c r="C1372" s="425"/>
      <c r="D1372" s="423"/>
      <c r="E1372" s="423"/>
      <c r="F1372" s="423"/>
      <c r="G1372" s="423"/>
      <c r="H1372" s="423"/>
      <c r="N1372" s="534"/>
    </row>
    <row r="1373" spans="1:14" x14ac:dyDescent="0.2">
      <c r="A1373" s="420"/>
      <c r="B1373" s="423"/>
      <c r="C1373" s="425"/>
      <c r="D1373" s="423"/>
      <c r="E1373" s="423"/>
      <c r="F1373" s="423"/>
      <c r="G1373" s="423"/>
      <c r="H1373" s="423"/>
      <c r="N1373" s="534"/>
    </row>
    <row r="1374" spans="1:14" x14ac:dyDescent="0.2">
      <c r="A1374" s="420"/>
      <c r="B1374" s="423"/>
      <c r="C1374" s="425"/>
      <c r="D1374" s="423"/>
      <c r="E1374" s="423"/>
      <c r="F1374" s="423"/>
      <c r="G1374" s="423"/>
      <c r="H1374" s="423"/>
      <c r="N1374" s="534"/>
    </row>
    <row r="1375" spans="1:14" x14ac:dyDescent="0.2">
      <c r="A1375" s="420"/>
      <c r="B1375" s="423"/>
      <c r="C1375" s="425"/>
      <c r="D1375" s="423"/>
      <c r="E1375" s="423"/>
      <c r="F1375" s="423"/>
      <c r="G1375" s="423"/>
      <c r="H1375" s="423"/>
      <c r="N1375" s="534"/>
    </row>
    <row r="1376" spans="1:14" x14ac:dyDescent="0.2">
      <c r="A1376" s="420"/>
      <c r="B1376" s="423"/>
      <c r="C1376" s="425"/>
      <c r="D1376" s="423"/>
      <c r="E1376" s="423"/>
      <c r="F1376" s="423"/>
      <c r="G1376" s="423"/>
      <c r="H1376" s="423"/>
      <c r="N1376" s="534"/>
    </row>
    <row r="1377" spans="1:14" x14ac:dyDescent="0.2">
      <c r="A1377" s="420"/>
      <c r="B1377" s="423"/>
      <c r="C1377" s="425"/>
      <c r="D1377" s="423"/>
      <c r="E1377" s="423"/>
      <c r="F1377" s="423"/>
      <c r="G1377" s="423"/>
      <c r="H1377" s="423"/>
      <c r="N1377" s="534"/>
    </row>
    <row r="1378" spans="1:14" x14ac:dyDescent="0.2">
      <c r="A1378" s="420"/>
      <c r="B1378" s="423"/>
      <c r="C1378" s="425"/>
      <c r="D1378" s="423"/>
      <c r="E1378" s="423"/>
      <c r="F1378" s="423"/>
      <c r="G1378" s="423"/>
      <c r="H1378" s="423"/>
      <c r="N1378" s="534"/>
    </row>
    <row r="1379" spans="1:14" x14ac:dyDescent="0.2">
      <c r="A1379" s="420"/>
      <c r="B1379" s="423"/>
      <c r="C1379" s="425"/>
      <c r="D1379" s="423"/>
      <c r="E1379" s="423"/>
      <c r="F1379" s="423"/>
      <c r="G1379" s="423"/>
      <c r="H1379" s="423"/>
      <c r="N1379" s="534"/>
    </row>
    <row r="1380" spans="1:14" x14ac:dyDescent="0.2">
      <c r="A1380" s="420"/>
      <c r="B1380" s="423"/>
      <c r="C1380" s="425"/>
      <c r="D1380" s="423"/>
      <c r="E1380" s="423"/>
      <c r="F1380" s="423"/>
      <c r="G1380" s="423"/>
      <c r="H1380" s="423"/>
      <c r="N1380" s="534"/>
    </row>
    <row r="1381" spans="1:14" x14ac:dyDescent="0.2">
      <c r="A1381" s="420"/>
      <c r="B1381" s="423"/>
      <c r="C1381" s="425"/>
      <c r="D1381" s="423"/>
      <c r="E1381" s="423"/>
      <c r="F1381" s="423"/>
      <c r="G1381" s="423"/>
      <c r="H1381" s="423"/>
      <c r="N1381" s="534"/>
    </row>
    <row r="1382" spans="1:14" x14ac:dyDescent="0.2">
      <c r="A1382" s="420"/>
      <c r="B1382" s="423"/>
      <c r="C1382" s="425"/>
      <c r="D1382" s="423"/>
      <c r="E1382" s="423"/>
      <c r="F1382" s="423"/>
      <c r="G1382" s="423"/>
      <c r="H1382" s="423"/>
      <c r="N1382" s="534"/>
    </row>
    <row r="1383" spans="1:14" x14ac:dyDescent="0.2">
      <c r="A1383" s="420"/>
      <c r="B1383" s="423"/>
      <c r="C1383" s="425"/>
      <c r="D1383" s="423"/>
      <c r="E1383" s="423"/>
      <c r="F1383" s="423"/>
      <c r="G1383" s="423"/>
      <c r="H1383" s="423"/>
      <c r="N1383" s="534"/>
    </row>
    <row r="1384" spans="1:14" x14ac:dyDescent="0.2">
      <c r="A1384" s="420"/>
      <c r="B1384" s="423"/>
      <c r="C1384" s="425"/>
      <c r="D1384" s="423"/>
      <c r="E1384" s="423"/>
      <c r="F1384" s="423"/>
      <c r="G1384" s="423"/>
      <c r="H1384" s="423"/>
      <c r="N1384" s="534"/>
    </row>
    <row r="1385" spans="1:14" x14ac:dyDescent="0.2">
      <c r="A1385" s="420"/>
      <c r="B1385" s="423"/>
      <c r="C1385" s="425"/>
      <c r="D1385" s="423"/>
      <c r="E1385" s="423"/>
      <c r="F1385" s="423"/>
      <c r="G1385" s="423"/>
      <c r="H1385" s="423"/>
      <c r="N1385" s="534"/>
    </row>
    <row r="1386" spans="1:14" x14ac:dyDescent="0.2">
      <c r="A1386" s="420"/>
      <c r="B1386" s="423"/>
      <c r="C1386" s="425"/>
      <c r="D1386" s="423"/>
      <c r="E1386" s="423"/>
      <c r="F1386" s="423"/>
      <c r="G1386" s="423"/>
      <c r="H1386" s="423"/>
      <c r="N1386" s="534"/>
    </row>
    <row r="1387" spans="1:14" x14ac:dyDescent="0.2">
      <c r="A1387" s="420"/>
      <c r="B1387" s="423"/>
      <c r="C1387" s="425"/>
      <c r="D1387" s="423"/>
      <c r="E1387" s="423"/>
      <c r="F1387" s="423"/>
      <c r="G1387" s="423"/>
      <c r="H1387" s="423"/>
      <c r="N1387" s="534"/>
    </row>
    <row r="1388" spans="1:14" x14ac:dyDescent="0.2">
      <c r="A1388" s="420"/>
      <c r="B1388" s="423"/>
      <c r="C1388" s="425"/>
      <c r="D1388" s="423"/>
      <c r="E1388" s="423"/>
      <c r="F1388" s="423"/>
      <c r="G1388" s="423"/>
      <c r="H1388" s="423"/>
      <c r="N1388" s="534"/>
    </row>
    <row r="1389" spans="1:14" x14ac:dyDescent="0.2">
      <c r="A1389" s="420"/>
      <c r="B1389" s="423"/>
      <c r="C1389" s="425"/>
      <c r="D1389" s="423"/>
      <c r="E1389" s="423"/>
      <c r="F1389" s="423"/>
      <c r="G1389" s="423"/>
      <c r="H1389" s="423"/>
      <c r="N1389" s="534"/>
    </row>
    <row r="1390" spans="1:14" x14ac:dyDescent="0.2">
      <c r="A1390" s="420"/>
      <c r="B1390" s="423"/>
      <c r="C1390" s="425"/>
      <c r="D1390" s="423"/>
      <c r="E1390" s="423"/>
      <c r="F1390" s="423"/>
      <c r="G1390" s="423"/>
      <c r="H1390" s="423"/>
      <c r="N1390" s="534"/>
    </row>
    <row r="1391" spans="1:14" x14ac:dyDescent="0.2">
      <c r="A1391" s="420"/>
      <c r="B1391" s="423"/>
      <c r="C1391" s="425"/>
      <c r="D1391" s="423"/>
      <c r="E1391" s="423"/>
      <c r="F1391" s="423"/>
      <c r="G1391" s="423"/>
      <c r="H1391" s="423"/>
      <c r="N1391" s="534"/>
    </row>
    <row r="1392" spans="1:14" x14ac:dyDescent="0.2">
      <c r="A1392" s="420"/>
      <c r="B1392" s="423"/>
      <c r="C1392" s="425"/>
      <c r="D1392" s="423"/>
      <c r="E1392" s="423"/>
      <c r="F1392" s="423"/>
      <c r="G1392" s="423"/>
      <c r="H1392" s="423"/>
      <c r="N1392" s="534"/>
    </row>
    <row r="1393" spans="1:14" x14ac:dyDescent="0.2">
      <c r="A1393" s="420"/>
      <c r="B1393" s="423"/>
      <c r="C1393" s="425"/>
      <c r="D1393" s="423"/>
      <c r="E1393" s="423"/>
      <c r="F1393" s="423"/>
      <c r="G1393" s="423"/>
      <c r="H1393" s="423"/>
      <c r="N1393" s="534"/>
    </row>
    <row r="1394" spans="1:14" x14ac:dyDescent="0.2">
      <c r="A1394" s="420"/>
      <c r="B1394" s="423"/>
      <c r="C1394" s="425"/>
      <c r="D1394" s="423"/>
      <c r="E1394" s="423"/>
      <c r="F1394" s="423"/>
      <c r="G1394" s="423"/>
      <c r="H1394" s="423"/>
      <c r="N1394" s="534"/>
    </row>
    <row r="1395" spans="1:14" x14ac:dyDescent="0.2">
      <c r="A1395" s="420"/>
      <c r="B1395" s="423"/>
      <c r="C1395" s="425"/>
      <c r="D1395" s="423"/>
      <c r="E1395" s="423"/>
      <c r="F1395" s="423"/>
      <c r="G1395" s="423"/>
      <c r="H1395" s="423"/>
      <c r="N1395" s="534"/>
    </row>
    <row r="1396" spans="1:14" x14ac:dyDescent="0.2">
      <c r="A1396" s="420"/>
      <c r="B1396" s="423"/>
      <c r="C1396" s="425"/>
      <c r="D1396" s="423"/>
      <c r="E1396" s="423"/>
      <c r="F1396" s="423"/>
      <c r="G1396" s="423"/>
      <c r="H1396" s="423"/>
      <c r="N1396" s="534"/>
    </row>
    <row r="1397" spans="1:14" x14ac:dyDescent="0.2">
      <c r="A1397" s="420"/>
      <c r="B1397" s="423"/>
      <c r="C1397" s="425"/>
      <c r="D1397" s="423"/>
      <c r="E1397" s="423"/>
      <c r="F1397" s="423"/>
      <c r="G1397" s="423"/>
      <c r="H1397" s="423"/>
      <c r="N1397" s="534"/>
    </row>
    <row r="1398" spans="1:14" x14ac:dyDescent="0.2">
      <c r="A1398" s="420"/>
      <c r="B1398" s="423"/>
      <c r="C1398" s="425"/>
      <c r="D1398" s="423"/>
      <c r="E1398" s="423"/>
      <c r="F1398" s="423"/>
      <c r="G1398" s="423"/>
      <c r="H1398" s="423"/>
      <c r="N1398" s="534"/>
    </row>
    <row r="1399" spans="1:14" x14ac:dyDescent="0.2">
      <c r="A1399" s="420"/>
      <c r="B1399" s="423"/>
      <c r="C1399" s="425"/>
      <c r="D1399" s="423"/>
      <c r="E1399" s="423"/>
      <c r="F1399" s="423"/>
      <c r="G1399" s="423"/>
      <c r="H1399" s="423"/>
      <c r="N1399" s="534"/>
    </row>
    <row r="1400" spans="1:14" x14ac:dyDescent="0.2">
      <c r="A1400" s="420"/>
      <c r="B1400" s="423"/>
      <c r="C1400" s="425"/>
      <c r="D1400" s="423"/>
      <c r="E1400" s="423"/>
      <c r="F1400" s="423"/>
      <c r="G1400" s="423"/>
      <c r="H1400" s="423"/>
      <c r="N1400" s="534"/>
    </row>
    <row r="1401" spans="1:14" x14ac:dyDescent="0.2">
      <c r="A1401" s="420"/>
      <c r="B1401" s="423"/>
      <c r="C1401" s="425"/>
      <c r="D1401" s="423"/>
      <c r="E1401" s="423"/>
      <c r="F1401" s="423"/>
      <c r="G1401" s="423"/>
      <c r="H1401" s="423"/>
      <c r="N1401" s="534"/>
    </row>
    <row r="1402" spans="1:14" x14ac:dyDescent="0.2">
      <c r="A1402" s="420"/>
      <c r="B1402" s="423"/>
      <c r="C1402" s="425"/>
      <c r="D1402" s="423"/>
      <c r="E1402" s="423"/>
      <c r="F1402" s="423"/>
      <c r="G1402" s="423"/>
      <c r="H1402" s="423"/>
      <c r="N1402" s="534"/>
    </row>
    <row r="1403" spans="1:14" x14ac:dyDescent="0.2">
      <c r="A1403" s="420"/>
      <c r="B1403" s="423"/>
      <c r="C1403" s="425"/>
      <c r="D1403" s="423"/>
      <c r="E1403" s="423"/>
      <c r="F1403" s="423"/>
      <c r="G1403" s="423"/>
      <c r="H1403" s="423"/>
      <c r="N1403" s="534"/>
    </row>
    <row r="1404" spans="1:14" x14ac:dyDescent="0.2">
      <c r="A1404" s="420"/>
      <c r="B1404" s="423"/>
      <c r="C1404" s="425"/>
      <c r="D1404" s="423"/>
      <c r="E1404" s="423"/>
      <c r="F1404" s="423"/>
      <c r="G1404" s="423"/>
      <c r="H1404" s="423"/>
      <c r="N1404" s="534"/>
    </row>
    <row r="1405" spans="1:14" x14ac:dyDescent="0.2">
      <c r="A1405" s="420"/>
      <c r="B1405" s="423"/>
      <c r="C1405" s="425"/>
      <c r="D1405" s="423"/>
      <c r="E1405" s="423"/>
      <c r="F1405" s="423"/>
      <c r="G1405" s="423"/>
      <c r="H1405" s="423"/>
      <c r="N1405" s="534"/>
    </row>
    <row r="1406" spans="1:14" x14ac:dyDescent="0.2">
      <c r="A1406" s="420"/>
      <c r="B1406" s="423"/>
      <c r="C1406" s="425"/>
      <c r="D1406" s="423"/>
      <c r="E1406" s="423"/>
      <c r="F1406" s="423"/>
      <c r="G1406" s="423"/>
      <c r="H1406" s="423"/>
      <c r="N1406" s="534"/>
    </row>
    <row r="1407" spans="1:14" x14ac:dyDescent="0.2">
      <c r="A1407" s="420"/>
      <c r="B1407" s="423"/>
      <c r="C1407" s="425"/>
      <c r="D1407" s="423"/>
      <c r="E1407" s="423"/>
      <c r="F1407" s="423"/>
      <c r="G1407" s="423"/>
      <c r="H1407" s="423"/>
      <c r="N1407" s="534"/>
    </row>
    <row r="1408" spans="1:14" x14ac:dyDescent="0.2">
      <c r="A1408" s="420"/>
      <c r="B1408" s="423"/>
      <c r="C1408" s="425"/>
      <c r="D1408" s="423"/>
      <c r="E1408" s="423"/>
      <c r="F1408" s="423"/>
      <c r="G1408" s="423"/>
      <c r="H1408" s="423"/>
      <c r="N1408" s="534"/>
    </row>
    <row r="1409" spans="1:14" x14ac:dyDescent="0.2">
      <c r="A1409" s="420"/>
      <c r="B1409" s="423"/>
      <c r="C1409" s="425"/>
      <c r="D1409" s="423"/>
      <c r="E1409" s="423"/>
      <c r="F1409" s="423"/>
      <c r="G1409" s="423"/>
      <c r="H1409" s="423"/>
      <c r="N1409" s="534"/>
    </row>
    <row r="1410" spans="1:14" x14ac:dyDescent="0.2">
      <c r="A1410" s="420"/>
      <c r="B1410" s="423"/>
      <c r="C1410" s="425"/>
      <c r="D1410" s="423"/>
      <c r="E1410" s="423"/>
      <c r="F1410" s="423"/>
      <c r="G1410" s="423"/>
      <c r="H1410" s="423"/>
      <c r="N1410" s="534"/>
    </row>
    <row r="1411" spans="1:14" x14ac:dyDescent="0.2">
      <c r="A1411" s="420"/>
      <c r="B1411" s="423"/>
      <c r="C1411" s="425"/>
      <c r="D1411" s="423"/>
      <c r="E1411" s="423"/>
      <c r="F1411" s="423"/>
      <c r="G1411" s="423"/>
      <c r="H1411" s="423"/>
      <c r="N1411" s="534"/>
    </row>
    <row r="1412" spans="1:14" x14ac:dyDescent="0.2">
      <c r="A1412" s="420"/>
      <c r="B1412" s="423"/>
      <c r="C1412" s="425"/>
      <c r="D1412" s="423"/>
      <c r="E1412" s="423"/>
      <c r="F1412" s="423"/>
      <c r="G1412" s="423"/>
      <c r="H1412" s="423"/>
      <c r="N1412" s="534"/>
    </row>
    <row r="1413" spans="1:14" x14ac:dyDescent="0.2">
      <c r="A1413" s="420"/>
      <c r="B1413" s="423"/>
      <c r="C1413" s="425"/>
      <c r="D1413" s="423"/>
      <c r="E1413" s="423"/>
      <c r="F1413" s="423"/>
      <c r="G1413" s="423"/>
      <c r="H1413" s="423"/>
      <c r="N1413" s="534"/>
    </row>
    <row r="1414" spans="1:14" x14ac:dyDescent="0.2">
      <c r="A1414" s="420"/>
      <c r="B1414" s="423"/>
      <c r="C1414" s="425"/>
      <c r="D1414" s="423"/>
      <c r="E1414" s="423"/>
      <c r="F1414" s="423"/>
      <c r="G1414" s="423"/>
      <c r="H1414" s="423"/>
      <c r="N1414" s="534"/>
    </row>
    <row r="1415" spans="1:14" x14ac:dyDescent="0.2">
      <c r="A1415" s="420"/>
      <c r="B1415" s="423"/>
      <c r="C1415" s="425"/>
      <c r="D1415" s="423"/>
      <c r="E1415" s="423"/>
      <c r="F1415" s="423"/>
      <c r="G1415" s="423"/>
      <c r="H1415" s="423"/>
      <c r="N1415" s="534"/>
    </row>
    <row r="1416" spans="1:14" x14ac:dyDescent="0.2">
      <c r="A1416" s="420"/>
      <c r="B1416" s="423"/>
      <c r="C1416" s="425"/>
      <c r="D1416" s="423"/>
      <c r="E1416" s="423"/>
      <c r="F1416" s="423"/>
      <c r="G1416" s="423"/>
      <c r="H1416" s="423"/>
      <c r="N1416" s="534"/>
    </row>
    <row r="1417" spans="1:14" x14ac:dyDescent="0.2">
      <c r="A1417" s="420"/>
      <c r="B1417" s="423"/>
      <c r="C1417" s="425"/>
      <c r="D1417" s="423"/>
      <c r="E1417" s="423"/>
      <c r="F1417" s="423"/>
      <c r="G1417" s="423"/>
      <c r="H1417" s="423"/>
      <c r="N1417" s="534"/>
    </row>
    <row r="1418" spans="1:14" x14ac:dyDescent="0.2">
      <c r="A1418" s="420"/>
      <c r="B1418" s="423"/>
      <c r="C1418" s="425"/>
      <c r="D1418" s="423"/>
      <c r="E1418" s="423"/>
      <c r="F1418" s="423"/>
      <c r="G1418" s="423"/>
      <c r="H1418" s="423"/>
      <c r="N1418" s="534"/>
    </row>
    <row r="1419" spans="1:14" x14ac:dyDescent="0.2">
      <c r="A1419" s="420"/>
      <c r="B1419" s="423"/>
      <c r="C1419" s="425"/>
      <c r="D1419" s="423"/>
      <c r="E1419" s="423"/>
      <c r="F1419" s="423"/>
      <c r="G1419" s="423"/>
      <c r="H1419" s="423"/>
      <c r="N1419" s="534"/>
    </row>
    <row r="1420" spans="1:14" x14ac:dyDescent="0.2">
      <c r="A1420" s="420"/>
      <c r="B1420" s="423"/>
      <c r="C1420" s="425"/>
      <c r="D1420" s="423"/>
      <c r="E1420" s="423"/>
      <c r="F1420" s="423"/>
      <c r="G1420" s="423"/>
      <c r="H1420" s="423"/>
      <c r="N1420" s="534"/>
    </row>
    <row r="1421" spans="1:14" x14ac:dyDescent="0.2">
      <c r="A1421" s="420"/>
      <c r="B1421" s="423"/>
      <c r="C1421" s="425"/>
      <c r="D1421" s="423"/>
      <c r="E1421" s="423"/>
      <c r="F1421" s="423"/>
      <c r="G1421" s="423"/>
      <c r="H1421" s="423"/>
      <c r="N1421" s="534"/>
    </row>
    <row r="1422" spans="1:14" x14ac:dyDescent="0.2">
      <c r="A1422" s="420"/>
      <c r="B1422" s="423"/>
      <c r="C1422" s="425"/>
      <c r="D1422" s="423"/>
      <c r="E1422" s="423"/>
      <c r="F1422" s="423"/>
      <c r="G1422" s="423"/>
      <c r="H1422" s="423"/>
      <c r="N1422" s="534"/>
    </row>
    <row r="1423" spans="1:14" x14ac:dyDescent="0.2">
      <c r="A1423" s="420"/>
      <c r="B1423" s="423"/>
      <c r="C1423" s="425"/>
      <c r="D1423" s="423"/>
      <c r="E1423" s="423"/>
      <c r="F1423" s="423"/>
      <c r="G1423" s="423"/>
      <c r="H1423" s="423"/>
      <c r="N1423" s="534"/>
    </row>
    <row r="1424" spans="1:14" x14ac:dyDescent="0.2">
      <c r="A1424" s="420"/>
      <c r="B1424" s="423"/>
      <c r="C1424" s="425"/>
      <c r="D1424" s="423"/>
      <c r="E1424" s="423"/>
      <c r="F1424" s="423"/>
      <c r="G1424" s="423"/>
      <c r="H1424" s="423"/>
      <c r="N1424" s="534"/>
    </row>
    <row r="1425" spans="1:14" x14ac:dyDescent="0.2">
      <c r="A1425" s="420"/>
      <c r="B1425" s="423"/>
      <c r="C1425" s="425"/>
      <c r="D1425" s="423"/>
      <c r="E1425" s="423"/>
      <c r="F1425" s="423"/>
      <c r="G1425" s="423"/>
      <c r="H1425" s="423"/>
      <c r="N1425" s="534"/>
    </row>
    <row r="1426" spans="1:14" x14ac:dyDescent="0.2">
      <c r="A1426" s="420"/>
      <c r="B1426" s="423"/>
      <c r="C1426" s="425"/>
      <c r="D1426" s="423"/>
      <c r="E1426" s="423"/>
      <c r="F1426" s="423"/>
      <c r="G1426" s="423"/>
      <c r="H1426" s="423"/>
      <c r="N1426" s="534"/>
    </row>
    <row r="1427" spans="1:14" x14ac:dyDescent="0.2">
      <c r="A1427" s="420"/>
      <c r="B1427" s="423"/>
      <c r="C1427" s="425"/>
      <c r="D1427" s="423"/>
      <c r="E1427" s="423"/>
      <c r="F1427" s="423"/>
      <c r="G1427" s="423"/>
      <c r="H1427" s="423"/>
      <c r="N1427" s="534"/>
    </row>
    <row r="1428" spans="1:14" x14ac:dyDescent="0.2">
      <c r="A1428" s="420"/>
      <c r="B1428" s="423"/>
      <c r="C1428" s="425"/>
      <c r="D1428" s="423"/>
      <c r="E1428" s="423"/>
      <c r="F1428" s="423"/>
      <c r="G1428" s="423"/>
      <c r="H1428" s="423"/>
      <c r="N1428" s="534"/>
    </row>
    <row r="1429" spans="1:14" x14ac:dyDescent="0.2">
      <c r="A1429" s="420"/>
      <c r="B1429" s="423"/>
      <c r="C1429" s="425"/>
      <c r="D1429" s="423"/>
      <c r="E1429" s="423"/>
      <c r="F1429" s="423"/>
      <c r="G1429" s="423"/>
      <c r="H1429" s="423"/>
      <c r="N1429" s="534"/>
    </row>
    <row r="1430" spans="1:14" x14ac:dyDescent="0.2">
      <c r="A1430" s="420"/>
      <c r="B1430" s="423"/>
      <c r="C1430" s="425"/>
      <c r="D1430" s="423"/>
      <c r="E1430" s="423"/>
      <c r="F1430" s="423"/>
      <c r="G1430" s="423"/>
      <c r="H1430" s="423"/>
      <c r="N1430" s="534"/>
    </row>
    <row r="1431" spans="1:14" x14ac:dyDescent="0.2">
      <c r="A1431" s="420"/>
      <c r="B1431" s="423"/>
      <c r="C1431" s="425"/>
      <c r="D1431" s="423"/>
      <c r="E1431" s="423"/>
      <c r="F1431" s="423"/>
      <c r="G1431" s="423"/>
      <c r="H1431" s="423"/>
      <c r="N1431" s="534"/>
    </row>
    <row r="1432" spans="1:14" x14ac:dyDescent="0.2">
      <c r="A1432" s="420"/>
      <c r="B1432" s="423"/>
      <c r="C1432" s="425"/>
      <c r="D1432" s="423"/>
      <c r="E1432" s="423"/>
      <c r="F1432" s="423"/>
      <c r="G1432" s="423"/>
      <c r="H1432" s="423"/>
      <c r="N1432" s="534"/>
    </row>
    <row r="1433" spans="1:14" x14ac:dyDescent="0.2">
      <c r="A1433" s="420"/>
      <c r="B1433" s="423"/>
      <c r="C1433" s="425"/>
      <c r="D1433" s="423"/>
      <c r="E1433" s="423"/>
      <c r="F1433" s="423"/>
      <c r="G1433" s="423"/>
      <c r="H1433" s="423"/>
      <c r="N1433" s="534"/>
    </row>
    <row r="1434" spans="1:14" x14ac:dyDescent="0.2">
      <c r="A1434" s="420"/>
      <c r="B1434" s="423"/>
      <c r="C1434" s="425"/>
      <c r="D1434" s="423"/>
      <c r="E1434" s="423"/>
      <c r="F1434" s="423"/>
      <c r="G1434" s="423"/>
      <c r="H1434" s="423"/>
      <c r="N1434" s="534"/>
    </row>
    <row r="1435" spans="1:14" x14ac:dyDescent="0.2">
      <c r="A1435" s="420"/>
      <c r="B1435" s="423"/>
      <c r="C1435" s="425"/>
      <c r="D1435" s="423"/>
      <c r="E1435" s="423"/>
      <c r="F1435" s="423"/>
      <c r="G1435" s="423"/>
      <c r="H1435" s="423"/>
      <c r="N1435" s="534"/>
    </row>
    <row r="1436" spans="1:14" x14ac:dyDescent="0.2">
      <c r="A1436" s="420"/>
      <c r="B1436" s="423"/>
      <c r="C1436" s="425"/>
      <c r="D1436" s="423"/>
      <c r="E1436" s="423"/>
      <c r="F1436" s="423"/>
      <c r="G1436" s="423"/>
      <c r="H1436" s="423"/>
      <c r="N1436" s="534"/>
    </row>
    <row r="1437" spans="1:14" x14ac:dyDescent="0.2">
      <c r="A1437" s="420"/>
      <c r="B1437" s="423"/>
      <c r="C1437" s="425"/>
      <c r="D1437" s="423"/>
      <c r="E1437" s="423"/>
      <c r="F1437" s="423"/>
      <c r="G1437" s="423"/>
      <c r="H1437" s="423"/>
      <c r="N1437" s="534"/>
    </row>
    <row r="1438" spans="1:14" x14ac:dyDescent="0.2">
      <c r="A1438" s="420"/>
      <c r="B1438" s="423"/>
      <c r="C1438" s="425"/>
      <c r="D1438" s="423"/>
      <c r="E1438" s="423"/>
      <c r="F1438" s="423"/>
      <c r="G1438" s="423"/>
      <c r="H1438" s="423"/>
      <c r="N1438" s="534"/>
    </row>
    <row r="1439" spans="1:14" x14ac:dyDescent="0.2">
      <c r="A1439" s="420"/>
      <c r="B1439" s="423"/>
      <c r="C1439" s="425"/>
      <c r="D1439" s="423"/>
      <c r="E1439" s="423"/>
      <c r="F1439" s="423"/>
      <c r="G1439" s="423"/>
      <c r="H1439" s="423"/>
      <c r="N1439" s="534"/>
    </row>
    <row r="1440" spans="1:14" x14ac:dyDescent="0.2">
      <c r="A1440" s="420"/>
      <c r="B1440" s="423"/>
      <c r="C1440" s="425"/>
      <c r="D1440" s="423"/>
      <c r="E1440" s="423"/>
      <c r="F1440" s="423"/>
      <c r="G1440" s="423"/>
      <c r="H1440" s="423"/>
      <c r="N1440" s="534"/>
    </row>
    <row r="1441" spans="1:14" x14ac:dyDescent="0.2">
      <c r="A1441" s="420"/>
      <c r="B1441" s="423"/>
      <c r="C1441" s="425"/>
      <c r="D1441" s="423"/>
      <c r="E1441" s="423"/>
      <c r="F1441" s="423"/>
      <c r="G1441" s="423"/>
      <c r="H1441" s="423"/>
      <c r="N1441" s="534"/>
    </row>
    <row r="1442" spans="1:14" x14ac:dyDescent="0.2">
      <c r="A1442" s="420"/>
      <c r="B1442" s="423"/>
      <c r="C1442" s="425"/>
      <c r="D1442" s="423"/>
      <c r="E1442" s="423"/>
      <c r="F1442" s="423"/>
      <c r="G1442" s="423"/>
      <c r="H1442" s="423"/>
      <c r="N1442" s="534"/>
    </row>
    <row r="1443" spans="1:14" x14ac:dyDescent="0.2">
      <c r="A1443" s="420"/>
      <c r="B1443" s="423"/>
      <c r="C1443" s="425"/>
      <c r="D1443" s="423"/>
      <c r="E1443" s="423"/>
      <c r="F1443" s="423"/>
      <c r="G1443" s="423"/>
      <c r="H1443" s="423"/>
      <c r="N1443" s="534"/>
    </row>
    <row r="1444" spans="1:14" x14ac:dyDescent="0.2">
      <c r="A1444" s="420"/>
      <c r="B1444" s="423"/>
      <c r="C1444" s="425"/>
      <c r="D1444" s="423"/>
      <c r="E1444" s="423"/>
      <c r="F1444" s="423"/>
      <c r="G1444" s="423"/>
      <c r="H1444" s="423"/>
      <c r="N1444" s="534"/>
    </row>
    <row r="1445" spans="1:14" x14ac:dyDescent="0.2">
      <c r="A1445" s="420"/>
      <c r="B1445" s="423"/>
      <c r="C1445" s="425"/>
      <c r="D1445" s="423"/>
      <c r="E1445" s="423"/>
      <c r="F1445" s="423"/>
      <c r="G1445" s="423"/>
      <c r="H1445" s="423"/>
      <c r="N1445" s="534"/>
    </row>
    <row r="1446" spans="1:14" x14ac:dyDescent="0.2">
      <c r="A1446" s="420"/>
      <c r="B1446" s="423"/>
      <c r="C1446" s="425"/>
      <c r="D1446" s="423"/>
      <c r="E1446" s="423"/>
      <c r="F1446" s="423"/>
      <c r="G1446" s="423"/>
      <c r="H1446" s="423"/>
      <c r="N1446" s="534"/>
    </row>
    <row r="1447" spans="1:14" x14ac:dyDescent="0.2">
      <c r="A1447" s="420"/>
      <c r="B1447" s="423"/>
      <c r="C1447" s="425"/>
      <c r="D1447" s="423"/>
      <c r="E1447" s="423"/>
      <c r="F1447" s="423"/>
      <c r="G1447" s="423"/>
      <c r="H1447" s="423"/>
      <c r="N1447" s="534"/>
    </row>
    <row r="1448" spans="1:14" x14ac:dyDescent="0.2">
      <c r="A1448" s="420"/>
      <c r="B1448" s="423"/>
      <c r="C1448" s="425"/>
      <c r="D1448" s="423"/>
      <c r="E1448" s="423"/>
      <c r="F1448" s="423"/>
      <c r="G1448" s="423"/>
      <c r="H1448" s="423"/>
      <c r="N1448" s="534"/>
    </row>
    <row r="1449" spans="1:14" x14ac:dyDescent="0.2">
      <c r="A1449" s="420"/>
      <c r="B1449" s="423"/>
      <c r="C1449" s="425"/>
      <c r="D1449" s="423"/>
      <c r="E1449" s="423"/>
      <c r="F1449" s="423"/>
      <c r="G1449" s="423"/>
      <c r="H1449" s="423"/>
      <c r="N1449" s="534"/>
    </row>
    <row r="1450" spans="1:14" x14ac:dyDescent="0.2">
      <c r="A1450" s="420"/>
      <c r="B1450" s="423"/>
      <c r="C1450" s="425"/>
      <c r="D1450" s="423"/>
      <c r="E1450" s="423"/>
      <c r="F1450" s="423"/>
      <c r="G1450" s="423"/>
      <c r="H1450" s="423"/>
      <c r="N1450" s="534"/>
    </row>
    <row r="1451" spans="1:14" x14ac:dyDescent="0.2">
      <c r="A1451" s="420"/>
      <c r="B1451" s="423"/>
      <c r="C1451" s="425"/>
      <c r="D1451" s="423"/>
      <c r="E1451" s="423"/>
      <c r="F1451" s="423"/>
      <c r="G1451" s="423"/>
      <c r="H1451" s="423"/>
      <c r="N1451" s="534"/>
    </row>
    <row r="1452" spans="1:14" x14ac:dyDescent="0.2">
      <c r="A1452" s="420"/>
      <c r="B1452" s="423"/>
      <c r="C1452" s="425"/>
      <c r="D1452" s="423"/>
      <c r="E1452" s="423"/>
      <c r="F1452" s="423"/>
      <c r="G1452" s="423"/>
      <c r="H1452" s="423"/>
      <c r="N1452" s="534"/>
    </row>
    <row r="1453" spans="1:14" x14ac:dyDescent="0.2">
      <c r="A1453" s="420"/>
      <c r="B1453" s="423"/>
      <c r="C1453" s="425"/>
      <c r="D1453" s="423"/>
      <c r="E1453" s="423"/>
      <c r="F1453" s="423"/>
      <c r="G1453" s="423"/>
      <c r="H1453" s="423"/>
      <c r="N1453" s="534"/>
    </row>
    <row r="1454" spans="1:14" x14ac:dyDescent="0.2">
      <c r="A1454" s="420"/>
      <c r="B1454" s="423"/>
      <c r="C1454" s="425"/>
      <c r="D1454" s="423"/>
      <c r="E1454" s="423"/>
      <c r="F1454" s="423"/>
      <c r="G1454" s="423"/>
      <c r="H1454" s="423"/>
      <c r="N1454" s="534"/>
    </row>
    <row r="1455" spans="1:14" x14ac:dyDescent="0.2">
      <c r="A1455" s="420"/>
      <c r="B1455" s="423"/>
      <c r="C1455" s="425"/>
      <c r="D1455" s="423"/>
      <c r="E1455" s="423"/>
      <c r="F1455" s="423"/>
      <c r="G1455" s="423"/>
      <c r="H1455" s="423"/>
      <c r="N1455" s="534"/>
    </row>
    <row r="1456" spans="1:14" x14ac:dyDescent="0.2">
      <c r="A1456" s="420"/>
      <c r="B1456" s="423"/>
      <c r="C1456" s="425"/>
      <c r="D1456" s="423"/>
      <c r="E1456" s="423"/>
      <c r="F1456" s="423"/>
      <c r="G1456" s="423"/>
      <c r="H1456" s="423"/>
      <c r="N1456" s="534"/>
    </row>
    <row r="1457" spans="1:14" x14ac:dyDescent="0.2">
      <c r="A1457" s="420"/>
      <c r="B1457" s="423"/>
      <c r="C1457" s="425"/>
      <c r="D1457" s="423"/>
      <c r="E1457" s="423"/>
      <c r="F1457" s="423"/>
      <c r="G1457" s="423"/>
      <c r="H1457" s="423"/>
      <c r="N1457" s="534"/>
    </row>
    <row r="1458" spans="1:14" x14ac:dyDescent="0.2">
      <c r="A1458" s="420"/>
      <c r="B1458" s="423"/>
      <c r="C1458" s="425"/>
      <c r="D1458" s="423"/>
      <c r="E1458" s="423"/>
      <c r="F1458" s="423"/>
      <c r="G1458" s="423"/>
      <c r="H1458" s="423"/>
      <c r="N1458" s="534"/>
    </row>
    <row r="1459" spans="1:14" x14ac:dyDescent="0.2">
      <c r="A1459" s="420"/>
      <c r="B1459" s="423"/>
      <c r="C1459" s="425"/>
      <c r="D1459" s="423"/>
      <c r="E1459" s="423"/>
      <c r="F1459" s="423"/>
      <c r="G1459" s="423"/>
      <c r="H1459" s="423"/>
      <c r="N1459" s="534"/>
    </row>
    <row r="1460" spans="1:14" x14ac:dyDescent="0.2">
      <c r="A1460" s="420"/>
      <c r="B1460" s="423"/>
      <c r="C1460" s="425"/>
      <c r="D1460" s="423"/>
      <c r="E1460" s="423"/>
      <c r="F1460" s="423"/>
      <c r="G1460" s="423"/>
      <c r="H1460" s="423"/>
      <c r="N1460" s="534"/>
    </row>
    <row r="1461" spans="1:14" x14ac:dyDescent="0.2">
      <c r="A1461" s="420"/>
      <c r="B1461" s="423"/>
      <c r="C1461" s="425"/>
      <c r="D1461" s="423"/>
      <c r="E1461" s="423"/>
      <c r="F1461" s="423"/>
      <c r="G1461" s="423"/>
      <c r="H1461" s="423"/>
      <c r="N1461" s="534"/>
    </row>
    <row r="1462" spans="1:14" x14ac:dyDescent="0.2">
      <c r="A1462" s="420"/>
      <c r="B1462" s="423"/>
      <c r="C1462" s="425"/>
      <c r="D1462" s="423"/>
      <c r="E1462" s="423"/>
      <c r="F1462" s="423"/>
      <c r="G1462" s="423"/>
      <c r="H1462" s="423"/>
      <c r="N1462" s="534"/>
    </row>
    <row r="1463" spans="1:14" x14ac:dyDescent="0.2">
      <c r="A1463" s="420"/>
      <c r="B1463" s="423"/>
      <c r="C1463" s="425"/>
      <c r="D1463" s="423"/>
      <c r="E1463" s="423"/>
      <c r="F1463" s="423"/>
      <c r="G1463" s="423"/>
      <c r="H1463" s="423"/>
      <c r="N1463" s="534"/>
    </row>
    <row r="1464" spans="1:14" x14ac:dyDescent="0.2">
      <c r="A1464" s="420"/>
      <c r="B1464" s="423"/>
      <c r="C1464" s="425"/>
      <c r="D1464" s="423"/>
      <c r="E1464" s="423"/>
      <c r="F1464" s="423"/>
      <c r="G1464" s="423"/>
      <c r="H1464" s="423"/>
      <c r="N1464" s="534"/>
    </row>
    <row r="1465" spans="1:14" x14ac:dyDescent="0.2">
      <c r="A1465" s="420"/>
      <c r="B1465" s="423"/>
      <c r="C1465" s="425"/>
      <c r="D1465" s="423"/>
      <c r="E1465" s="423"/>
      <c r="F1465" s="423"/>
      <c r="G1465" s="423"/>
      <c r="H1465" s="423"/>
      <c r="N1465" s="534"/>
    </row>
    <row r="1466" spans="1:14" x14ac:dyDescent="0.2">
      <c r="A1466" s="420"/>
      <c r="B1466" s="423"/>
      <c r="C1466" s="425"/>
      <c r="D1466" s="423"/>
      <c r="E1466" s="423"/>
      <c r="F1466" s="423"/>
      <c r="G1466" s="423"/>
      <c r="H1466" s="423"/>
      <c r="N1466" s="534"/>
    </row>
    <row r="1467" spans="1:14" x14ac:dyDescent="0.2">
      <c r="A1467" s="420"/>
      <c r="B1467" s="423"/>
      <c r="C1467" s="425"/>
      <c r="D1467" s="423"/>
      <c r="E1467" s="423"/>
      <c r="F1467" s="423"/>
      <c r="G1467" s="423"/>
      <c r="H1467" s="423"/>
      <c r="N1467" s="534"/>
    </row>
    <row r="1468" spans="1:14" x14ac:dyDescent="0.2">
      <c r="A1468" s="420"/>
      <c r="B1468" s="423"/>
      <c r="C1468" s="425"/>
      <c r="D1468" s="423"/>
      <c r="E1468" s="423"/>
      <c r="F1468" s="423"/>
      <c r="G1468" s="423"/>
      <c r="H1468" s="423"/>
      <c r="N1468" s="534"/>
    </row>
    <row r="1469" spans="1:14" x14ac:dyDescent="0.2">
      <c r="A1469" s="420"/>
      <c r="B1469" s="423"/>
      <c r="C1469" s="425"/>
      <c r="D1469" s="423"/>
      <c r="E1469" s="423"/>
      <c r="F1469" s="423"/>
      <c r="G1469" s="423"/>
      <c r="H1469" s="423"/>
      <c r="N1469" s="534"/>
    </row>
    <row r="1470" spans="1:14" x14ac:dyDescent="0.2">
      <c r="A1470" s="420"/>
      <c r="B1470" s="423"/>
      <c r="C1470" s="425"/>
      <c r="D1470" s="423"/>
      <c r="E1470" s="423"/>
      <c r="F1470" s="423"/>
      <c r="G1470" s="423"/>
      <c r="H1470" s="423"/>
      <c r="N1470" s="534"/>
    </row>
    <row r="1471" spans="1:14" x14ac:dyDescent="0.2">
      <c r="A1471" s="420"/>
      <c r="B1471" s="423"/>
      <c r="C1471" s="425"/>
      <c r="D1471" s="423"/>
      <c r="E1471" s="423"/>
      <c r="F1471" s="423"/>
      <c r="G1471" s="423"/>
      <c r="H1471" s="423"/>
      <c r="N1471" s="534"/>
    </row>
    <row r="1472" spans="1:14" x14ac:dyDescent="0.2">
      <c r="A1472" s="420"/>
      <c r="B1472" s="423"/>
      <c r="C1472" s="425"/>
      <c r="D1472" s="423"/>
      <c r="E1472" s="423"/>
      <c r="F1472" s="423"/>
      <c r="G1472" s="423"/>
      <c r="H1472" s="423"/>
      <c r="N1472" s="534"/>
    </row>
    <row r="1473" spans="1:14" x14ac:dyDescent="0.2">
      <c r="A1473" s="420"/>
      <c r="B1473" s="423"/>
      <c r="C1473" s="425"/>
      <c r="D1473" s="423"/>
      <c r="E1473" s="423"/>
      <c r="F1473" s="423"/>
      <c r="G1473" s="423"/>
      <c r="H1473" s="423"/>
      <c r="N1473" s="534"/>
    </row>
    <row r="1474" spans="1:14" x14ac:dyDescent="0.2">
      <c r="A1474" s="420"/>
      <c r="B1474" s="423"/>
      <c r="C1474" s="425"/>
      <c r="D1474" s="423"/>
      <c r="E1474" s="423"/>
      <c r="F1474" s="423"/>
      <c r="G1474" s="423"/>
      <c r="H1474" s="423"/>
      <c r="N1474" s="534"/>
    </row>
    <row r="1475" spans="1:14" x14ac:dyDescent="0.2">
      <c r="A1475" s="420"/>
      <c r="B1475" s="423"/>
      <c r="C1475" s="425"/>
      <c r="D1475" s="423"/>
      <c r="E1475" s="423"/>
      <c r="F1475" s="423"/>
      <c r="G1475" s="423"/>
      <c r="H1475" s="423"/>
      <c r="N1475" s="534"/>
    </row>
    <row r="1476" spans="1:14" x14ac:dyDescent="0.2">
      <c r="A1476" s="420"/>
      <c r="B1476" s="423"/>
      <c r="C1476" s="425"/>
      <c r="D1476" s="423"/>
      <c r="E1476" s="423"/>
      <c r="F1476" s="423"/>
      <c r="G1476" s="423"/>
      <c r="H1476" s="423"/>
      <c r="N1476" s="534"/>
    </row>
    <row r="1477" spans="1:14" x14ac:dyDescent="0.2">
      <c r="A1477" s="420"/>
      <c r="B1477" s="423"/>
      <c r="C1477" s="425"/>
      <c r="D1477" s="423"/>
      <c r="E1477" s="423"/>
      <c r="F1477" s="423"/>
      <c r="G1477" s="423"/>
      <c r="H1477" s="423"/>
      <c r="N1477" s="534"/>
    </row>
    <row r="1478" spans="1:14" x14ac:dyDescent="0.2">
      <c r="A1478" s="420"/>
      <c r="B1478" s="423"/>
      <c r="C1478" s="425"/>
      <c r="D1478" s="423"/>
      <c r="E1478" s="423"/>
      <c r="F1478" s="423"/>
      <c r="G1478" s="423"/>
      <c r="H1478" s="423"/>
      <c r="N1478" s="534"/>
    </row>
    <row r="1479" spans="1:14" x14ac:dyDescent="0.2">
      <c r="A1479" s="420"/>
      <c r="B1479" s="423"/>
      <c r="C1479" s="425"/>
      <c r="D1479" s="423"/>
      <c r="E1479" s="423"/>
      <c r="F1479" s="423"/>
      <c r="G1479" s="423"/>
      <c r="H1479" s="423"/>
      <c r="N1479" s="534"/>
    </row>
    <row r="1480" spans="1:14" x14ac:dyDescent="0.2">
      <c r="A1480" s="420"/>
      <c r="B1480" s="423"/>
      <c r="C1480" s="425"/>
      <c r="D1480" s="423"/>
      <c r="E1480" s="423"/>
      <c r="F1480" s="423"/>
      <c r="G1480" s="423"/>
      <c r="H1480" s="423"/>
      <c r="N1480" s="534"/>
    </row>
    <row r="1481" spans="1:14" x14ac:dyDescent="0.2">
      <c r="A1481" s="420"/>
      <c r="B1481" s="423"/>
      <c r="C1481" s="425"/>
      <c r="D1481" s="423"/>
      <c r="E1481" s="423"/>
      <c r="F1481" s="423"/>
      <c r="G1481" s="423"/>
      <c r="H1481" s="423"/>
      <c r="N1481" s="534"/>
    </row>
    <row r="1482" spans="1:14" x14ac:dyDescent="0.2">
      <c r="A1482" s="420"/>
      <c r="B1482" s="423"/>
      <c r="C1482" s="425"/>
      <c r="D1482" s="423"/>
      <c r="E1482" s="423"/>
      <c r="F1482" s="423"/>
      <c r="G1482" s="423"/>
      <c r="H1482" s="423"/>
      <c r="N1482" s="534"/>
    </row>
    <row r="1483" spans="1:14" x14ac:dyDescent="0.2">
      <c r="A1483" s="420"/>
      <c r="B1483" s="423"/>
      <c r="C1483" s="425"/>
      <c r="D1483" s="423"/>
      <c r="E1483" s="423"/>
      <c r="F1483" s="423"/>
      <c r="G1483" s="423"/>
      <c r="H1483" s="423"/>
      <c r="N1483" s="534"/>
    </row>
    <row r="1484" spans="1:14" x14ac:dyDescent="0.2">
      <c r="A1484" s="420"/>
      <c r="B1484" s="423"/>
      <c r="C1484" s="425"/>
      <c r="D1484" s="423"/>
      <c r="E1484" s="423"/>
      <c r="F1484" s="423"/>
      <c r="G1484" s="423"/>
      <c r="H1484" s="423"/>
      <c r="N1484" s="534"/>
    </row>
    <row r="1485" spans="1:14" x14ac:dyDescent="0.2">
      <c r="A1485" s="420"/>
      <c r="B1485" s="423"/>
      <c r="C1485" s="425"/>
      <c r="D1485" s="423"/>
      <c r="E1485" s="423"/>
      <c r="F1485" s="423"/>
      <c r="G1485" s="423"/>
      <c r="H1485" s="423"/>
      <c r="N1485" s="534"/>
    </row>
    <row r="1486" spans="1:14" x14ac:dyDescent="0.2">
      <c r="A1486" s="420"/>
      <c r="B1486" s="423"/>
      <c r="C1486" s="425"/>
      <c r="D1486" s="423"/>
      <c r="E1486" s="423"/>
      <c r="F1486" s="423"/>
      <c r="G1486" s="423"/>
      <c r="H1486" s="423"/>
      <c r="N1486" s="534"/>
    </row>
    <row r="1487" spans="1:14" x14ac:dyDescent="0.2">
      <c r="A1487" s="420"/>
      <c r="B1487" s="423"/>
      <c r="C1487" s="425"/>
      <c r="D1487" s="423"/>
      <c r="E1487" s="423"/>
      <c r="F1487" s="423"/>
      <c r="G1487" s="423"/>
      <c r="H1487" s="423"/>
      <c r="N1487" s="534"/>
    </row>
    <row r="1488" spans="1:14" x14ac:dyDescent="0.2">
      <c r="A1488" s="420"/>
      <c r="B1488" s="423"/>
      <c r="C1488" s="425"/>
      <c r="D1488" s="423"/>
      <c r="E1488" s="423"/>
      <c r="F1488" s="423"/>
      <c r="G1488" s="423"/>
      <c r="H1488" s="423"/>
      <c r="N1488" s="534"/>
    </row>
    <row r="1489" spans="1:14" x14ac:dyDescent="0.2">
      <c r="A1489" s="420"/>
      <c r="B1489" s="423"/>
      <c r="C1489" s="425"/>
      <c r="D1489" s="423"/>
      <c r="E1489" s="423"/>
      <c r="F1489" s="423"/>
      <c r="G1489" s="423"/>
      <c r="H1489" s="423"/>
      <c r="N1489" s="534"/>
    </row>
    <row r="1490" spans="1:14" x14ac:dyDescent="0.2">
      <c r="A1490" s="420"/>
      <c r="B1490" s="423"/>
      <c r="C1490" s="425"/>
      <c r="D1490" s="423"/>
      <c r="E1490" s="423"/>
      <c r="F1490" s="423"/>
      <c r="G1490" s="423"/>
      <c r="H1490" s="423"/>
      <c r="N1490" s="534"/>
    </row>
    <row r="1491" spans="1:14" x14ac:dyDescent="0.2">
      <c r="A1491" s="420"/>
      <c r="B1491" s="423"/>
      <c r="C1491" s="425"/>
      <c r="D1491" s="423"/>
      <c r="E1491" s="423"/>
      <c r="F1491" s="423"/>
      <c r="G1491" s="423"/>
      <c r="H1491" s="423"/>
      <c r="N1491" s="534"/>
    </row>
    <row r="1492" spans="1:14" x14ac:dyDescent="0.2">
      <c r="A1492" s="420"/>
      <c r="B1492" s="423"/>
      <c r="C1492" s="425"/>
      <c r="D1492" s="423"/>
      <c r="E1492" s="423"/>
      <c r="F1492" s="423"/>
      <c r="G1492" s="423"/>
      <c r="H1492" s="423"/>
      <c r="N1492" s="534"/>
    </row>
    <row r="1493" spans="1:14" x14ac:dyDescent="0.2">
      <c r="A1493" s="420"/>
      <c r="B1493" s="423"/>
      <c r="C1493" s="425"/>
      <c r="D1493" s="423"/>
      <c r="E1493" s="423"/>
      <c r="F1493" s="423"/>
      <c r="G1493" s="423"/>
      <c r="H1493" s="423"/>
      <c r="N1493" s="534"/>
    </row>
    <row r="1494" spans="1:14" x14ac:dyDescent="0.2">
      <c r="A1494" s="420"/>
      <c r="B1494" s="423"/>
      <c r="C1494" s="425"/>
      <c r="D1494" s="423"/>
      <c r="E1494" s="423"/>
      <c r="F1494" s="423"/>
      <c r="G1494" s="423"/>
      <c r="H1494" s="423"/>
      <c r="N1494" s="534"/>
    </row>
    <row r="1495" spans="1:14" x14ac:dyDescent="0.2">
      <c r="A1495" s="420"/>
      <c r="B1495" s="423"/>
      <c r="C1495" s="425"/>
      <c r="D1495" s="423"/>
      <c r="E1495" s="423"/>
      <c r="F1495" s="423"/>
      <c r="G1495" s="423"/>
      <c r="H1495" s="423"/>
      <c r="N1495" s="534"/>
    </row>
    <row r="1496" spans="1:14" x14ac:dyDescent="0.2">
      <c r="A1496" s="420"/>
      <c r="B1496" s="423"/>
      <c r="C1496" s="425"/>
      <c r="D1496" s="423"/>
      <c r="E1496" s="423"/>
      <c r="F1496" s="423"/>
      <c r="G1496" s="423"/>
      <c r="H1496" s="423"/>
      <c r="N1496" s="534"/>
    </row>
    <row r="1497" spans="1:14" x14ac:dyDescent="0.2">
      <c r="A1497" s="420"/>
      <c r="B1497" s="423"/>
      <c r="C1497" s="425"/>
      <c r="D1497" s="423"/>
      <c r="E1497" s="423"/>
      <c r="F1497" s="423"/>
      <c r="G1497" s="423"/>
      <c r="H1497" s="423"/>
      <c r="N1497" s="534"/>
    </row>
    <row r="1498" spans="1:14" x14ac:dyDescent="0.2">
      <c r="A1498" s="420"/>
      <c r="B1498" s="423"/>
      <c r="C1498" s="425"/>
      <c r="D1498" s="423"/>
      <c r="E1498" s="423"/>
      <c r="F1498" s="423"/>
      <c r="G1498" s="423"/>
      <c r="H1498" s="423"/>
      <c r="N1498" s="534"/>
    </row>
    <row r="1499" spans="1:14" x14ac:dyDescent="0.2">
      <c r="A1499" s="420"/>
      <c r="B1499" s="423"/>
      <c r="C1499" s="425"/>
      <c r="D1499" s="423"/>
      <c r="E1499" s="423"/>
      <c r="F1499" s="423"/>
      <c r="G1499" s="423"/>
      <c r="H1499" s="423"/>
      <c r="N1499" s="534"/>
    </row>
    <row r="1500" spans="1:14" x14ac:dyDescent="0.2">
      <c r="A1500" s="420"/>
      <c r="B1500" s="423"/>
      <c r="C1500" s="425"/>
      <c r="D1500" s="423"/>
      <c r="E1500" s="423"/>
      <c r="F1500" s="423"/>
      <c r="G1500" s="423"/>
      <c r="H1500" s="423"/>
      <c r="N1500" s="534"/>
    </row>
    <row r="1501" spans="1:14" x14ac:dyDescent="0.2">
      <c r="A1501" s="420"/>
      <c r="B1501" s="423"/>
      <c r="C1501" s="425"/>
      <c r="D1501" s="423"/>
      <c r="E1501" s="423"/>
      <c r="F1501" s="423"/>
      <c r="G1501" s="423"/>
      <c r="H1501" s="423"/>
      <c r="N1501" s="534"/>
    </row>
    <row r="1502" spans="1:14" x14ac:dyDescent="0.2">
      <c r="A1502" s="420"/>
      <c r="B1502" s="423"/>
      <c r="C1502" s="425"/>
      <c r="D1502" s="423"/>
      <c r="E1502" s="423"/>
      <c r="F1502" s="423"/>
      <c r="G1502" s="423"/>
      <c r="H1502" s="423"/>
      <c r="N1502" s="534"/>
    </row>
    <row r="1503" spans="1:14" x14ac:dyDescent="0.2">
      <c r="A1503" s="420"/>
      <c r="B1503" s="423"/>
      <c r="C1503" s="425"/>
      <c r="D1503" s="423"/>
      <c r="E1503" s="423"/>
      <c r="F1503" s="423"/>
      <c r="G1503" s="423"/>
      <c r="H1503" s="423"/>
      <c r="N1503" s="534"/>
    </row>
    <row r="1504" spans="1:14" x14ac:dyDescent="0.2">
      <c r="A1504" s="420"/>
      <c r="B1504" s="423"/>
      <c r="C1504" s="425"/>
      <c r="D1504" s="423"/>
      <c r="E1504" s="423"/>
      <c r="F1504" s="423"/>
      <c r="G1504" s="423"/>
      <c r="H1504" s="423"/>
      <c r="N1504" s="534"/>
    </row>
    <row r="1505" spans="1:14" x14ac:dyDescent="0.2">
      <c r="A1505" s="420"/>
      <c r="B1505" s="423"/>
      <c r="C1505" s="425"/>
      <c r="D1505" s="423"/>
      <c r="E1505" s="423"/>
      <c r="F1505" s="423"/>
      <c r="G1505" s="423"/>
      <c r="H1505" s="423"/>
      <c r="N1505" s="534"/>
    </row>
    <row r="1506" spans="1:14" x14ac:dyDescent="0.2">
      <c r="A1506" s="420"/>
      <c r="B1506" s="423"/>
      <c r="C1506" s="425"/>
      <c r="D1506" s="423"/>
      <c r="E1506" s="423"/>
      <c r="F1506" s="423"/>
      <c r="G1506" s="423"/>
      <c r="H1506" s="423"/>
      <c r="N1506" s="534"/>
    </row>
    <row r="1507" spans="1:14" x14ac:dyDescent="0.2">
      <c r="A1507" s="420"/>
      <c r="B1507" s="423"/>
      <c r="C1507" s="425"/>
      <c r="D1507" s="423"/>
      <c r="E1507" s="423"/>
      <c r="F1507" s="423"/>
      <c r="G1507" s="423"/>
      <c r="H1507" s="423"/>
      <c r="N1507" s="534"/>
    </row>
    <row r="1508" spans="1:14" x14ac:dyDescent="0.2">
      <c r="A1508" s="420"/>
      <c r="B1508" s="423"/>
      <c r="C1508" s="425"/>
      <c r="D1508" s="423"/>
      <c r="E1508" s="423"/>
      <c r="F1508" s="423"/>
      <c r="G1508" s="423"/>
      <c r="H1508" s="423"/>
      <c r="N1508" s="534"/>
    </row>
    <row r="1509" spans="1:14" x14ac:dyDescent="0.2">
      <c r="A1509" s="420"/>
      <c r="B1509" s="423"/>
      <c r="C1509" s="425"/>
      <c r="D1509" s="423"/>
      <c r="E1509" s="423"/>
      <c r="F1509" s="423"/>
      <c r="G1509" s="423"/>
      <c r="H1509" s="423"/>
      <c r="N1509" s="534"/>
    </row>
    <row r="1510" spans="1:14" x14ac:dyDescent="0.2">
      <c r="A1510" s="420"/>
      <c r="B1510" s="423"/>
      <c r="C1510" s="425"/>
      <c r="D1510" s="423"/>
      <c r="E1510" s="423"/>
      <c r="F1510" s="423"/>
      <c r="G1510" s="423"/>
      <c r="H1510" s="423"/>
      <c r="N1510" s="534"/>
    </row>
    <row r="1511" spans="1:14" x14ac:dyDescent="0.2">
      <c r="A1511" s="420"/>
      <c r="B1511" s="423"/>
      <c r="C1511" s="425"/>
      <c r="D1511" s="423"/>
      <c r="E1511" s="423"/>
      <c r="F1511" s="423"/>
      <c r="G1511" s="423"/>
      <c r="H1511" s="423"/>
      <c r="N1511" s="534"/>
    </row>
    <row r="1512" spans="1:14" x14ac:dyDescent="0.2">
      <c r="A1512" s="420"/>
      <c r="B1512" s="423"/>
      <c r="C1512" s="425"/>
      <c r="D1512" s="423"/>
      <c r="E1512" s="423"/>
      <c r="F1512" s="423"/>
      <c r="G1512" s="423"/>
      <c r="H1512" s="423"/>
      <c r="N1512" s="534"/>
    </row>
    <row r="1513" spans="1:14" x14ac:dyDescent="0.2">
      <c r="A1513" s="420"/>
      <c r="B1513" s="423"/>
      <c r="C1513" s="425"/>
      <c r="D1513" s="423"/>
      <c r="E1513" s="423"/>
      <c r="F1513" s="423"/>
      <c r="G1513" s="423"/>
      <c r="H1513" s="423"/>
      <c r="N1513" s="534"/>
    </row>
    <row r="1514" spans="1:14" x14ac:dyDescent="0.2">
      <c r="A1514" s="420"/>
      <c r="B1514" s="423"/>
      <c r="C1514" s="425"/>
      <c r="D1514" s="423"/>
      <c r="E1514" s="423"/>
      <c r="F1514" s="423"/>
      <c r="G1514" s="423"/>
      <c r="H1514" s="423"/>
      <c r="N1514" s="534"/>
    </row>
    <row r="1515" spans="1:14" x14ac:dyDescent="0.2">
      <c r="A1515" s="420"/>
      <c r="B1515" s="423"/>
      <c r="C1515" s="425"/>
      <c r="D1515" s="423"/>
      <c r="E1515" s="423"/>
      <c r="F1515" s="423"/>
      <c r="G1515" s="423"/>
      <c r="H1515" s="423"/>
      <c r="N1515" s="534"/>
    </row>
    <row r="1516" spans="1:14" x14ac:dyDescent="0.2">
      <c r="A1516" s="420"/>
      <c r="B1516" s="423"/>
      <c r="C1516" s="425"/>
      <c r="D1516" s="423"/>
      <c r="E1516" s="423"/>
      <c r="F1516" s="423"/>
      <c r="G1516" s="423"/>
      <c r="H1516" s="423"/>
      <c r="N1516" s="534"/>
    </row>
    <row r="1517" spans="1:14" x14ac:dyDescent="0.2">
      <c r="A1517" s="420"/>
      <c r="B1517" s="423"/>
      <c r="C1517" s="425"/>
      <c r="D1517" s="423"/>
      <c r="E1517" s="423"/>
      <c r="F1517" s="423"/>
      <c r="G1517" s="423"/>
      <c r="H1517" s="423"/>
      <c r="N1517" s="534"/>
    </row>
    <row r="1518" spans="1:14" x14ac:dyDescent="0.2">
      <c r="A1518" s="420"/>
      <c r="B1518" s="423"/>
      <c r="C1518" s="425"/>
      <c r="D1518" s="423"/>
      <c r="E1518" s="423"/>
      <c r="F1518" s="423"/>
      <c r="G1518" s="423"/>
      <c r="H1518" s="423"/>
      <c r="N1518" s="534"/>
    </row>
    <row r="1519" spans="1:14" x14ac:dyDescent="0.2">
      <c r="A1519" s="420"/>
      <c r="B1519" s="423"/>
      <c r="C1519" s="425"/>
      <c r="D1519" s="423"/>
      <c r="E1519" s="423"/>
      <c r="F1519" s="423"/>
      <c r="G1519" s="423"/>
      <c r="H1519" s="423"/>
      <c r="N1519" s="534"/>
    </row>
    <row r="1520" spans="1:14" x14ac:dyDescent="0.2">
      <c r="A1520" s="420"/>
      <c r="B1520" s="423"/>
      <c r="C1520" s="425"/>
      <c r="D1520" s="423"/>
      <c r="E1520" s="423"/>
      <c r="F1520" s="423"/>
      <c r="G1520" s="423"/>
      <c r="H1520" s="423"/>
      <c r="N1520" s="534"/>
    </row>
    <row r="1521" spans="1:14" x14ac:dyDescent="0.2">
      <c r="A1521" s="420"/>
      <c r="B1521" s="423"/>
      <c r="C1521" s="425"/>
      <c r="D1521" s="423"/>
      <c r="E1521" s="423"/>
      <c r="F1521" s="423"/>
      <c r="G1521" s="423"/>
      <c r="H1521" s="423"/>
      <c r="N1521" s="534"/>
    </row>
    <row r="1522" spans="1:14" x14ac:dyDescent="0.2">
      <c r="A1522" s="420"/>
      <c r="B1522" s="423"/>
      <c r="C1522" s="425"/>
      <c r="D1522" s="423"/>
      <c r="E1522" s="423"/>
      <c r="F1522" s="423"/>
      <c r="G1522" s="423"/>
      <c r="H1522" s="423"/>
      <c r="N1522" s="534"/>
    </row>
    <row r="1523" spans="1:14" x14ac:dyDescent="0.2">
      <c r="A1523" s="420"/>
      <c r="B1523" s="423"/>
      <c r="C1523" s="425"/>
      <c r="D1523" s="423"/>
      <c r="E1523" s="423"/>
      <c r="F1523" s="423"/>
      <c r="G1523" s="423"/>
      <c r="H1523" s="423"/>
      <c r="N1523" s="534"/>
    </row>
    <row r="1524" spans="1:14" x14ac:dyDescent="0.2">
      <c r="A1524" s="420"/>
      <c r="B1524" s="423"/>
      <c r="C1524" s="425"/>
      <c r="D1524" s="423"/>
      <c r="E1524" s="423"/>
      <c r="F1524" s="423"/>
      <c r="G1524" s="423"/>
      <c r="H1524" s="423"/>
      <c r="N1524" s="534"/>
    </row>
    <row r="1525" spans="1:14" x14ac:dyDescent="0.2">
      <c r="A1525" s="420"/>
      <c r="B1525" s="423"/>
      <c r="C1525" s="425"/>
      <c r="D1525" s="423"/>
      <c r="E1525" s="423"/>
      <c r="F1525" s="423"/>
      <c r="G1525" s="423"/>
      <c r="H1525" s="423"/>
      <c r="N1525" s="534"/>
    </row>
    <row r="1526" spans="1:14" x14ac:dyDescent="0.2">
      <c r="A1526" s="420"/>
      <c r="B1526" s="423"/>
      <c r="C1526" s="425"/>
      <c r="D1526" s="423"/>
      <c r="E1526" s="423"/>
      <c r="F1526" s="423"/>
      <c r="G1526" s="423"/>
      <c r="H1526" s="423"/>
      <c r="N1526" s="534"/>
    </row>
    <row r="1527" spans="1:14" x14ac:dyDescent="0.2">
      <c r="A1527" s="420"/>
      <c r="B1527" s="423"/>
      <c r="C1527" s="425"/>
      <c r="D1527" s="423"/>
      <c r="E1527" s="423"/>
      <c r="F1527" s="423"/>
      <c r="G1527" s="423"/>
      <c r="H1527" s="423"/>
      <c r="N1527" s="534"/>
    </row>
    <row r="1528" spans="1:14" x14ac:dyDescent="0.2">
      <c r="A1528" s="420"/>
      <c r="B1528" s="423"/>
      <c r="C1528" s="425"/>
      <c r="D1528" s="423"/>
      <c r="E1528" s="423"/>
      <c r="F1528" s="423"/>
      <c r="G1528" s="423"/>
      <c r="H1528" s="423"/>
      <c r="N1528" s="534"/>
    </row>
    <row r="1529" spans="1:14" x14ac:dyDescent="0.2">
      <c r="A1529" s="420"/>
      <c r="B1529" s="423"/>
      <c r="C1529" s="425"/>
      <c r="D1529" s="423"/>
      <c r="E1529" s="423"/>
      <c r="F1529" s="423"/>
      <c r="G1529" s="423"/>
      <c r="H1529" s="423"/>
      <c r="N1529" s="534"/>
    </row>
    <row r="1530" spans="1:14" x14ac:dyDescent="0.2">
      <c r="A1530" s="420"/>
      <c r="B1530" s="423"/>
      <c r="C1530" s="425"/>
      <c r="D1530" s="423"/>
      <c r="E1530" s="423"/>
      <c r="F1530" s="423"/>
      <c r="G1530" s="423"/>
      <c r="H1530" s="423"/>
      <c r="N1530" s="534"/>
    </row>
    <row r="1531" spans="1:14" x14ac:dyDescent="0.2">
      <c r="A1531" s="420"/>
      <c r="B1531" s="423"/>
      <c r="C1531" s="425"/>
      <c r="D1531" s="423"/>
      <c r="E1531" s="423"/>
      <c r="F1531" s="423"/>
      <c r="G1531" s="423"/>
      <c r="H1531" s="423"/>
      <c r="N1531" s="534"/>
    </row>
    <row r="1532" spans="1:14" x14ac:dyDescent="0.2">
      <c r="A1532" s="420"/>
      <c r="B1532" s="423"/>
      <c r="C1532" s="425"/>
      <c r="D1532" s="423"/>
      <c r="E1532" s="423"/>
      <c r="F1532" s="423"/>
      <c r="G1532" s="423"/>
      <c r="H1532" s="423"/>
      <c r="N1532" s="534"/>
    </row>
    <row r="1533" spans="1:14" x14ac:dyDescent="0.2">
      <c r="A1533" s="420"/>
      <c r="B1533" s="423"/>
      <c r="C1533" s="425"/>
      <c r="D1533" s="423"/>
      <c r="E1533" s="423"/>
      <c r="F1533" s="423"/>
      <c r="G1533" s="423"/>
      <c r="H1533" s="423"/>
      <c r="N1533" s="534"/>
    </row>
    <row r="1534" spans="1:14" x14ac:dyDescent="0.2">
      <c r="A1534" s="420"/>
      <c r="B1534" s="423"/>
      <c r="C1534" s="425"/>
      <c r="D1534" s="423"/>
      <c r="E1534" s="423"/>
      <c r="F1534" s="423"/>
      <c r="G1534" s="423"/>
      <c r="H1534" s="423"/>
      <c r="N1534" s="534"/>
    </row>
    <row r="1535" spans="1:14" x14ac:dyDescent="0.2">
      <c r="A1535" s="420"/>
      <c r="B1535" s="423"/>
      <c r="C1535" s="425"/>
      <c r="D1535" s="423"/>
      <c r="E1535" s="423"/>
      <c r="F1535" s="423"/>
      <c r="G1535" s="423"/>
      <c r="H1535" s="423"/>
      <c r="N1535" s="534"/>
    </row>
    <row r="1536" spans="1:14" x14ac:dyDescent="0.2">
      <c r="A1536" s="420"/>
      <c r="B1536" s="423"/>
      <c r="C1536" s="425"/>
      <c r="D1536" s="423"/>
      <c r="E1536" s="423"/>
      <c r="F1536" s="423"/>
      <c r="G1536" s="423"/>
      <c r="H1536" s="423"/>
      <c r="N1536" s="534"/>
    </row>
    <row r="1537" spans="1:14" x14ac:dyDescent="0.2">
      <c r="A1537" s="420"/>
      <c r="B1537" s="423"/>
      <c r="C1537" s="425"/>
      <c r="D1537" s="423"/>
      <c r="E1537" s="423"/>
      <c r="F1537" s="423"/>
      <c r="G1537" s="423"/>
      <c r="H1537" s="423"/>
      <c r="N1537" s="534"/>
    </row>
    <row r="1538" spans="1:14" x14ac:dyDescent="0.2">
      <c r="A1538" s="420"/>
      <c r="B1538" s="423"/>
      <c r="C1538" s="425"/>
      <c r="D1538" s="423"/>
      <c r="E1538" s="423"/>
      <c r="F1538" s="423"/>
      <c r="G1538" s="423"/>
      <c r="H1538" s="423"/>
      <c r="N1538" s="534"/>
    </row>
    <row r="1539" spans="1:14" x14ac:dyDescent="0.2">
      <c r="A1539" s="420"/>
      <c r="B1539" s="423"/>
      <c r="C1539" s="425"/>
      <c r="D1539" s="423"/>
      <c r="E1539" s="423"/>
      <c r="F1539" s="423"/>
      <c r="G1539" s="423"/>
      <c r="H1539" s="423"/>
      <c r="N1539" s="534"/>
    </row>
    <row r="1540" spans="1:14" x14ac:dyDescent="0.2">
      <c r="A1540" s="420"/>
      <c r="B1540" s="423"/>
      <c r="C1540" s="425"/>
      <c r="D1540" s="423"/>
      <c r="E1540" s="423"/>
      <c r="F1540" s="423"/>
      <c r="G1540" s="423"/>
      <c r="H1540" s="423"/>
      <c r="N1540" s="534"/>
    </row>
    <row r="1541" spans="1:14" x14ac:dyDescent="0.2">
      <c r="A1541" s="420"/>
      <c r="B1541" s="423"/>
      <c r="C1541" s="425"/>
      <c r="D1541" s="423"/>
      <c r="E1541" s="423"/>
      <c r="F1541" s="423"/>
      <c r="G1541" s="423"/>
      <c r="H1541" s="423"/>
      <c r="N1541" s="534"/>
    </row>
    <row r="1542" spans="1:14" x14ac:dyDescent="0.2">
      <c r="A1542" s="420"/>
      <c r="B1542" s="423"/>
      <c r="C1542" s="425"/>
      <c r="D1542" s="423"/>
      <c r="E1542" s="423"/>
      <c r="F1542" s="423"/>
      <c r="G1542" s="423"/>
      <c r="H1542" s="423"/>
      <c r="N1542" s="534"/>
    </row>
    <row r="1543" spans="1:14" x14ac:dyDescent="0.2">
      <c r="A1543" s="420"/>
      <c r="B1543" s="423"/>
      <c r="C1543" s="425"/>
      <c r="D1543" s="423"/>
      <c r="E1543" s="423"/>
      <c r="F1543" s="423"/>
      <c r="G1543" s="423"/>
      <c r="H1543" s="423"/>
      <c r="N1543" s="534"/>
    </row>
    <row r="1544" spans="1:14" x14ac:dyDescent="0.2">
      <c r="A1544" s="420"/>
      <c r="B1544" s="423"/>
      <c r="C1544" s="425"/>
      <c r="D1544" s="423"/>
      <c r="E1544" s="423"/>
      <c r="F1544" s="423"/>
      <c r="G1544" s="423"/>
      <c r="H1544" s="423"/>
      <c r="N1544" s="534"/>
    </row>
    <row r="1545" spans="1:14" x14ac:dyDescent="0.2">
      <c r="A1545" s="420"/>
      <c r="B1545" s="423"/>
      <c r="C1545" s="425"/>
      <c r="D1545" s="423"/>
      <c r="E1545" s="423"/>
      <c r="F1545" s="423"/>
      <c r="G1545" s="423"/>
      <c r="H1545" s="423"/>
      <c r="N1545" s="534"/>
    </row>
    <row r="1546" spans="1:14" x14ac:dyDescent="0.2">
      <c r="A1546" s="420"/>
      <c r="B1546" s="423"/>
      <c r="C1546" s="425"/>
      <c r="D1546" s="423"/>
      <c r="E1546" s="423"/>
      <c r="F1546" s="423"/>
      <c r="G1546" s="423"/>
      <c r="H1546" s="423"/>
      <c r="N1546" s="534"/>
    </row>
    <row r="1547" spans="1:14" x14ac:dyDescent="0.2">
      <c r="A1547" s="420"/>
      <c r="B1547" s="423"/>
      <c r="C1547" s="425"/>
      <c r="D1547" s="423"/>
      <c r="E1547" s="423"/>
      <c r="F1547" s="423"/>
      <c r="G1547" s="423"/>
      <c r="H1547" s="423"/>
      <c r="N1547" s="534"/>
    </row>
    <row r="1548" spans="1:14" x14ac:dyDescent="0.2">
      <c r="A1548" s="420"/>
      <c r="B1548" s="423"/>
      <c r="C1548" s="425"/>
      <c r="D1548" s="423"/>
      <c r="E1548" s="423"/>
      <c r="F1548" s="423"/>
      <c r="G1548" s="423"/>
      <c r="H1548" s="423"/>
      <c r="N1548" s="534"/>
    </row>
    <row r="1549" spans="1:14" x14ac:dyDescent="0.2">
      <c r="A1549" s="420"/>
      <c r="B1549" s="423"/>
      <c r="C1549" s="425"/>
      <c r="D1549" s="423"/>
      <c r="E1549" s="423"/>
      <c r="F1549" s="423"/>
      <c r="G1549" s="423"/>
      <c r="H1549" s="423"/>
      <c r="N1549" s="534"/>
    </row>
    <row r="1550" spans="1:14" x14ac:dyDescent="0.2">
      <c r="A1550" s="420"/>
      <c r="B1550" s="423"/>
      <c r="C1550" s="425"/>
      <c r="D1550" s="423"/>
      <c r="E1550" s="423"/>
      <c r="F1550" s="423"/>
      <c r="G1550" s="423"/>
      <c r="H1550" s="423"/>
      <c r="N1550" s="534"/>
    </row>
    <row r="1551" spans="1:14" x14ac:dyDescent="0.2">
      <c r="A1551" s="420"/>
      <c r="B1551" s="423"/>
      <c r="C1551" s="425"/>
      <c r="D1551" s="423"/>
      <c r="E1551" s="423"/>
      <c r="F1551" s="423"/>
      <c r="G1551" s="423"/>
      <c r="H1551" s="423"/>
      <c r="N1551" s="534"/>
    </row>
    <row r="1552" spans="1:14" x14ac:dyDescent="0.2">
      <c r="A1552" s="420"/>
      <c r="B1552" s="423"/>
      <c r="C1552" s="425"/>
      <c r="D1552" s="423"/>
      <c r="E1552" s="423"/>
      <c r="F1552" s="423"/>
      <c r="G1552" s="423"/>
      <c r="H1552" s="423"/>
      <c r="N1552" s="534"/>
    </row>
    <row r="1553" spans="1:14" x14ac:dyDescent="0.2">
      <c r="A1553" s="420"/>
      <c r="B1553" s="423"/>
      <c r="C1553" s="425"/>
      <c r="D1553" s="423"/>
      <c r="E1553" s="423"/>
      <c r="F1553" s="423"/>
      <c r="G1553" s="423"/>
      <c r="H1553" s="423"/>
      <c r="N1553" s="534"/>
    </row>
    <row r="1554" spans="1:14" x14ac:dyDescent="0.2">
      <c r="A1554" s="420"/>
      <c r="B1554" s="423"/>
      <c r="C1554" s="425"/>
      <c r="D1554" s="423"/>
      <c r="E1554" s="423"/>
      <c r="F1554" s="423"/>
      <c r="G1554" s="423"/>
      <c r="H1554" s="423"/>
      <c r="N1554" s="534"/>
    </row>
    <row r="1555" spans="1:14" x14ac:dyDescent="0.2">
      <c r="A1555" s="420"/>
      <c r="B1555" s="423"/>
      <c r="C1555" s="425"/>
      <c r="D1555" s="423"/>
      <c r="E1555" s="423"/>
      <c r="F1555" s="423"/>
      <c r="G1555" s="423"/>
      <c r="H1555" s="423"/>
      <c r="N1555" s="534"/>
    </row>
    <row r="1556" spans="1:14" x14ac:dyDescent="0.2">
      <c r="A1556" s="420"/>
      <c r="B1556" s="423"/>
      <c r="C1556" s="425"/>
      <c r="D1556" s="423"/>
      <c r="E1556" s="423"/>
      <c r="F1556" s="423"/>
      <c r="G1556" s="423"/>
      <c r="H1556" s="423"/>
      <c r="N1556" s="534"/>
    </row>
    <row r="1557" spans="1:14" x14ac:dyDescent="0.2">
      <c r="A1557" s="420"/>
      <c r="B1557" s="423"/>
      <c r="C1557" s="425"/>
      <c r="D1557" s="423"/>
      <c r="E1557" s="423"/>
      <c r="F1557" s="423"/>
      <c r="G1557" s="423"/>
      <c r="H1557" s="423"/>
      <c r="N1557" s="534"/>
    </row>
    <row r="1558" spans="1:14" x14ac:dyDescent="0.2">
      <c r="A1558" s="420"/>
      <c r="B1558" s="423"/>
      <c r="C1558" s="425"/>
      <c r="D1558" s="423"/>
      <c r="E1558" s="423"/>
      <c r="F1558" s="423"/>
      <c r="G1558" s="423"/>
      <c r="H1558" s="423"/>
      <c r="N1558" s="534"/>
    </row>
    <row r="1559" spans="1:14" x14ac:dyDescent="0.2">
      <c r="A1559" s="420"/>
      <c r="B1559" s="423"/>
      <c r="C1559" s="425"/>
      <c r="D1559" s="423"/>
      <c r="E1559" s="423"/>
      <c r="F1559" s="423"/>
      <c r="G1559" s="423"/>
      <c r="H1559" s="423"/>
      <c r="N1559" s="534"/>
    </row>
    <row r="1560" spans="1:14" x14ac:dyDescent="0.2">
      <c r="A1560" s="420"/>
      <c r="B1560" s="423"/>
      <c r="C1560" s="425"/>
      <c r="D1560" s="423"/>
      <c r="E1560" s="423"/>
      <c r="F1560" s="423"/>
      <c r="G1560" s="423"/>
      <c r="H1560" s="423"/>
      <c r="N1560" s="534"/>
    </row>
    <row r="1561" spans="1:14" x14ac:dyDescent="0.2">
      <c r="A1561" s="420"/>
      <c r="B1561" s="423"/>
      <c r="C1561" s="425"/>
      <c r="D1561" s="423"/>
      <c r="E1561" s="423"/>
      <c r="F1561" s="423"/>
      <c r="G1561" s="423"/>
      <c r="H1561" s="423"/>
      <c r="N1561" s="534"/>
    </row>
    <row r="1562" spans="1:14" x14ac:dyDescent="0.2">
      <c r="A1562" s="420"/>
      <c r="B1562" s="423"/>
      <c r="C1562" s="425"/>
      <c r="D1562" s="423"/>
      <c r="E1562" s="423"/>
      <c r="F1562" s="423"/>
      <c r="G1562" s="423"/>
      <c r="H1562" s="423"/>
      <c r="N1562" s="534"/>
    </row>
    <row r="1563" spans="1:14" x14ac:dyDescent="0.2">
      <c r="A1563" s="420"/>
      <c r="B1563" s="423"/>
      <c r="C1563" s="425"/>
      <c r="D1563" s="423"/>
      <c r="E1563" s="423"/>
      <c r="F1563" s="423"/>
      <c r="G1563" s="423"/>
      <c r="H1563" s="423"/>
      <c r="N1563" s="534"/>
    </row>
    <row r="1564" spans="1:14" x14ac:dyDescent="0.2">
      <c r="A1564" s="420"/>
      <c r="B1564" s="423"/>
      <c r="C1564" s="425"/>
      <c r="D1564" s="423"/>
      <c r="E1564" s="423"/>
      <c r="F1564" s="423"/>
      <c r="G1564" s="423"/>
      <c r="H1564" s="423"/>
      <c r="N1564" s="534"/>
    </row>
    <row r="1565" spans="1:14" x14ac:dyDescent="0.2">
      <c r="A1565" s="420"/>
      <c r="B1565" s="423"/>
      <c r="C1565" s="425"/>
      <c r="D1565" s="423"/>
      <c r="E1565" s="423"/>
      <c r="F1565" s="423"/>
      <c r="G1565" s="423"/>
      <c r="H1565" s="423"/>
      <c r="N1565" s="534"/>
    </row>
    <row r="1566" spans="1:14" x14ac:dyDescent="0.2">
      <c r="A1566" s="420"/>
      <c r="B1566" s="423"/>
      <c r="C1566" s="425"/>
      <c r="D1566" s="423"/>
      <c r="E1566" s="423"/>
      <c r="F1566" s="423"/>
      <c r="G1566" s="423"/>
      <c r="H1566" s="423"/>
      <c r="N1566" s="534"/>
    </row>
    <row r="1567" spans="1:14" x14ac:dyDescent="0.2">
      <c r="A1567" s="420"/>
      <c r="B1567" s="423"/>
      <c r="C1567" s="425"/>
      <c r="D1567" s="423"/>
      <c r="E1567" s="423"/>
      <c r="F1567" s="423"/>
      <c r="G1567" s="423"/>
      <c r="H1567" s="423"/>
      <c r="N1567" s="534"/>
    </row>
    <row r="1568" spans="1:14" x14ac:dyDescent="0.2">
      <c r="A1568" s="420"/>
      <c r="B1568" s="423"/>
      <c r="C1568" s="425"/>
      <c r="D1568" s="423"/>
      <c r="E1568" s="423"/>
      <c r="F1568" s="423"/>
      <c r="G1568" s="423"/>
      <c r="H1568" s="423"/>
      <c r="N1568" s="534"/>
    </row>
    <row r="1569" spans="1:14" x14ac:dyDescent="0.2">
      <c r="A1569" s="420"/>
      <c r="B1569" s="423"/>
      <c r="C1569" s="425"/>
      <c r="D1569" s="423"/>
      <c r="E1569" s="423"/>
      <c r="F1569" s="423"/>
      <c r="G1569" s="423"/>
      <c r="H1569" s="423"/>
      <c r="N1569" s="534"/>
    </row>
    <row r="1570" spans="1:14" x14ac:dyDescent="0.2">
      <c r="A1570" s="420"/>
      <c r="B1570" s="423"/>
      <c r="C1570" s="425"/>
      <c r="D1570" s="423"/>
      <c r="E1570" s="423"/>
      <c r="F1570" s="423"/>
      <c r="G1570" s="423"/>
      <c r="H1570" s="423"/>
      <c r="N1570" s="534"/>
    </row>
    <row r="1571" spans="1:14" x14ac:dyDescent="0.2">
      <c r="A1571" s="420"/>
      <c r="B1571" s="423"/>
      <c r="C1571" s="425"/>
      <c r="D1571" s="423"/>
      <c r="E1571" s="423"/>
      <c r="F1571" s="423"/>
      <c r="G1571" s="423"/>
      <c r="H1571" s="423"/>
      <c r="N1571" s="534"/>
    </row>
    <row r="1572" spans="1:14" x14ac:dyDescent="0.2">
      <c r="A1572" s="420"/>
      <c r="B1572" s="423"/>
      <c r="C1572" s="425"/>
      <c r="D1572" s="423"/>
      <c r="E1572" s="423"/>
      <c r="F1572" s="423"/>
      <c r="G1572" s="423"/>
      <c r="H1572" s="423"/>
      <c r="N1572" s="534"/>
    </row>
    <row r="1573" spans="1:14" x14ac:dyDescent="0.2">
      <c r="A1573" s="420"/>
      <c r="B1573" s="423"/>
      <c r="C1573" s="425"/>
      <c r="D1573" s="423"/>
      <c r="E1573" s="423"/>
      <c r="F1573" s="423"/>
      <c r="G1573" s="423"/>
      <c r="H1573" s="423"/>
      <c r="N1573" s="534"/>
    </row>
    <row r="1574" spans="1:14" x14ac:dyDescent="0.2">
      <c r="A1574" s="420"/>
      <c r="B1574" s="423"/>
      <c r="C1574" s="425"/>
      <c r="D1574" s="423"/>
      <c r="E1574" s="423"/>
      <c r="F1574" s="423"/>
      <c r="G1574" s="423"/>
      <c r="H1574" s="423"/>
      <c r="N1574" s="534"/>
    </row>
    <row r="1575" spans="1:14" x14ac:dyDescent="0.2">
      <c r="A1575" s="420"/>
      <c r="B1575" s="423"/>
      <c r="C1575" s="425"/>
      <c r="D1575" s="423"/>
      <c r="E1575" s="423"/>
      <c r="F1575" s="423"/>
      <c r="G1575" s="423"/>
      <c r="H1575" s="423"/>
      <c r="N1575" s="534"/>
    </row>
    <row r="1576" spans="1:14" x14ac:dyDescent="0.2">
      <c r="A1576" s="420"/>
      <c r="B1576" s="423"/>
      <c r="C1576" s="425"/>
      <c r="D1576" s="423"/>
      <c r="E1576" s="423"/>
      <c r="F1576" s="423"/>
      <c r="G1576" s="423"/>
      <c r="H1576" s="423"/>
      <c r="N1576" s="534"/>
    </row>
    <row r="1577" spans="1:14" x14ac:dyDescent="0.2">
      <c r="A1577" s="420"/>
      <c r="B1577" s="423"/>
      <c r="C1577" s="425"/>
      <c r="D1577" s="423"/>
      <c r="E1577" s="423"/>
      <c r="F1577" s="423"/>
      <c r="G1577" s="423"/>
      <c r="H1577" s="423"/>
      <c r="N1577" s="534"/>
    </row>
    <row r="1578" spans="1:14" x14ac:dyDescent="0.2">
      <c r="A1578" s="420"/>
      <c r="B1578" s="423"/>
      <c r="C1578" s="425"/>
      <c r="D1578" s="423"/>
      <c r="E1578" s="423"/>
      <c r="F1578" s="423"/>
      <c r="G1578" s="423"/>
      <c r="H1578" s="423"/>
      <c r="N1578" s="534"/>
    </row>
    <row r="1579" spans="1:14" x14ac:dyDescent="0.2">
      <c r="A1579" s="420"/>
      <c r="B1579" s="423"/>
      <c r="C1579" s="425"/>
      <c r="D1579" s="423"/>
      <c r="E1579" s="423"/>
      <c r="F1579" s="423"/>
      <c r="G1579" s="423"/>
      <c r="H1579" s="423"/>
      <c r="N1579" s="534"/>
    </row>
    <row r="1580" spans="1:14" x14ac:dyDescent="0.2">
      <c r="A1580" s="420"/>
      <c r="B1580" s="423"/>
      <c r="C1580" s="425"/>
      <c r="D1580" s="423"/>
      <c r="E1580" s="423"/>
      <c r="F1580" s="423"/>
      <c r="G1580" s="423"/>
      <c r="H1580" s="423"/>
      <c r="N1580" s="534"/>
    </row>
    <row r="1581" spans="1:14" x14ac:dyDescent="0.2">
      <c r="A1581" s="420"/>
      <c r="B1581" s="423"/>
      <c r="C1581" s="425"/>
      <c r="D1581" s="423"/>
      <c r="E1581" s="423"/>
      <c r="F1581" s="423"/>
      <c r="G1581" s="423"/>
      <c r="H1581" s="423"/>
      <c r="N1581" s="534"/>
    </row>
    <row r="1582" spans="1:14" x14ac:dyDescent="0.2">
      <c r="A1582" s="420"/>
      <c r="B1582" s="423"/>
      <c r="C1582" s="425"/>
      <c r="D1582" s="423"/>
      <c r="E1582" s="423"/>
      <c r="F1582" s="423"/>
      <c r="G1582" s="423"/>
      <c r="H1582" s="423"/>
      <c r="N1582" s="534"/>
    </row>
    <row r="1583" spans="1:14" x14ac:dyDescent="0.2">
      <c r="A1583" s="420"/>
      <c r="B1583" s="423"/>
      <c r="C1583" s="425"/>
      <c r="D1583" s="423"/>
      <c r="E1583" s="423"/>
      <c r="F1583" s="423"/>
      <c r="G1583" s="423"/>
      <c r="H1583" s="423"/>
      <c r="N1583" s="534"/>
    </row>
    <row r="1584" spans="1:14" x14ac:dyDescent="0.2">
      <c r="A1584" s="420"/>
      <c r="B1584" s="423"/>
      <c r="C1584" s="425"/>
      <c r="D1584" s="423"/>
      <c r="E1584" s="423"/>
      <c r="F1584" s="423"/>
      <c r="G1584" s="423"/>
      <c r="H1584" s="423"/>
      <c r="N1584" s="534"/>
    </row>
    <row r="1585" spans="1:14" x14ac:dyDescent="0.2">
      <c r="A1585" s="420"/>
      <c r="B1585" s="423"/>
      <c r="C1585" s="425"/>
      <c r="D1585" s="423"/>
      <c r="E1585" s="423"/>
      <c r="F1585" s="423"/>
      <c r="G1585" s="423"/>
      <c r="H1585" s="423"/>
      <c r="N1585" s="534"/>
    </row>
    <row r="1586" spans="1:14" x14ac:dyDescent="0.2">
      <c r="A1586" s="420"/>
      <c r="B1586" s="423"/>
      <c r="C1586" s="425"/>
      <c r="D1586" s="423"/>
      <c r="E1586" s="423"/>
      <c r="F1586" s="423"/>
      <c r="G1586" s="423"/>
      <c r="H1586" s="423"/>
      <c r="N1586" s="534"/>
    </row>
    <row r="1587" spans="1:14" x14ac:dyDescent="0.2">
      <c r="A1587" s="420"/>
      <c r="B1587" s="423"/>
      <c r="C1587" s="425"/>
      <c r="D1587" s="423"/>
      <c r="E1587" s="423"/>
      <c r="F1587" s="423"/>
      <c r="G1587" s="423"/>
      <c r="H1587" s="423"/>
      <c r="N1587" s="534"/>
    </row>
    <row r="1588" spans="1:14" x14ac:dyDescent="0.2">
      <c r="A1588" s="420"/>
      <c r="B1588" s="423"/>
      <c r="C1588" s="425"/>
      <c r="D1588" s="423"/>
      <c r="E1588" s="423"/>
      <c r="F1588" s="423"/>
      <c r="G1588" s="423"/>
      <c r="H1588" s="423"/>
      <c r="N1588" s="534"/>
    </row>
    <row r="1589" spans="1:14" x14ac:dyDescent="0.2">
      <c r="A1589" s="420"/>
      <c r="B1589" s="423"/>
      <c r="C1589" s="425"/>
      <c r="D1589" s="423"/>
      <c r="E1589" s="423"/>
      <c r="F1589" s="423"/>
      <c r="G1589" s="423"/>
      <c r="H1589" s="423"/>
      <c r="N1589" s="534"/>
    </row>
    <row r="1590" spans="1:14" x14ac:dyDescent="0.2">
      <c r="A1590" s="420"/>
      <c r="B1590" s="423"/>
      <c r="C1590" s="425"/>
      <c r="D1590" s="423"/>
      <c r="E1590" s="423"/>
      <c r="F1590" s="423"/>
      <c r="G1590" s="423"/>
      <c r="H1590" s="423"/>
      <c r="N1590" s="534"/>
    </row>
    <row r="1591" spans="1:14" x14ac:dyDescent="0.2">
      <c r="A1591" s="420"/>
      <c r="B1591" s="423"/>
      <c r="C1591" s="425"/>
      <c r="D1591" s="423"/>
      <c r="E1591" s="423"/>
      <c r="F1591" s="423"/>
      <c r="G1591" s="423"/>
      <c r="H1591" s="423"/>
      <c r="N1591" s="534"/>
    </row>
    <row r="1592" spans="1:14" x14ac:dyDescent="0.2">
      <c r="A1592" s="420"/>
      <c r="B1592" s="423"/>
      <c r="C1592" s="425"/>
      <c r="D1592" s="423"/>
      <c r="E1592" s="423"/>
      <c r="F1592" s="423"/>
      <c r="G1592" s="423"/>
      <c r="H1592" s="423"/>
      <c r="N1592" s="534"/>
    </row>
    <row r="1593" spans="1:14" x14ac:dyDescent="0.2">
      <c r="A1593" s="420"/>
      <c r="B1593" s="423"/>
      <c r="C1593" s="425"/>
      <c r="D1593" s="423"/>
      <c r="E1593" s="423"/>
      <c r="F1593" s="423"/>
      <c r="G1593" s="423"/>
      <c r="H1593" s="423"/>
      <c r="N1593" s="534"/>
    </row>
    <row r="1594" spans="1:14" x14ac:dyDescent="0.2">
      <c r="A1594" s="420"/>
      <c r="B1594" s="423"/>
      <c r="C1594" s="425"/>
      <c r="D1594" s="423"/>
      <c r="E1594" s="423"/>
      <c r="F1594" s="423"/>
      <c r="G1594" s="423"/>
      <c r="H1594" s="423"/>
      <c r="N1594" s="534"/>
    </row>
    <row r="1595" spans="1:14" x14ac:dyDescent="0.2">
      <c r="A1595" s="420"/>
      <c r="B1595" s="423"/>
      <c r="C1595" s="425"/>
      <c r="D1595" s="423"/>
      <c r="E1595" s="423"/>
      <c r="F1595" s="423"/>
      <c r="G1595" s="423"/>
      <c r="H1595" s="423"/>
      <c r="N1595" s="534"/>
    </row>
    <row r="1596" spans="1:14" x14ac:dyDescent="0.2">
      <c r="A1596" s="420"/>
      <c r="B1596" s="423"/>
      <c r="C1596" s="425"/>
      <c r="D1596" s="423"/>
      <c r="E1596" s="423"/>
      <c r="F1596" s="423"/>
      <c r="G1596" s="423"/>
      <c r="H1596" s="423"/>
      <c r="N1596" s="534"/>
    </row>
    <row r="1597" spans="1:14" x14ac:dyDescent="0.2">
      <c r="A1597" s="420"/>
      <c r="B1597" s="423"/>
      <c r="C1597" s="425"/>
      <c r="D1597" s="423"/>
      <c r="E1597" s="423"/>
      <c r="F1597" s="423"/>
      <c r="G1597" s="423"/>
      <c r="H1597" s="423"/>
      <c r="N1597" s="534"/>
    </row>
    <row r="1598" spans="1:14" x14ac:dyDescent="0.2">
      <c r="A1598" s="420"/>
      <c r="B1598" s="423"/>
      <c r="C1598" s="425"/>
      <c r="D1598" s="423"/>
      <c r="E1598" s="423"/>
      <c r="F1598" s="423"/>
      <c r="G1598" s="423"/>
      <c r="H1598" s="423"/>
      <c r="N1598" s="534"/>
    </row>
    <row r="1599" spans="1:14" x14ac:dyDescent="0.2">
      <c r="A1599" s="420"/>
      <c r="B1599" s="423"/>
      <c r="C1599" s="425"/>
      <c r="D1599" s="423"/>
      <c r="E1599" s="423"/>
      <c r="F1599" s="423"/>
      <c r="G1599" s="423"/>
      <c r="H1599" s="423"/>
      <c r="N1599" s="534"/>
    </row>
    <row r="1600" spans="1:14" x14ac:dyDescent="0.2">
      <c r="A1600" s="420"/>
      <c r="B1600" s="423"/>
      <c r="C1600" s="425"/>
      <c r="D1600" s="423"/>
      <c r="E1600" s="423"/>
      <c r="F1600" s="423"/>
      <c r="G1600" s="423"/>
      <c r="H1600" s="423"/>
      <c r="N1600" s="534"/>
    </row>
    <row r="1601" spans="1:14" x14ac:dyDescent="0.2">
      <c r="A1601" s="420"/>
      <c r="B1601" s="423"/>
      <c r="C1601" s="425"/>
      <c r="D1601" s="423"/>
      <c r="E1601" s="423"/>
      <c r="F1601" s="423"/>
      <c r="G1601" s="423"/>
      <c r="H1601" s="423"/>
      <c r="N1601" s="534"/>
    </row>
    <row r="1602" spans="1:14" x14ac:dyDescent="0.2">
      <c r="A1602" s="420"/>
      <c r="B1602" s="423"/>
      <c r="C1602" s="425"/>
      <c r="D1602" s="423"/>
      <c r="E1602" s="423"/>
      <c r="F1602" s="423"/>
      <c r="G1602" s="423"/>
      <c r="H1602" s="423"/>
      <c r="N1602" s="534"/>
    </row>
    <row r="1603" spans="1:14" x14ac:dyDescent="0.2">
      <c r="A1603" s="420"/>
      <c r="B1603" s="423"/>
      <c r="C1603" s="425"/>
      <c r="D1603" s="423"/>
      <c r="E1603" s="423"/>
      <c r="F1603" s="423"/>
      <c r="G1603" s="423"/>
      <c r="H1603" s="423"/>
      <c r="N1603" s="534"/>
    </row>
    <row r="1604" spans="1:14" x14ac:dyDescent="0.2">
      <c r="A1604" s="420"/>
      <c r="B1604" s="423"/>
      <c r="C1604" s="425"/>
      <c r="D1604" s="423"/>
      <c r="E1604" s="423"/>
      <c r="F1604" s="423"/>
      <c r="G1604" s="423"/>
      <c r="H1604" s="423"/>
      <c r="N1604" s="534"/>
    </row>
    <row r="1605" spans="1:14" x14ac:dyDescent="0.2">
      <c r="A1605" s="420"/>
      <c r="B1605" s="423"/>
      <c r="C1605" s="425"/>
      <c r="D1605" s="423"/>
      <c r="E1605" s="423"/>
      <c r="F1605" s="423"/>
      <c r="G1605" s="423"/>
      <c r="H1605" s="423"/>
      <c r="N1605" s="534"/>
    </row>
    <row r="1606" spans="1:14" x14ac:dyDescent="0.2">
      <c r="A1606" s="420"/>
      <c r="B1606" s="423"/>
      <c r="C1606" s="425"/>
      <c r="D1606" s="423"/>
      <c r="E1606" s="423"/>
      <c r="F1606" s="423"/>
      <c r="G1606" s="423"/>
      <c r="H1606" s="423"/>
      <c r="N1606" s="534"/>
    </row>
    <row r="1607" spans="1:14" x14ac:dyDescent="0.2">
      <c r="A1607" s="420"/>
      <c r="B1607" s="423"/>
      <c r="C1607" s="425"/>
      <c r="D1607" s="423"/>
      <c r="E1607" s="423"/>
      <c r="F1607" s="423"/>
      <c r="G1607" s="423"/>
      <c r="H1607" s="423"/>
      <c r="N1607" s="534"/>
    </row>
    <row r="1608" spans="1:14" x14ac:dyDescent="0.2">
      <c r="A1608" s="420"/>
      <c r="B1608" s="423"/>
      <c r="C1608" s="425"/>
      <c r="D1608" s="423"/>
      <c r="E1608" s="423"/>
      <c r="F1608" s="423"/>
      <c r="G1608" s="423"/>
      <c r="H1608" s="423"/>
      <c r="N1608" s="534"/>
    </row>
    <row r="1609" spans="1:14" x14ac:dyDescent="0.2">
      <c r="A1609" s="420"/>
      <c r="B1609" s="423"/>
      <c r="C1609" s="425"/>
      <c r="D1609" s="423"/>
      <c r="E1609" s="423"/>
      <c r="F1609" s="423"/>
      <c r="G1609" s="423"/>
      <c r="H1609" s="423"/>
      <c r="N1609" s="534"/>
    </row>
    <row r="1610" spans="1:14" x14ac:dyDescent="0.2">
      <c r="A1610" s="420"/>
      <c r="B1610" s="423"/>
      <c r="C1610" s="425"/>
      <c r="D1610" s="423"/>
      <c r="E1610" s="423"/>
      <c r="F1610" s="423"/>
      <c r="G1610" s="423"/>
      <c r="H1610" s="423"/>
      <c r="N1610" s="534"/>
    </row>
    <row r="1611" spans="1:14" x14ac:dyDescent="0.2">
      <c r="A1611" s="420"/>
      <c r="B1611" s="423"/>
      <c r="C1611" s="425"/>
      <c r="D1611" s="423"/>
      <c r="E1611" s="423"/>
      <c r="F1611" s="423"/>
      <c r="G1611" s="423"/>
      <c r="H1611" s="423"/>
      <c r="N1611" s="534"/>
    </row>
    <row r="1612" spans="1:14" x14ac:dyDescent="0.2">
      <c r="A1612" s="420"/>
      <c r="B1612" s="423"/>
      <c r="C1612" s="425"/>
      <c r="D1612" s="423"/>
      <c r="E1612" s="423"/>
      <c r="F1612" s="423"/>
      <c r="G1612" s="423"/>
      <c r="H1612" s="423"/>
      <c r="N1612" s="534"/>
    </row>
    <row r="1613" spans="1:14" x14ac:dyDescent="0.2">
      <c r="A1613" s="420"/>
      <c r="B1613" s="423"/>
      <c r="C1613" s="425"/>
      <c r="D1613" s="423"/>
      <c r="E1613" s="423"/>
      <c r="F1613" s="423"/>
      <c r="G1613" s="423"/>
      <c r="H1613" s="423"/>
      <c r="N1613" s="534"/>
    </row>
    <row r="1614" spans="1:14" x14ac:dyDescent="0.2">
      <c r="A1614" s="420"/>
      <c r="B1614" s="423"/>
      <c r="C1614" s="425"/>
      <c r="D1614" s="423"/>
      <c r="E1614" s="423"/>
      <c r="F1614" s="423"/>
      <c r="G1614" s="423"/>
      <c r="H1614" s="423"/>
      <c r="N1614" s="534"/>
    </row>
    <row r="1615" spans="1:14" x14ac:dyDescent="0.2">
      <c r="A1615" s="420"/>
      <c r="B1615" s="423"/>
      <c r="C1615" s="425"/>
      <c r="D1615" s="423"/>
      <c r="E1615" s="423"/>
      <c r="F1615" s="423"/>
      <c r="G1615" s="423"/>
      <c r="H1615" s="423"/>
      <c r="N1615" s="534"/>
    </row>
    <row r="1616" spans="1:14" x14ac:dyDescent="0.2">
      <c r="A1616" s="420"/>
      <c r="B1616" s="423"/>
      <c r="C1616" s="425"/>
      <c r="D1616" s="423"/>
      <c r="E1616" s="423"/>
      <c r="F1616" s="423"/>
      <c r="G1616" s="423"/>
      <c r="H1616" s="423"/>
      <c r="N1616" s="534"/>
    </row>
    <row r="1617" spans="1:14" x14ac:dyDescent="0.2">
      <c r="A1617" s="420"/>
      <c r="B1617" s="423"/>
      <c r="C1617" s="425"/>
      <c r="D1617" s="423"/>
      <c r="E1617" s="423"/>
      <c r="F1617" s="423"/>
      <c r="G1617" s="423"/>
      <c r="H1617" s="423"/>
      <c r="N1617" s="534"/>
    </row>
    <row r="1618" spans="1:14" x14ac:dyDescent="0.2">
      <c r="A1618" s="420"/>
      <c r="B1618" s="423"/>
      <c r="C1618" s="425"/>
      <c r="D1618" s="423"/>
      <c r="E1618" s="423"/>
      <c r="F1618" s="423"/>
      <c r="G1618" s="423"/>
      <c r="H1618" s="423"/>
      <c r="N1618" s="534"/>
    </row>
    <row r="1619" spans="1:14" x14ac:dyDescent="0.2">
      <c r="A1619" s="420"/>
      <c r="B1619" s="423"/>
      <c r="C1619" s="425"/>
      <c r="D1619" s="423"/>
      <c r="E1619" s="423"/>
      <c r="F1619" s="423"/>
      <c r="G1619" s="423"/>
      <c r="H1619" s="423"/>
      <c r="N1619" s="534"/>
    </row>
    <row r="1620" spans="1:14" x14ac:dyDescent="0.2">
      <c r="A1620" s="420"/>
      <c r="B1620" s="423"/>
      <c r="C1620" s="425"/>
      <c r="D1620" s="423"/>
      <c r="E1620" s="423"/>
      <c r="F1620" s="423"/>
      <c r="G1620" s="423"/>
      <c r="H1620" s="423"/>
      <c r="N1620" s="534"/>
    </row>
    <row r="1621" spans="1:14" x14ac:dyDescent="0.2">
      <c r="A1621" s="420"/>
      <c r="B1621" s="423"/>
      <c r="C1621" s="425"/>
      <c r="D1621" s="423"/>
      <c r="E1621" s="423"/>
      <c r="F1621" s="423"/>
      <c r="G1621" s="423"/>
      <c r="H1621" s="423"/>
      <c r="N1621" s="534"/>
    </row>
    <row r="1622" spans="1:14" x14ac:dyDescent="0.2">
      <c r="A1622" s="420"/>
      <c r="B1622" s="423"/>
      <c r="C1622" s="425"/>
      <c r="D1622" s="423"/>
      <c r="E1622" s="423"/>
      <c r="F1622" s="423"/>
      <c r="G1622" s="423"/>
      <c r="H1622" s="423"/>
      <c r="N1622" s="534"/>
    </row>
    <row r="1623" spans="1:14" x14ac:dyDescent="0.2">
      <c r="A1623" s="420"/>
      <c r="B1623" s="423"/>
      <c r="C1623" s="425"/>
      <c r="D1623" s="423"/>
      <c r="E1623" s="423"/>
      <c r="F1623" s="423"/>
      <c r="G1623" s="423"/>
      <c r="H1623" s="423"/>
      <c r="N1623" s="534"/>
    </row>
    <row r="1624" spans="1:14" x14ac:dyDescent="0.2">
      <c r="A1624" s="420"/>
      <c r="B1624" s="423"/>
      <c r="C1624" s="425"/>
      <c r="D1624" s="423"/>
      <c r="E1624" s="423"/>
      <c r="F1624" s="423"/>
      <c r="G1624" s="423"/>
      <c r="H1624" s="423"/>
      <c r="N1624" s="534"/>
    </row>
    <row r="1625" spans="1:14" x14ac:dyDescent="0.2">
      <c r="A1625" s="420"/>
      <c r="B1625" s="423"/>
      <c r="C1625" s="425"/>
      <c r="D1625" s="423"/>
      <c r="E1625" s="423"/>
      <c r="F1625" s="423"/>
      <c r="G1625" s="423"/>
      <c r="H1625" s="423"/>
      <c r="N1625" s="534"/>
    </row>
    <row r="1626" spans="1:14" x14ac:dyDescent="0.2">
      <c r="A1626" s="420"/>
      <c r="B1626" s="423"/>
      <c r="C1626" s="425"/>
      <c r="D1626" s="423"/>
      <c r="E1626" s="423"/>
      <c r="F1626" s="423"/>
      <c r="G1626" s="423"/>
      <c r="H1626" s="423"/>
      <c r="N1626" s="534"/>
    </row>
    <row r="1627" spans="1:14" x14ac:dyDescent="0.2">
      <c r="A1627" s="420"/>
      <c r="B1627" s="423"/>
      <c r="C1627" s="425"/>
      <c r="D1627" s="423"/>
      <c r="E1627" s="423"/>
      <c r="F1627" s="423"/>
      <c r="G1627" s="423"/>
      <c r="H1627" s="423"/>
      <c r="N1627" s="534"/>
    </row>
    <row r="1628" spans="1:14" x14ac:dyDescent="0.2">
      <c r="A1628" s="420"/>
      <c r="B1628" s="423"/>
      <c r="C1628" s="425"/>
      <c r="D1628" s="423"/>
      <c r="E1628" s="423"/>
      <c r="F1628" s="423"/>
      <c r="G1628" s="423"/>
      <c r="H1628" s="423"/>
      <c r="N1628" s="534"/>
    </row>
    <row r="1629" spans="1:14" x14ac:dyDescent="0.2">
      <c r="A1629" s="420"/>
      <c r="B1629" s="423"/>
      <c r="C1629" s="425"/>
      <c r="D1629" s="423"/>
      <c r="E1629" s="423"/>
      <c r="F1629" s="423"/>
      <c r="G1629" s="423"/>
      <c r="H1629" s="423"/>
      <c r="N1629" s="534"/>
    </row>
    <row r="1630" spans="1:14" x14ac:dyDescent="0.2">
      <c r="A1630" s="420"/>
      <c r="B1630" s="423"/>
      <c r="C1630" s="425"/>
      <c r="D1630" s="423"/>
      <c r="E1630" s="423"/>
      <c r="F1630" s="423"/>
      <c r="G1630" s="423"/>
      <c r="H1630" s="423"/>
      <c r="N1630" s="534"/>
    </row>
    <row r="1631" spans="1:14" x14ac:dyDescent="0.2">
      <c r="A1631" s="420"/>
      <c r="B1631" s="423"/>
      <c r="C1631" s="425"/>
      <c r="D1631" s="423"/>
      <c r="E1631" s="423"/>
      <c r="F1631" s="423"/>
      <c r="G1631" s="423"/>
      <c r="H1631" s="423"/>
      <c r="N1631" s="534"/>
    </row>
    <row r="1632" spans="1:14" x14ac:dyDescent="0.2">
      <c r="A1632" s="420"/>
      <c r="B1632" s="423"/>
      <c r="C1632" s="425"/>
      <c r="D1632" s="423"/>
      <c r="E1632" s="423"/>
      <c r="F1632" s="423"/>
      <c r="G1632" s="423"/>
      <c r="H1632" s="423"/>
      <c r="N1632" s="534"/>
    </row>
    <row r="1633" spans="1:14" x14ac:dyDescent="0.2">
      <c r="A1633" s="420"/>
      <c r="B1633" s="423"/>
      <c r="C1633" s="425"/>
      <c r="D1633" s="423"/>
      <c r="E1633" s="423"/>
      <c r="F1633" s="423"/>
      <c r="G1633" s="423"/>
      <c r="H1633" s="423"/>
      <c r="N1633" s="534"/>
    </row>
    <row r="1634" spans="1:14" x14ac:dyDescent="0.2">
      <c r="A1634" s="420"/>
      <c r="B1634" s="423"/>
      <c r="C1634" s="425"/>
      <c r="D1634" s="423"/>
      <c r="E1634" s="423"/>
      <c r="F1634" s="423"/>
      <c r="G1634" s="423"/>
      <c r="H1634" s="423"/>
      <c r="N1634" s="534"/>
    </row>
    <row r="1635" spans="1:14" x14ac:dyDescent="0.2">
      <c r="A1635" s="420"/>
      <c r="B1635" s="423"/>
      <c r="C1635" s="425"/>
      <c r="D1635" s="423"/>
      <c r="E1635" s="423"/>
      <c r="F1635" s="423"/>
      <c r="G1635" s="423"/>
      <c r="H1635" s="423"/>
      <c r="N1635" s="534"/>
    </row>
    <row r="1636" spans="1:14" x14ac:dyDescent="0.2">
      <c r="A1636" s="420"/>
      <c r="B1636" s="423"/>
      <c r="C1636" s="425"/>
      <c r="D1636" s="423"/>
      <c r="E1636" s="423"/>
      <c r="F1636" s="423"/>
      <c r="G1636" s="423"/>
      <c r="H1636" s="423"/>
      <c r="N1636" s="534"/>
    </row>
    <row r="1637" spans="1:14" x14ac:dyDescent="0.2">
      <c r="A1637" s="420"/>
      <c r="B1637" s="423"/>
      <c r="C1637" s="425"/>
      <c r="D1637" s="423"/>
      <c r="E1637" s="423"/>
      <c r="F1637" s="423"/>
      <c r="G1637" s="423"/>
      <c r="H1637" s="423"/>
      <c r="N1637" s="534"/>
    </row>
    <row r="1638" spans="1:14" x14ac:dyDescent="0.2">
      <c r="A1638" s="420"/>
      <c r="B1638" s="423"/>
      <c r="C1638" s="425"/>
      <c r="D1638" s="423"/>
      <c r="E1638" s="423"/>
      <c r="F1638" s="423"/>
      <c r="G1638" s="423"/>
      <c r="H1638" s="423"/>
      <c r="N1638" s="534"/>
    </row>
    <row r="1639" spans="1:14" x14ac:dyDescent="0.2">
      <c r="A1639" s="420"/>
      <c r="B1639" s="423"/>
      <c r="C1639" s="425"/>
      <c r="D1639" s="423"/>
      <c r="E1639" s="423"/>
      <c r="F1639" s="423"/>
      <c r="G1639" s="423"/>
      <c r="H1639" s="423"/>
      <c r="N1639" s="534"/>
    </row>
    <row r="1640" spans="1:14" x14ac:dyDescent="0.2">
      <c r="A1640" s="420"/>
      <c r="B1640" s="423"/>
      <c r="C1640" s="425"/>
      <c r="D1640" s="423"/>
      <c r="E1640" s="423"/>
      <c r="F1640" s="423"/>
      <c r="G1640" s="423"/>
      <c r="H1640" s="423"/>
      <c r="N1640" s="534"/>
    </row>
    <row r="1641" spans="1:14" x14ac:dyDescent="0.2">
      <c r="A1641" s="420"/>
      <c r="B1641" s="423"/>
      <c r="C1641" s="425"/>
      <c r="D1641" s="423"/>
      <c r="E1641" s="423"/>
      <c r="F1641" s="423"/>
      <c r="G1641" s="423"/>
      <c r="H1641" s="423"/>
      <c r="N1641" s="534"/>
    </row>
    <row r="1642" spans="1:14" x14ac:dyDescent="0.2">
      <c r="A1642" s="420"/>
      <c r="B1642" s="423"/>
      <c r="C1642" s="425"/>
      <c r="D1642" s="423"/>
      <c r="E1642" s="423"/>
      <c r="F1642" s="423"/>
      <c r="G1642" s="423"/>
      <c r="H1642" s="423"/>
      <c r="N1642" s="534"/>
    </row>
    <row r="1643" spans="1:14" x14ac:dyDescent="0.2">
      <c r="A1643" s="420"/>
      <c r="B1643" s="423"/>
      <c r="C1643" s="425"/>
      <c r="D1643" s="423"/>
      <c r="E1643" s="423"/>
      <c r="F1643" s="423"/>
      <c r="G1643" s="423"/>
      <c r="H1643" s="423"/>
      <c r="N1643" s="534"/>
    </row>
    <row r="1644" spans="1:14" x14ac:dyDescent="0.2">
      <c r="A1644" s="420"/>
      <c r="B1644" s="423"/>
      <c r="C1644" s="425"/>
      <c r="D1644" s="423"/>
      <c r="E1644" s="423"/>
      <c r="F1644" s="423"/>
      <c r="G1644" s="423"/>
      <c r="H1644" s="423"/>
      <c r="N1644" s="534"/>
    </row>
    <row r="1645" spans="1:14" x14ac:dyDescent="0.2">
      <c r="A1645" s="420"/>
      <c r="B1645" s="423"/>
      <c r="C1645" s="425"/>
      <c r="D1645" s="423"/>
      <c r="E1645" s="423"/>
      <c r="F1645" s="423"/>
      <c r="G1645" s="423"/>
      <c r="H1645" s="423"/>
      <c r="N1645" s="534"/>
    </row>
    <row r="1646" spans="1:14" x14ac:dyDescent="0.2">
      <c r="A1646" s="420"/>
      <c r="B1646" s="423"/>
      <c r="C1646" s="425"/>
      <c r="D1646" s="423"/>
      <c r="E1646" s="423"/>
      <c r="F1646" s="423"/>
      <c r="G1646" s="423"/>
      <c r="H1646" s="423"/>
      <c r="N1646" s="534"/>
    </row>
    <row r="1647" spans="1:14" x14ac:dyDescent="0.2">
      <c r="A1647" s="420"/>
      <c r="B1647" s="423"/>
      <c r="C1647" s="425"/>
      <c r="D1647" s="423"/>
      <c r="E1647" s="423"/>
      <c r="F1647" s="423"/>
      <c r="G1647" s="423"/>
      <c r="H1647" s="423"/>
      <c r="N1647" s="534"/>
    </row>
    <row r="1648" spans="1:14" x14ac:dyDescent="0.2">
      <c r="A1648" s="420"/>
      <c r="B1648" s="423"/>
      <c r="C1648" s="425"/>
      <c r="D1648" s="423"/>
      <c r="E1648" s="423"/>
      <c r="F1648" s="423"/>
      <c r="G1648" s="423"/>
      <c r="H1648" s="423"/>
      <c r="N1648" s="534"/>
    </row>
    <row r="1649" spans="1:14" x14ac:dyDescent="0.2">
      <c r="A1649" s="420"/>
      <c r="B1649" s="423"/>
      <c r="C1649" s="425"/>
      <c r="D1649" s="423"/>
      <c r="E1649" s="423"/>
      <c r="F1649" s="423"/>
      <c r="G1649" s="423"/>
      <c r="H1649" s="423"/>
      <c r="N1649" s="534"/>
    </row>
    <row r="1650" spans="1:14" x14ac:dyDescent="0.2">
      <c r="A1650" s="420"/>
      <c r="B1650" s="423"/>
      <c r="C1650" s="425"/>
      <c r="D1650" s="423"/>
      <c r="E1650" s="423"/>
      <c r="F1650" s="423"/>
      <c r="G1650" s="423"/>
      <c r="H1650" s="423"/>
      <c r="N1650" s="534"/>
    </row>
    <row r="1651" spans="1:14" x14ac:dyDescent="0.2">
      <c r="A1651" s="420"/>
      <c r="B1651" s="423"/>
      <c r="C1651" s="425"/>
      <c r="D1651" s="423"/>
      <c r="E1651" s="423"/>
      <c r="F1651" s="423"/>
      <c r="G1651" s="423"/>
      <c r="H1651" s="423"/>
      <c r="N1651" s="534"/>
    </row>
    <row r="1652" spans="1:14" x14ac:dyDescent="0.2">
      <c r="A1652" s="420"/>
      <c r="B1652" s="423"/>
      <c r="C1652" s="425"/>
      <c r="D1652" s="423"/>
      <c r="E1652" s="423"/>
      <c r="F1652" s="423"/>
      <c r="G1652" s="423"/>
      <c r="H1652" s="423"/>
      <c r="N1652" s="534"/>
    </row>
    <row r="1653" spans="1:14" x14ac:dyDescent="0.2">
      <c r="A1653" s="420"/>
      <c r="B1653" s="423"/>
      <c r="C1653" s="425"/>
      <c r="D1653" s="423"/>
      <c r="E1653" s="423"/>
      <c r="F1653" s="423"/>
      <c r="G1653" s="423"/>
      <c r="H1653" s="423"/>
      <c r="N1653" s="534"/>
    </row>
    <row r="1654" spans="1:14" x14ac:dyDescent="0.2">
      <c r="A1654" s="420"/>
      <c r="B1654" s="423"/>
      <c r="C1654" s="425"/>
      <c r="D1654" s="423"/>
      <c r="E1654" s="423"/>
      <c r="F1654" s="423"/>
      <c r="G1654" s="423"/>
      <c r="H1654" s="423"/>
      <c r="N1654" s="534"/>
    </row>
    <row r="1655" spans="1:14" x14ac:dyDescent="0.2">
      <c r="A1655" s="420"/>
      <c r="B1655" s="423"/>
      <c r="C1655" s="425"/>
      <c r="D1655" s="423"/>
      <c r="E1655" s="423"/>
      <c r="F1655" s="423"/>
      <c r="G1655" s="423"/>
      <c r="H1655" s="423"/>
      <c r="N1655" s="534"/>
    </row>
    <row r="1656" spans="1:14" x14ac:dyDescent="0.2">
      <c r="A1656" s="420"/>
      <c r="B1656" s="423"/>
      <c r="C1656" s="425"/>
      <c r="D1656" s="423"/>
      <c r="E1656" s="423"/>
      <c r="F1656" s="423"/>
      <c r="G1656" s="423"/>
      <c r="H1656" s="423"/>
      <c r="N1656" s="534"/>
    </row>
    <row r="1657" spans="1:14" x14ac:dyDescent="0.2">
      <c r="A1657" s="420"/>
      <c r="B1657" s="423"/>
      <c r="C1657" s="425"/>
      <c r="D1657" s="423"/>
      <c r="E1657" s="423"/>
      <c r="F1657" s="423"/>
      <c r="G1657" s="423"/>
      <c r="H1657" s="423"/>
      <c r="N1657" s="534"/>
    </row>
    <row r="1658" spans="1:14" x14ac:dyDescent="0.2">
      <c r="A1658" s="420"/>
      <c r="B1658" s="423"/>
      <c r="C1658" s="425"/>
      <c r="D1658" s="423"/>
      <c r="E1658" s="423"/>
      <c r="F1658" s="423"/>
      <c r="G1658" s="423"/>
      <c r="H1658" s="423"/>
      <c r="N1658" s="534"/>
    </row>
    <row r="1659" spans="1:14" x14ac:dyDescent="0.2">
      <c r="A1659" s="420"/>
      <c r="B1659" s="423"/>
      <c r="C1659" s="425"/>
      <c r="D1659" s="423"/>
      <c r="E1659" s="423"/>
      <c r="F1659" s="423"/>
      <c r="G1659" s="423"/>
      <c r="H1659" s="423"/>
      <c r="N1659" s="534"/>
    </row>
    <row r="1660" spans="1:14" x14ac:dyDescent="0.2">
      <c r="A1660" s="420"/>
      <c r="B1660" s="423"/>
      <c r="C1660" s="425"/>
      <c r="D1660" s="423"/>
      <c r="E1660" s="423"/>
      <c r="F1660" s="423"/>
      <c r="G1660" s="423"/>
      <c r="H1660" s="423"/>
      <c r="N1660" s="534"/>
    </row>
    <row r="1661" spans="1:14" x14ac:dyDescent="0.2">
      <c r="A1661" s="420"/>
      <c r="B1661" s="423"/>
      <c r="C1661" s="425"/>
      <c r="D1661" s="423"/>
      <c r="E1661" s="423"/>
      <c r="F1661" s="423"/>
      <c r="G1661" s="423"/>
      <c r="H1661" s="423"/>
      <c r="N1661" s="534"/>
    </row>
    <row r="1662" spans="1:14" x14ac:dyDescent="0.2">
      <c r="A1662" s="420"/>
      <c r="B1662" s="423"/>
      <c r="C1662" s="425"/>
      <c r="D1662" s="423"/>
      <c r="E1662" s="423"/>
      <c r="F1662" s="423"/>
      <c r="G1662" s="423"/>
      <c r="H1662" s="423"/>
      <c r="N1662" s="534"/>
    </row>
    <row r="1663" spans="1:14" x14ac:dyDescent="0.2">
      <c r="A1663" s="420"/>
      <c r="B1663" s="423"/>
      <c r="C1663" s="425"/>
      <c r="D1663" s="423"/>
      <c r="E1663" s="423"/>
      <c r="F1663" s="423"/>
      <c r="G1663" s="423"/>
      <c r="H1663" s="423"/>
      <c r="N1663" s="534"/>
    </row>
    <row r="1664" spans="1:14" x14ac:dyDescent="0.2">
      <c r="A1664" s="420"/>
      <c r="B1664" s="423"/>
      <c r="C1664" s="425"/>
      <c r="D1664" s="423"/>
      <c r="E1664" s="423"/>
      <c r="F1664" s="423"/>
      <c r="G1664" s="423"/>
      <c r="H1664" s="423"/>
      <c r="N1664" s="534"/>
    </row>
    <row r="1665" spans="1:14" x14ac:dyDescent="0.2">
      <c r="A1665" s="420"/>
      <c r="B1665" s="423"/>
      <c r="C1665" s="425"/>
      <c r="D1665" s="423"/>
      <c r="E1665" s="423"/>
      <c r="F1665" s="423"/>
      <c r="G1665" s="423"/>
      <c r="H1665" s="423"/>
      <c r="N1665" s="534"/>
    </row>
    <row r="1666" spans="1:14" x14ac:dyDescent="0.2">
      <c r="A1666" s="420"/>
      <c r="B1666" s="423"/>
      <c r="C1666" s="425"/>
      <c r="D1666" s="423"/>
      <c r="E1666" s="423"/>
      <c r="F1666" s="423"/>
      <c r="G1666" s="423"/>
      <c r="H1666" s="423"/>
      <c r="N1666" s="534"/>
    </row>
    <row r="1667" spans="1:14" x14ac:dyDescent="0.2">
      <c r="A1667" s="420"/>
      <c r="B1667" s="423"/>
      <c r="C1667" s="425"/>
      <c r="D1667" s="423"/>
      <c r="E1667" s="423"/>
      <c r="F1667" s="423"/>
      <c r="G1667" s="423"/>
      <c r="H1667" s="423"/>
      <c r="N1667" s="534"/>
    </row>
    <row r="1668" spans="1:14" x14ac:dyDescent="0.2">
      <c r="A1668" s="420"/>
      <c r="B1668" s="423"/>
      <c r="C1668" s="425"/>
      <c r="D1668" s="423"/>
      <c r="E1668" s="423"/>
      <c r="F1668" s="423"/>
      <c r="G1668" s="423"/>
      <c r="H1668" s="423"/>
      <c r="N1668" s="534"/>
    </row>
    <row r="1669" spans="1:14" x14ac:dyDescent="0.2">
      <c r="A1669" s="420"/>
      <c r="B1669" s="423"/>
      <c r="C1669" s="425"/>
      <c r="D1669" s="423"/>
      <c r="E1669" s="423"/>
      <c r="F1669" s="423"/>
      <c r="G1669" s="423"/>
      <c r="H1669" s="423"/>
      <c r="N1669" s="534"/>
    </row>
    <row r="1670" spans="1:14" x14ac:dyDescent="0.2">
      <c r="A1670" s="420"/>
      <c r="B1670" s="423"/>
      <c r="C1670" s="425"/>
      <c r="D1670" s="423"/>
      <c r="E1670" s="423"/>
      <c r="F1670" s="423"/>
      <c r="G1670" s="423"/>
      <c r="H1670" s="423"/>
      <c r="N1670" s="534"/>
    </row>
    <row r="1671" spans="1:14" x14ac:dyDescent="0.2">
      <c r="A1671" s="420"/>
      <c r="B1671" s="423"/>
      <c r="C1671" s="425"/>
      <c r="D1671" s="423"/>
      <c r="E1671" s="423"/>
      <c r="F1671" s="423"/>
      <c r="G1671" s="423"/>
      <c r="H1671" s="423"/>
      <c r="N1671" s="534"/>
    </row>
    <row r="1672" spans="1:14" x14ac:dyDescent="0.2">
      <c r="A1672" s="420"/>
      <c r="B1672" s="423"/>
      <c r="C1672" s="425"/>
      <c r="D1672" s="423"/>
      <c r="E1672" s="423"/>
      <c r="F1672" s="423"/>
      <c r="G1672" s="423"/>
      <c r="H1672" s="423"/>
      <c r="N1672" s="534"/>
    </row>
    <row r="1673" spans="1:14" x14ac:dyDescent="0.2">
      <c r="A1673" s="420"/>
      <c r="B1673" s="423"/>
      <c r="C1673" s="425"/>
      <c r="D1673" s="423"/>
      <c r="E1673" s="423"/>
      <c r="F1673" s="423"/>
      <c r="G1673" s="423"/>
      <c r="H1673" s="423"/>
      <c r="N1673" s="534"/>
    </row>
    <row r="1674" spans="1:14" x14ac:dyDescent="0.2">
      <c r="A1674" s="420"/>
      <c r="B1674" s="423"/>
      <c r="C1674" s="425"/>
      <c r="D1674" s="423"/>
      <c r="E1674" s="423"/>
      <c r="F1674" s="423"/>
      <c r="G1674" s="423"/>
      <c r="H1674" s="423"/>
      <c r="N1674" s="534"/>
    </row>
    <row r="1675" spans="1:14" x14ac:dyDescent="0.2">
      <c r="A1675" s="420"/>
      <c r="B1675" s="423"/>
      <c r="C1675" s="425"/>
      <c r="D1675" s="423"/>
      <c r="E1675" s="423"/>
      <c r="F1675" s="423"/>
      <c r="G1675" s="423"/>
      <c r="H1675" s="423"/>
      <c r="N1675" s="534"/>
    </row>
    <row r="1676" spans="1:14" x14ac:dyDescent="0.2">
      <c r="A1676" s="420"/>
      <c r="B1676" s="423"/>
      <c r="C1676" s="425"/>
      <c r="D1676" s="423"/>
      <c r="E1676" s="423"/>
      <c r="F1676" s="423"/>
      <c r="G1676" s="423"/>
      <c r="H1676" s="423"/>
      <c r="N1676" s="534"/>
    </row>
    <row r="1677" spans="1:14" x14ac:dyDescent="0.2">
      <c r="A1677" s="420"/>
      <c r="B1677" s="423"/>
      <c r="C1677" s="425"/>
      <c r="D1677" s="423"/>
      <c r="E1677" s="423"/>
      <c r="F1677" s="423"/>
      <c r="G1677" s="423"/>
      <c r="H1677" s="423"/>
      <c r="N1677" s="534"/>
    </row>
    <row r="1678" spans="1:14" x14ac:dyDescent="0.2">
      <c r="A1678" s="420"/>
      <c r="B1678" s="423"/>
      <c r="C1678" s="425"/>
      <c r="D1678" s="423"/>
      <c r="E1678" s="423"/>
      <c r="F1678" s="423"/>
      <c r="G1678" s="423"/>
      <c r="H1678" s="423"/>
      <c r="N1678" s="534"/>
    </row>
    <row r="1679" spans="1:14" x14ac:dyDescent="0.2">
      <c r="A1679" s="420"/>
      <c r="B1679" s="423"/>
      <c r="C1679" s="425"/>
      <c r="D1679" s="423"/>
      <c r="E1679" s="423"/>
      <c r="F1679" s="423"/>
      <c r="G1679" s="423"/>
      <c r="H1679" s="423"/>
      <c r="N1679" s="534"/>
    </row>
    <row r="1680" spans="1:14" x14ac:dyDescent="0.2">
      <c r="A1680" s="420"/>
      <c r="B1680" s="423"/>
      <c r="C1680" s="425"/>
      <c r="D1680" s="423"/>
      <c r="E1680" s="423"/>
      <c r="F1680" s="423"/>
      <c r="G1680" s="423"/>
      <c r="H1680" s="423"/>
      <c r="N1680" s="534"/>
    </row>
    <row r="1681" spans="1:14" x14ac:dyDescent="0.2">
      <c r="A1681" s="420"/>
      <c r="B1681" s="423"/>
      <c r="C1681" s="425"/>
      <c r="D1681" s="423"/>
      <c r="E1681" s="423"/>
      <c r="F1681" s="423"/>
      <c r="G1681" s="423"/>
      <c r="H1681" s="423"/>
      <c r="N1681" s="534"/>
    </row>
    <row r="1682" spans="1:14" x14ac:dyDescent="0.2">
      <c r="A1682" s="420"/>
      <c r="B1682" s="423"/>
      <c r="C1682" s="425"/>
      <c r="D1682" s="423"/>
      <c r="E1682" s="423"/>
      <c r="F1682" s="423"/>
      <c r="G1682" s="423"/>
      <c r="H1682" s="423"/>
      <c r="N1682" s="534"/>
    </row>
    <row r="1683" spans="1:14" x14ac:dyDescent="0.2">
      <c r="A1683" s="420"/>
      <c r="B1683" s="423"/>
      <c r="C1683" s="425"/>
      <c r="D1683" s="423"/>
      <c r="E1683" s="423"/>
      <c r="F1683" s="423"/>
      <c r="G1683" s="423"/>
      <c r="H1683" s="423"/>
      <c r="N1683" s="534"/>
    </row>
    <row r="1684" spans="1:14" x14ac:dyDescent="0.2">
      <c r="A1684" s="420"/>
      <c r="B1684" s="423"/>
      <c r="C1684" s="425"/>
      <c r="D1684" s="423"/>
      <c r="E1684" s="423"/>
      <c r="F1684" s="423"/>
      <c r="G1684" s="423"/>
      <c r="H1684" s="423"/>
      <c r="N1684" s="534"/>
    </row>
    <row r="1685" spans="1:14" x14ac:dyDescent="0.2">
      <c r="A1685" s="420"/>
      <c r="B1685" s="423"/>
      <c r="C1685" s="425"/>
      <c r="D1685" s="423"/>
      <c r="E1685" s="423"/>
      <c r="F1685" s="423"/>
      <c r="G1685" s="423"/>
      <c r="H1685" s="423"/>
      <c r="N1685" s="534"/>
    </row>
    <row r="1686" spans="1:14" x14ac:dyDescent="0.2">
      <c r="A1686" s="420"/>
      <c r="B1686" s="423"/>
      <c r="C1686" s="425"/>
      <c r="D1686" s="423"/>
      <c r="E1686" s="423"/>
      <c r="F1686" s="423"/>
      <c r="G1686" s="423"/>
      <c r="H1686" s="423"/>
      <c r="N1686" s="534"/>
    </row>
    <row r="1687" spans="1:14" x14ac:dyDescent="0.2">
      <c r="A1687" s="420"/>
      <c r="B1687" s="423"/>
      <c r="C1687" s="425"/>
      <c r="D1687" s="423"/>
      <c r="E1687" s="423"/>
      <c r="F1687" s="423"/>
      <c r="G1687" s="423"/>
      <c r="H1687" s="423"/>
      <c r="N1687" s="534"/>
    </row>
    <row r="1688" spans="1:14" x14ac:dyDescent="0.2">
      <c r="A1688" s="420"/>
      <c r="B1688" s="423"/>
      <c r="C1688" s="425"/>
      <c r="D1688" s="423"/>
      <c r="E1688" s="423"/>
      <c r="F1688" s="423"/>
      <c r="G1688" s="423"/>
      <c r="H1688" s="423"/>
      <c r="N1688" s="534"/>
    </row>
    <row r="1689" spans="1:14" x14ac:dyDescent="0.2">
      <c r="A1689" s="420"/>
      <c r="B1689" s="423"/>
      <c r="C1689" s="425"/>
      <c r="D1689" s="423"/>
      <c r="E1689" s="423"/>
      <c r="F1689" s="423"/>
      <c r="G1689" s="423"/>
      <c r="H1689" s="423"/>
      <c r="N1689" s="534"/>
    </row>
    <row r="1690" spans="1:14" x14ac:dyDescent="0.2">
      <c r="A1690" s="420"/>
      <c r="B1690" s="423"/>
      <c r="C1690" s="425"/>
      <c r="D1690" s="423"/>
      <c r="E1690" s="423"/>
      <c r="F1690" s="423"/>
      <c r="G1690" s="423"/>
      <c r="H1690" s="423"/>
      <c r="N1690" s="534"/>
    </row>
    <row r="1691" spans="1:14" x14ac:dyDescent="0.2">
      <c r="A1691" s="420"/>
      <c r="B1691" s="423"/>
      <c r="C1691" s="425"/>
      <c r="D1691" s="423"/>
      <c r="E1691" s="423"/>
      <c r="F1691" s="423"/>
      <c r="G1691" s="423"/>
      <c r="H1691" s="423"/>
      <c r="N1691" s="534"/>
    </row>
    <row r="1692" spans="1:14" x14ac:dyDescent="0.2">
      <c r="A1692" s="420"/>
      <c r="B1692" s="423"/>
      <c r="C1692" s="425"/>
      <c r="D1692" s="423"/>
      <c r="E1692" s="423"/>
      <c r="F1692" s="423"/>
      <c r="G1692" s="423"/>
      <c r="H1692" s="423"/>
      <c r="N1692" s="534"/>
    </row>
    <row r="1693" spans="1:14" x14ac:dyDescent="0.2">
      <c r="A1693" s="420"/>
      <c r="B1693" s="423"/>
      <c r="C1693" s="425"/>
      <c r="D1693" s="423"/>
      <c r="E1693" s="423"/>
      <c r="F1693" s="423"/>
      <c r="G1693" s="423"/>
      <c r="H1693" s="423"/>
      <c r="N1693" s="534"/>
    </row>
    <row r="1694" spans="1:14" x14ac:dyDescent="0.2">
      <c r="A1694" s="420"/>
      <c r="B1694" s="423"/>
      <c r="C1694" s="425"/>
      <c r="D1694" s="423"/>
      <c r="E1694" s="423"/>
      <c r="F1694" s="423"/>
      <c r="G1694" s="423"/>
      <c r="H1694" s="423"/>
      <c r="N1694" s="534"/>
    </row>
    <row r="1695" spans="1:14" x14ac:dyDescent="0.2">
      <c r="A1695" s="420"/>
      <c r="B1695" s="423"/>
      <c r="C1695" s="425"/>
      <c r="D1695" s="423"/>
      <c r="E1695" s="423"/>
      <c r="F1695" s="423"/>
      <c r="G1695" s="423"/>
      <c r="H1695" s="423"/>
      <c r="N1695" s="534"/>
    </row>
    <row r="1696" spans="1:14" x14ac:dyDescent="0.2">
      <c r="A1696" s="420"/>
      <c r="B1696" s="423"/>
      <c r="C1696" s="425"/>
      <c r="D1696" s="423"/>
      <c r="E1696" s="423"/>
      <c r="F1696" s="423"/>
      <c r="G1696" s="423"/>
      <c r="H1696" s="423"/>
      <c r="N1696" s="534"/>
    </row>
    <row r="1697" spans="1:14" x14ac:dyDescent="0.2">
      <c r="A1697" s="420"/>
      <c r="B1697" s="423"/>
      <c r="C1697" s="425"/>
      <c r="D1697" s="423"/>
      <c r="E1697" s="423"/>
      <c r="F1697" s="423"/>
      <c r="G1697" s="423"/>
      <c r="H1697" s="423"/>
      <c r="N1697" s="534"/>
    </row>
    <row r="1698" spans="1:14" x14ac:dyDescent="0.2">
      <c r="A1698" s="420"/>
      <c r="B1698" s="423"/>
      <c r="C1698" s="425"/>
      <c r="D1698" s="423"/>
      <c r="E1698" s="423"/>
      <c r="F1698" s="423"/>
      <c r="G1698" s="423"/>
      <c r="H1698" s="423"/>
      <c r="N1698" s="534"/>
    </row>
    <row r="1699" spans="1:14" x14ac:dyDescent="0.2">
      <c r="A1699" s="420"/>
      <c r="B1699" s="423"/>
      <c r="C1699" s="425"/>
      <c r="D1699" s="423"/>
      <c r="E1699" s="423"/>
      <c r="F1699" s="423"/>
      <c r="G1699" s="423"/>
      <c r="H1699" s="423"/>
      <c r="N1699" s="534"/>
    </row>
    <row r="1700" spans="1:14" x14ac:dyDescent="0.2">
      <c r="A1700" s="420"/>
      <c r="B1700" s="423"/>
      <c r="C1700" s="425"/>
      <c r="D1700" s="423"/>
      <c r="E1700" s="423"/>
      <c r="F1700" s="423"/>
      <c r="G1700" s="423"/>
      <c r="H1700" s="423"/>
      <c r="N1700" s="534"/>
    </row>
    <row r="1701" spans="1:14" x14ac:dyDescent="0.2">
      <c r="A1701" s="420"/>
      <c r="B1701" s="423"/>
      <c r="C1701" s="425"/>
      <c r="D1701" s="423"/>
      <c r="E1701" s="423"/>
      <c r="F1701" s="423"/>
      <c r="G1701" s="423"/>
      <c r="H1701" s="423"/>
      <c r="N1701" s="534"/>
    </row>
    <row r="1702" spans="1:14" x14ac:dyDescent="0.2">
      <c r="A1702" s="420"/>
      <c r="B1702" s="423"/>
      <c r="C1702" s="425"/>
      <c r="D1702" s="423"/>
      <c r="E1702" s="423"/>
      <c r="F1702" s="423"/>
      <c r="G1702" s="423"/>
      <c r="H1702" s="423"/>
      <c r="N1702" s="534"/>
    </row>
    <row r="1703" spans="1:14" x14ac:dyDescent="0.2">
      <c r="A1703" s="420"/>
      <c r="B1703" s="423"/>
      <c r="C1703" s="425"/>
      <c r="D1703" s="423"/>
      <c r="E1703" s="423"/>
      <c r="F1703" s="423"/>
      <c r="G1703" s="423"/>
      <c r="H1703" s="423"/>
      <c r="N1703" s="534"/>
    </row>
    <row r="1704" spans="1:14" x14ac:dyDescent="0.2">
      <c r="A1704" s="420"/>
      <c r="B1704" s="423"/>
      <c r="C1704" s="425"/>
      <c r="D1704" s="423"/>
      <c r="E1704" s="423"/>
      <c r="F1704" s="423"/>
      <c r="G1704" s="423"/>
      <c r="H1704" s="423"/>
      <c r="N1704" s="534"/>
    </row>
    <row r="1705" spans="1:14" x14ac:dyDescent="0.2">
      <c r="A1705" s="420"/>
      <c r="B1705" s="423"/>
      <c r="C1705" s="425"/>
      <c r="D1705" s="423"/>
      <c r="E1705" s="423"/>
      <c r="F1705" s="423"/>
      <c r="G1705" s="423"/>
      <c r="H1705" s="423"/>
      <c r="N1705" s="534"/>
    </row>
    <row r="1706" spans="1:14" x14ac:dyDescent="0.2">
      <c r="A1706" s="420"/>
      <c r="B1706" s="423"/>
      <c r="C1706" s="425"/>
      <c r="D1706" s="423"/>
      <c r="E1706" s="423"/>
      <c r="F1706" s="423"/>
      <c r="G1706" s="423"/>
      <c r="H1706" s="423"/>
      <c r="N1706" s="534"/>
    </row>
    <row r="1707" spans="1:14" x14ac:dyDescent="0.2">
      <c r="A1707" s="420"/>
      <c r="B1707" s="423"/>
      <c r="C1707" s="425"/>
      <c r="D1707" s="423"/>
      <c r="E1707" s="423"/>
      <c r="F1707" s="423"/>
      <c r="G1707" s="423"/>
      <c r="H1707" s="423"/>
      <c r="N1707" s="534"/>
    </row>
    <row r="1708" spans="1:14" x14ac:dyDescent="0.2">
      <c r="A1708" s="420"/>
      <c r="B1708" s="423"/>
      <c r="C1708" s="425"/>
      <c r="D1708" s="423"/>
      <c r="E1708" s="423"/>
      <c r="F1708" s="423"/>
      <c r="G1708" s="423"/>
      <c r="H1708" s="423"/>
      <c r="N1708" s="534"/>
    </row>
    <row r="1709" spans="1:14" x14ac:dyDescent="0.2">
      <c r="A1709" s="420"/>
      <c r="B1709" s="423"/>
      <c r="C1709" s="425"/>
      <c r="D1709" s="423"/>
      <c r="E1709" s="423"/>
      <c r="F1709" s="423"/>
      <c r="G1709" s="423"/>
      <c r="H1709" s="423"/>
      <c r="N1709" s="534"/>
    </row>
    <row r="1710" spans="1:14" x14ac:dyDescent="0.2">
      <c r="A1710" s="420"/>
      <c r="B1710" s="423"/>
      <c r="C1710" s="425"/>
      <c r="D1710" s="423"/>
      <c r="E1710" s="423"/>
      <c r="F1710" s="423"/>
      <c r="G1710" s="423"/>
      <c r="H1710" s="423"/>
      <c r="N1710" s="534"/>
    </row>
    <row r="1711" spans="1:14" x14ac:dyDescent="0.2">
      <c r="A1711" s="420"/>
      <c r="B1711" s="423"/>
      <c r="C1711" s="425"/>
      <c r="D1711" s="423"/>
      <c r="E1711" s="423"/>
      <c r="F1711" s="423"/>
      <c r="G1711" s="423"/>
      <c r="H1711" s="423"/>
      <c r="N1711" s="534"/>
    </row>
    <row r="1712" spans="1:14" x14ac:dyDescent="0.2">
      <c r="A1712" s="420"/>
      <c r="B1712" s="423"/>
      <c r="C1712" s="425"/>
      <c r="D1712" s="423"/>
      <c r="E1712" s="423"/>
      <c r="F1712" s="423"/>
      <c r="G1712" s="423"/>
      <c r="H1712" s="423"/>
      <c r="N1712" s="534"/>
    </row>
    <row r="1713" spans="1:14" x14ac:dyDescent="0.2">
      <c r="A1713" s="420"/>
      <c r="B1713" s="423"/>
      <c r="C1713" s="425"/>
      <c r="D1713" s="423"/>
      <c r="E1713" s="423"/>
      <c r="F1713" s="423"/>
      <c r="G1713" s="423"/>
      <c r="H1713" s="423"/>
      <c r="N1713" s="534"/>
    </row>
    <row r="1714" spans="1:14" x14ac:dyDescent="0.2">
      <c r="A1714" s="420"/>
      <c r="B1714" s="423"/>
      <c r="C1714" s="425"/>
      <c r="D1714" s="423"/>
      <c r="E1714" s="423"/>
      <c r="F1714" s="423"/>
      <c r="G1714" s="423"/>
      <c r="H1714" s="423"/>
      <c r="N1714" s="534"/>
    </row>
    <row r="1715" spans="1:14" x14ac:dyDescent="0.2">
      <c r="A1715" s="420"/>
      <c r="B1715" s="423"/>
      <c r="C1715" s="425"/>
      <c r="D1715" s="423"/>
      <c r="E1715" s="423"/>
      <c r="F1715" s="423"/>
      <c r="G1715" s="423"/>
      <c r="H1715" s="423"/>
      <c r="N1715" s="534"/>
    </row>
    <row r="1716" spans="1:14" x14ac:dyDescent="0.2">
      <c r="A1716" s="420"/>
      <c r="B1716" s="423"/>
      <c r="C1716" s="425"/>
      <c r="D1716" s="423"/>
      <c r="E1716" s="423"/>
      <c r="F1716" s="423"/>
      <c r="G1716" s="423"/>
      <c r="H1716" s="423"/>
      <c r="N1716" s="534"/>
    </row>
    <row r="1717" spans="1:14" x14ac:dyDescent="0.2">
      <c r="A1717" s="420"/>
      <c r="B1717" s="423"/>
      <c r="C1717" s="425"/>
      <c r="D1717" s="423"/>
      <c r="E1717" s="423"/>
      <c r="F1717" s="423"/>
      <c r="G1717" s="423"/>
      <c r="H1717" s="423"/>
      <c r="N1717" s="534"/>
    </row>
    <row r="1718" spans="1:14" x14ac:dyDescent="0.2">
      <c r="A1718" s="420"/>
      <c r="B1718" s="423"/>
      <c r="C1718" s="425"/>
      <c r="D1718" s="423"/>
      <c r="E1718" s="423"/>
      <c r="F1718" s="423"/>
      <c r="G1718" s="423"/>
      <c r="H1718" s="423"/>
      <c r="N1718" s="534"/>
    </row>
    <row r="1719" spans="1:14" x14ac:dyDescent="0.2">
      <c r="A1719" s="420"/>
      <c r="B1719" s="423"/>
      <c r="C1719" s="425"/>
      <c r="D1719" s="423"/>
      <c r="E1719" s="423"/>
      <c r="F1719" s="423"/>
      <c r="G1719" s="423"/>
      <c r="H1719" s="423"/>
      <c r="N1719" s="534"/>
    </row>
    <row r="1720" spans="1:14" x14ac:dyDescent="0.2">
      <c r="A1720" s="420"/>
      <c r="B1720" s="423"/>
      <c r="C1720" s="425"/>
      <c r="D1720" s="423"/>
      <c r="E1720" s="423"/>
      <c r="F1720" s="423"/>
      <c r="G1720" s="423"/>
      <c r="H1720" s="423"/>
      <c r="N1720" s="534"/>
    </row>
    <row r="1721" spans="1:14" x14ac:dyDescent="0.2">
      <c r="A1721" s="420"/>
      <c r="B1721" s="423"/>
      <c r="C1721" s="425"/>
      <c r="D1721" s="423"/>
      <c r="E1721" s="423"/>
      <c r="F1721" s="423"/>
      <c r="G1721" s="423"/>
      <c r="H1721" s="423"/>
      <c r="N1721" s="534"/>
    </row>
    <row r="1722" spans="1:14" x14ac:dyDescent="0.2">
      <c r="A1722" s="420"/>
      <c r="B1722" s="423"/>
      <c r="C1722" s="425"/>
      <c r="D1722" s="423"/>
      <c r="E1722" s="423"/>
      <c r="F1722" s="423"/>
      <c r="G1722" s="423"/>
      <c r="H1722" s="423"/>
      <c r="N1722" s="534"/>
    </row>
    <row r="1723" spans="1:14" x14ac:dyDescent="0.2">
      <c r="A1723" s="420"/>
      <c r="B1723" s="423"/>
      <c r="C1723" s="425"/>
      <c r="D1723" s="423"/>
      <c r="E1723" s="423"/>
      <c r="F1723" s="423"/>
      <c r="G1723" s="423"/>
      <c r="H1723" s="423"/>
      <c r="N1723" s="534"/>
    </row>
    <row r="1724" spans="1:14" x14ac:dyDescent="0.2">
      <c r="A1724" s="420"/>
      <c r="B1724" s="423"/>
      <c r="C1724" s="425"/>
      <c r="D1724" s="423"/>
      <c r="E1724" s="423"/>
      <c r="F1724" s="423"/>
      <c r="G1724" s="423"/>
      <c r="H1724" s="423"/>
      <c r="N1724" s="534"/>
    </row>
    <row r="1725" spans="1:14" x14ac:dyDescent="0.2">
      <c r="A1725" s="420"/>
      <c r="B1725" s="423"/>
      <c r="C1725" s="425"/>
      <c r="D1725" s="423"/>
      <c r="E1725" s="423"/>
      <c r="F1725" s="423"/>
      <c r="G1725" s="423"/>
      <c r="H1725" s="423"/>
      <c r="N1725" s="534"/>
    </row>
    <row r="1726" spans="1:14" x14ac:dyDescent="0.2">
      <c r="A1726" s="420"/>
      <c r="B1726" s="423"/>
      <c r="C1726" s="425"/>
      <c r="D1726" s="423"/>
      <c r="E1726" s="423"/>
      <c r="F1726" s="423"/>
      <c r="G1726" s="423"/>
      <c r="H1726" s="423"/>
      <c r="N1726" s="534"/>
    </row>
    <row r="1727" spans="1:14" x14ac:dyDescent="0.2">
      <c r="A1727" s="420"/>
      <c r="B1727" s="423"/>
      <c r="C1727" s="425"/>
      <c r="D1727" s="423"/>
      <c r="E1727" s="423"/>
      <c r="F1727" s="423"/>
      <c r="G1727" s="423"/>
      <c r="H1727" s="423"/>
      <c r="N1727" s="534"/>
    </row>
    <row r="1728" spans="1:14" x14ac:dyDescent="0.2">
      <c r="A1728" s="420"/>
      <c r="B1728" s="423"/>
      <c r="C1728" s="425"/>
      <c r="D1728" s="423"/>
      <c r="E1728" s="423"/>
      <c r="F1728" s="423"/>
      <c r="G1728" s="423"/>
      <c r="H1728" s="423"/>
      <c r="N1728" s="534"/>
    </row>
    <row r="1729" spans="1:14" x14ac:dyDescent="0.2">
      <c r="A1729" s="420"/>
      <c r="B1729" s="423"/>
      <c r="C1729" s="425"/>
      <c r="D1729" s="423"/>
      <c r="E1729" s="423"/>
      <c r="F1729" s="423"/>
      <c r="G1729" s="423"/>
      <c r="H1729" s="423"/>
      <c r="N1729" s="534"/>
    </row>
    <row r="1730" spans="1:14" x14ac:dyDescent="0.2">
      <c r="A1730" s="420"/>
      <c r="B1730" s="423"/>
      <c r="C1730" s="425"/>
      <c r="D1730" s="423"/>
      <c r="E1730" s="423"/>
      <c r="F1730" s="423"/>
      <c r="G1730" s="423"/>
      <c r="H1730" s="423"/>
      <c r="N1730" s="534"/>
    </row>
    <row r="1731" spans="1:14" x14ac:dyDescent="0.2">
      <c r="A1731" s="420"/>
      <c r="B1731" s="423"/>
      <c r="C1731" s="425"/>
      <c r="D1731" s="423"/>
      <c r="E1731" s="423"/>
      <c r="F1731" s="423"/>
      <c r="G1731" s="423"/>
      <c r="H1731" s="423"/>
      <c r="N1731" s="534"/>
    </row>
    <row r="1732" spans="1:14" x14ac:dyDescent="0.2">
      <c r="A1732" s="420"/>
      <c r="B1732" s="423"/>
      <c r="C1732" s="425"/>
      <c r="D1732" s="423"/>
      <c r="E1732" s="423"/>
      <c r="F1732" s="423"/>
      <c r="G1732" s="423"/>
      <c r="H1732" s="423"/>
      <c r="N1732" s="534"/>
    </row>
    <row r="1733" spans="1:14" x14ac:dyDescent="0.2">
      <c r="A1733" s="420"/>
      <c r="B1733" s="423"/>
      <c r="C1733" s="425"/>
      <c r="D1733" s="423"/>
      <c r="E1733" s="423"/>
      <c r="F1733" s="423"/>
      <c r="G1733" s="423"/>
      <c r="H1733" s="423"/>
      <c r="N1733" s="534"/>
    </row>
    <row r="1734" spans="1:14" x14ac:dyDescent="0.2">
      <c r="A1734" s="420"/>
      <c r="B1734" s="423"/>
      <c r="C1734" s="425"/>
      <c r="D1734" s="423"/>
      <c r="E1734" s="423"/>
      <c r="F1734" s="423"/>
      <c r="G1734" s="423"/>
      <c r="H1734" s="423"/>
      <c r="N1734" s="534"/>
    </row>
    <row r="1735" spans="1:14" x14ac:dyDescent="0.2">
      <c r="A1735" s="420"/>
      <c r="B1735" s="423"/>
      <c r="C1735" s="425"/>
      <c r="D1735" s="423"/>
      <c r="E1735" s="423"/>
      <c r="F1735" s="423"/>
      <c r="G1735" s="423"/>
      <c r="H1735" s="423"/>
      <c r="N1735" s="534"/>
    </row>
    <row r="1736" spans="1:14" x14ac:dyDescent="0.2">
      <c r="A1736" s="420"/>
      <c r="B1736" s="423"/>
      <c r="C1736" s="425"/>
      <c r="D1736" s="423"/>
      <c r="E1736" s="423"/>
      <c r="F1736" s="423"/>
      <c r="G1736" s="423"/>
      <c r="H1736" s="423"/>
      <c r="N1736" s="534"/>
    </row>
    <row r="1737" spans="1:14" x14ac:dyDescent="0.2">
      <c r="A1737" s="420"/>
      <c r="B1737" s="423"/>
      <c r="C1737" s="425"/>
      <c r="D1737" s="423"/>
      <c r="E1737" s="423"/>
      <c r="F1737" s="423"/>
      <c r="G1737" s="423"/>
      <c r="H1737" s="423"/>
      <c r="N1737" s="534"/>
    </row>
    <row r="1738" spans="1:14" x14ac:dyDescent="0.2">
      <c r="A1738" s="420"/>
      <c r="B1738" s="423"/>
      <c r="C1738" s="425"/>
      <c r="D1738" s="423"/>
      <c r="E1738" s="423"/>
      <c r="F1738" s="423"/>
      <c r="G1738" s="423"/>
      <c r="H1738" s="423"/>
      <c r="N1738" s="534"/>
    </row>
    <row r="1739" spans="1:14" x14ac:dyDescent="0.2">
      <c r="A1739" s="420"/>
      <c r="B1739" s="423"/>
      <c r="C1739" s="425"/>
      <c r="D1739" s="423"/>
      <c r="E1739" s="423"/>
      <c r="F1739" s="423"/>
      <c r="G1739" s="423"/>
      <c r="H1739" s="423"/>
      <c r="N1739" s="534"/>
    </row>
    <row r="1740" spans="1:14" x14ac:dyDescent="0.2">
      <c r="A1740" s="420"/>
      <c r="B1740" s="423"/>
      <c r="C1740" s="425"/>
      <c r="D1740" s="423"/>
      <c r="E1740" s="423"/>
      <c r="F1740" s="423"/>
      <c r="G1740" s="423"/>
      <c r="H1740" s="423"/>
      <c r="N1740" s="534"/>
    </row>
    <row r="1741" spans="1:14" x14ac:dyDescent="0.2">
      <c r="A1741" s="420"/>
      <c r="B1741" s="423"/>
      <c r="C1741" s="425"/>
      <c r="D1741" s="423"/>
      <c r="E1741" s="423"/>
      <c r="F1741" s="423"/>
      <c r="G1741" s="423"/>
      <c r="H1741" s="423"/>
      <c r="N1741" s="534"/>
    </row>
    <row r="1742" spans="1:14" x14ac:dyDescent="0.2">
      <c r="A1742" s="420"/>
      <c r="B1742" s="423"/>
      <c r="C1742" s="425"/>
      <c r="D1742" s="423"/>
      <c r="E1742" s="423"/>
      <c r="F1742" s="423"/>
      <c r="G1742" s="423"/>
      <c r="H1742" s="423"/>
      <c r="N1742" s="534"/>
    </row>
    <row r="1743" spans="1:14" x14ac:dyDescent="0.2">
      <c r="A1743" s="420"/>
      <c r="B1743" s="423"/>
      <c r="C1743" s="425"/>
      <c r="D1743" s="423"/>
      <c r="E1743" s="423"/>
      <c r="F1743" s="423"/>
      <c r="G1743" s="423"/>
      <c r="H1743" s="423"/>
      <c r="N1743" s="534"/>
    </row>
    <row r="1744" spans="1:14" x14ac:dyDescent="0.2">
      <c r="A1744" s="420"/>
      <c r="B1744" s="423"/>
      <c r="C1744" s="425"/>
      <c r="D1744" s="423"/>
      <c r="E1744" s="423"/>
      <c r="F1744" s="423"/>
      <c r="G1744" s="423"/>
      <c r="H1744" s="423"/>
      <c r="N1744" s="534"/>
    </row>
    <row r="1745" spans="1:14" x14ac:dyDescent="0.2">
      <c r="A1745" s="420"/>
      <c r="B1745" s="423"/>
      <c r="C1745" s="425"/>
      <c r="D1745" s="423"/>
      <c r="E1745" s="423"/>
      <c r="F1745" s="423"/>
      <c r="G1745" s="423"/>
      <c r="H1745" s="423"/>
      <c r="N1745" s="534"/>
    </row>
    <row r="1746" spans="1:14" x14ac:dyDescent="0.2">
      <c r="A1746" s="420"/>
      <c r="B1746" s="423"/>
      <c r="C1746" s="425"/>
      <c r="D1746" s="423"/>
      <c r="E1746" s="423"/>
      <c r="F1746" s="423"/>
      <c r="G1746" s="423"/>
      <c r="H1746" s="423"/>
      <c r="N1746" s="534"/>
    </row>
    <row r="1747" spans="1:14" x14ac:dyDescent="0.2">
      <c r="A1747" s="420"/>
      <c r="B1747" s="423"/>
      <c r="C1747" s="425"/>
      <c r="D1747" s="423"/>
      <c r="E1747" s="423"/>
      <c r="F1747" s="423"/>
      <c r="G1747" s="423"/>
      <c r="H1747" s="423"/>
      <c r="N1747" s="534"/>
    </row>
    <row r="1748" spans="1:14" x14ac:dyDescent="0.2">
      <c r="A1748" s="420"/>
      <c r="B1748" s="423"/>
      <c r="C1748" s="425"/>
      <c r="D1748" s="423"/>
      <c r="E1748" s="423"/>
      <c r="F1748" s="423"/>
      <c r="G1748" s="423"/>
      <c r="H1748" s="423"/>
      <c r="N1748" s="534"/>
    </row>
    <row r="1749" spans="1:14" x14ac:dyDescent="0.2">
      <c r="A1749" s="420"/>
      <c r="B1749" s="423"/>
      <c r="C1749" s="425"/>
      <c r="D1749" s="423"/>
      <c r="E1749" s="423"/>
      <c r="F1749" s="423"/>
      <c r="G1749" s="423"/>
      <c r="H1749" s="423"/>
      <c r="N1749" s="534"/>
    </row>
    <row r="1750" spans="1:14" x14ac:dyDescent="0.2">
      <c r="A1750" s="420"/>
      <c r="B1750" s="423"/>
      <c r="C1750" s="425"/>
      <c r="D1750" s="423"/>
      <c r="E1750" s="423"/>
      <c r="F1750" s="423"/>
      <c r="G1750" s="423"/>
      <c r="H1750" s="423"/>
      <c r="N1750" s="534"/>
    </row>
    <row r="1751" spans="1:14" x14ac:dyDescent="0.2">
      <c r="A1751" s="420"/>
      <c r="B1751" s="423"/>
      <c r="C1751" s="425"/>
      <c r="D1751" s="423"/>
      <c r="E1751" s="423"/>
      <c r="F1751" s="423"/>
      <c r="G1751" s="423"/>
      <c r="H1751" s="423"/>
      <c r="N1751" s="534"/>
    </row>
    <row r="1752" spans="1:14" x14ac:dyDescent="0.2">
      <c r="A1752" s="420"/>
      <c r="B1752" s="423"/>
      <c r="C1752" s="425"/>
      <c r="D1752" s="423"/>
      <c r="E1752" s="423"/>
      <c r="F1752" s="423"/>
      <c r="G1752" s="423"/>
      <c r="H1752" s="423"/>
      <c r="N1752" s="534"/>
    </row>
    <row r="1753" spans="1:14" x14ac:dyDescent="0.2">
      <c r="A1753" s="420"/>
      <c r="B1753" s="423"/>
      <c r="C1753" s="425"/>
      <c r="D1753" s="423"/>
      <c r="E1753" s="423"/>
      <c r="F1753" s="423"/>
      <c r="G1753" s="423"/>
      <c r="H1753" s="423"/>
      <c r="N1753" s="534"/>
    </row>
    <row r="1754" spans="1:14" x14ac:dyDescent="0.2">
      <c r="A1754" s="420"/>
      <c r="B1754" s="423"/>
      <c r="C1754" s="425"/>
      <c r="D1754" s="423"/>
      <c r="E1754" s="423"/>
      <c r="F1754" s="423"/>
      <c r="G1754" s="423"/>
      <c r="H1754" s="423"/>
      <c r="N1754" s="534"/>
    </row>
    <row r="1755" spans="1:14" x14ac:dyDescent="0.2">
      <c r="A1755" s="420"/>
      <c r="B1755" s="423"/>
      <c r="C1755" s="425"/>
      <c r="D1755" s="423"/>
      <c r="E1755" s="423"/>
      <c r="F1755" s="423"/>
      <c r="G1755" s="423"/>
      <c r="H1755" s="423"/>
      <c r="N1755" s="534"/>
    </row>
    <row r="1756" spans="1:14" x14ac:dyDescent="0.2">
      <c r="A1756" s="420"/>
      <c r="B1756" s="423"/>
      <c r="C1756" s="425"/>
      <c r="D1756" s="423"/>
      <c r="E1756" s="423"/>
      <c r="F1756" s="423"/>
      <c r="G1756" s="423"/>
      <c r="H1756" s="423"/>
      <c r="N1756" s="534"/>
    </row>
    <row r="1757" spans="1:14" x14ac:dyDescent="0.2">
      <c r="A1757" s="420"/>
      <c r="B1757" s="423"/>
      <c r="C1757" s="425"/>
      <c r="D1757" s="423"/>
      <c r="E1757" s="423"/>
      <c r="F1757" s="423"/>
      <c r="G1757" s="423"/>
      <c r="H1757" s="423"/>
      <c r="N1757" s="534"/>
    </row>
    <row r="1758" spans="1:14" x14ac:dyDescent="0.2">
      <c r="A1758" s="420"/>
      <c r="B1758" s="423"/>
      <c r="C1758" s="425"/>
      <c r="D1758" s="423"/>
      <c r="E1758" s="423"/>
      <c r="F1758" s="423"/>
      <c r="G1758" s="423"/>
      <c r="H1758" s="423"/>
      <c r="N1758" s="534"/>
    </row>
    <row r="1759" spans="1:14" x14ac:dyDescent="0.2">
      <c r="A1759" s="420"/>
      <c r="B1759" s="423"/>
      <c r="C1759" s="425"/>
      <c r="D1759" s="423"/>
      <c r="E1759" s="423"/>
      <c r="F1759" s="423"/>
      <c r="G1759" s="423"/>
      <c r="H1759" s="423"/>
      <c r="N1759" s="534"/>
    </row>
    <row r="1760" spans="1:14" x14ac:dyDescent="0.2">
      <c r="A1760" s="420"/>
      <c r="B1760" s="423"/>
      <c r="C1760" s="425"/>
      <c r="D1760" s="423"/>
      <c r="E1760" s="423"/>
      <c r="F1760" s="423"/>
      <c r="G1760" s="423"/>
      <c r="H1760" s="423"/>
      <c r="N1760" s="534"/>
    </row>
    <row r="1761" spans="1:14" x14ac:dyDescent="0.2">
      <c r="A1761" s="420"/>
      <c r="B1761" s="423"/>
      <c r="C1761" s="425"/>
      <c r="D1761" s="423"/>
      <c r="E1761" s="423"/>
      <c r="F1761" s="423"/>
      <c r="G1761" s="423"/>
      <c r="H1761" s="423"/>
      <c r="N1761" s="534"/>
    </row>
    <row r="1762" spans="1:14" x14ac:dyDescent="0.2">
      <c r="A1762" s="420"/>
      <c r="B1762" s="423"/>
      <c r="C1762" s="425"/>
      <c r="D1762" s="423"/>
      <c r="E1762" s="423"/>
      <c r="F1762" s="423"/>
      <c r="G1762" s="423"/>
      <c r="H1762" s="423"/>
      <c r="N1762" s="534"/>
    </row>
    <row r="1763" spans="1:14" x14ac:dyDescent="0.2">
      <c r="A1763" s="420"/>
      <c r="B1763" s="423"/>
      <c r="C1763" s="425"/>
      <c r="D1763" s="423"/>
      <c r="E1763" s="423"/>
      <c r="F1763" s="423"/>
      <c r="G1763" s="423"/>
      <c r="H1763" s="423"/>
      <c r="N1763" s="534"/>
    </row>
    <row r="1764" spans="1:14" x14ac:dyDescent="0.2">
      <c r="A1764" s="420"/>
      <c r="B1764" s="423"/>
      <c r="C1764" s="425"/>
      <c r="D1764" s="423"/>
      <c r="E1764" s="423"/>
      <c r="F1764" s="423"/>
      <c r="G1764" s="423"/>
      <c r="H1764" s="423"/>
      <c r="N1764" s="534"/>
    </row>
    <row r="1765" spans="1:14" x14ac:dyDescent="0.2">
      <c r="A1765" s="420"/>
      <c r="B1765" s="423"/>
      <c r="C1765" s="425"/>
      <c r="D1765" s="423"/>
      <c r="E1765" s="423"/>
      <c r="F1765" s="423"/>
      <c r="G1765" s="423"/>
      <c r="H1765" s="423"/>
      <c r="N1765" s="534"/>
    </row>
    <row r="1766" spans="1:14" x14ac:dyDescent="0.2">
      <c r="A1766" s="420"/>
      <c r="B1766" s="423"/>
      <c r="C1766" s="425"/>
      <c r="D1766" s="423"/>
      <c r="E1766" s="423"/>
      <c r="F1766" s="423"/>
      <c r="G1766" s="423"/>
      <c r="H1766" s="423"/>
      <c r="N1766" s="534"/>
    </row>
    <row r="1767" spans="1:14" x14ac:dyDescent="0.2">
      <c r="A1767" s="420"/>
      <c r="B1767" s="423"/>
      <c r="C1767" s="425"/>
      <c r="D1767" s="423"/>
      <c r="E1767" s="423"/>
      <c r="F1767" s="423"/>
      <c r="G1767" s="423"/>
      <c r="H1767" s="423"/>
      <c r="N1767" s="534"/>
    </row>
    <row r="1768" spans="1:14" x14ac:dyDescent="0.2">
      <c r="A1768" s="420"/>
      <c r="B1768" s="423"/>
      <c r="C1768" s="425"/>
      <c r="D1768" s="423"/>
      <c r="E1768" s="423"/>
      <c r="F1768" s="423"/>
      <c r="G1768" s="423"/>
      <c r="H1768" s="423"/>
      <c r="N1768" s="534"/>
    </row>
    <row r="1769" spans="1:14" x14ac:dyDescent="0.2">
      <c r="A1769" s="420"/>
      <c r="B1769" s="423"/>
      <c r="C1769" s="425"/>
      <c r="D1769" s="423"/>
      <c r="E1769" s="423"/>
      <c r="F1769" s="423"/>
      <c r="G1769" s="423"/>
      <c r="H1769" s="423"/>
      <c r="N1769" s="534"/>
    </row>
    <row r="1770" spans="1:14" x14ac:dyDescent="0.2">
      <c r="A1770" s="420"/>
      <c r="B1770" s="423"/>
      <c r="C1770" s="425"/>
      <c r="D1770" s="423"/>
      <c r="E1770" s="423"/>
      <c r="F1770" s="423"/>
      <c r="G1770" s="423"/>
      <c r="H1770" s="423"/>
      <c r="N1770" s="534"/>
    </row>
    <row r="1771" spans="1:14" x14ac:dyDescent="0.2">
      <c r="A1771" s="420"/>
      <c r="B1771" s="423"/>
      <c r="C1771" s="425"/>
      <c r="D1771" s="423"/>
      <c r="E1771" s="423"/>
      <c r="F1771" s="423"/>
      <c r="G1771" s="423"/>
      <c r="H1771" s="423"/>
      <c r="N1771" s="534"/>
    </row>
    <row r="1772" spans="1:14" x14ac:dyDescent="0.2">
      <c r="A1772" s="420"/>
      <c r="B1772" s="423"/>
      <c r="C1772" s="425"/>
      <c r="D1772" s="423"/>
      <c r="E1772" s="423"/>
      <c r="F1772" s="423"/>
      <c r="G1772" s="423"/>
      <c r="H1772" s="423"/>
      <c r="N1772" s="534"/>
    </row>
    <row r="1773" spans="1:14" x14ac:dyDescent="0.2">
      <c r="A1773" s="420"/>
      <c r="B1773" s="423"/>
      <c r="C1773" s="425"/>
      <c r="D1773" s="423"/>
      <c r="E1773" s="423"/>
      <c r="F1773" s="423"/>
      <c r="G1773" s="423"/>
      <c r="H1773" s="423"/>
      <c r="N1773" s="534"/>
    </row>
    <row r="1774" spans="1:14" x14ac:dyDescent="0.2">
      <c r="A1774" s="420"/>
      <c r="B1774" s="423"/>
      <c r="C1774" s="425"/>
      <c r="D1774" s="423"/>
      <c r="E1774" s="423"/>
      <c r="F1774" s="423"/>
      <c r="G1774" s="423"/>
      <c r="H1774" s="423"/>
      <c r="N1774" s="534"/>
    </row>
    <row r="1775" spans="1:14" x14ac:dyDescent="0.2">
      <c r="A1775" s="420"/>
      <c r="B1775" s="423"/>
      <c r="C1775" s="425"/>
      <c r="D1775" s="423"/>
      <c r="E1775" s="423"/>
      <c r="F1775" s="423"/>
      <c r="G1775" s="423"/>
      <c r="H1775" s="423"/>
      <c r="N1775" s="534"/>
    </row>
    <row r="1776" spans="1:14" x14ac:dyDescent="0.2">
      <c r="A1776" s="420"/>
      <c r="B1776" s="423"/>
      <c r="C1776" s="425"/>
      <c r="D1776" s="423"/>
      <c r="E1776" s="423"/>
      <c r="F1776" s="423"/>
      <c r="G1776" s="423"/>
      <c r="H1776" s="423"/>
      <c r="N1776" s="534"/>
    </row>
    <row r="1777" spans="1:14" x14ac:dyDescent="0.2">
      <c r="A1777" s="420"/>
      <c r="B1777" s="423"/>
      <c r="C1777" s="425"/>
      <c r="D1777" s="423"/>
      <c r="E1777" s="423"/>
      <c r="F1777" s="423"/>
      <c r="G1777" s="423"/>
      <c r="H1777" s="423"/>
      <c r="N1777" s="534"/>
    </row>
    <row r="1778" spans="1:14" x14ac:dyDescent="0.2">
      <c r="A1778" s="420"/>
      <c r="B1778" s="423"/>
      <c r="C1778" s="425"/>
      <c r="D1778" s="423"/>
      <c r="E1778" s="423"/>
      <c r="F1778" s="423"/>
      <c r="G1778" s="423"/>
      <c r="H1778" s="423"/>
      <c r="N1778" s="534"/>
    </row>
    <row r="1779" spans="1:14" x14ac:dyDescent="0.2">
      <c r="A1779" s="420"/>
      <c r="B1779" s="423"/>
      <c r="C1779" s="425"/>
      <c r="D1779" s="423"/>
      <c r="E1779" s="423"/>
      <c r="F1779" s="423"/>
      <c r="G1779" s="423"/>
      <c r="H1779" s="423"/>
      <c r="N1779" s="534"/>
    </row>
    <row r="1780" spans="1:14" x14ac:dyDescent="0.2">
      <c r="A1780" s="420"/>
      <c r="B1780" s="423"/>
      <c r="C1780" s="425"/>
      <c r="D1780" s="423"/>
      <c r="E1780" s="423"/>
      <c r="F1780" s="423"/>
      <c r="G1780" s="423"/>
      <c r="H1780" s="423"/>
      <c r="N1780" s="534"/>
    </row>
    <row r="1781" spans="1:14" x14ac:dyDescent="0.2">
      <c r="A1781" s="420"/>
      <c r="B1781" s="423"/>
      <c r="C1781" s="425"/>
      <c r="D1781" s="423"/>
      <c r="E1781" s="423"/>
      <c r="F1781" s="423"/>
      <c r="G1781" s="423"/>
      <c r="H1781" s="423"/>
      <c r="N1781" s="534"/>
    </row>
    <row r="1782" spans="1:14" x14ac:dyDescent="0.2">
      <c r="A1782" s="420"/>
      <c r="B1782" s="423"/>
      <c r="C1782" s="425"/>
      <c r="D1782" s="423"/>
      <c r="E1782" s="423"/>
      <c r="F1782" s="423"/>
      <c r="G1782" s="423"/>
      <c r="H1782" s="423"/>
      <c r="N1782" s="534"/>
    </row>
    <row r="1783" spans="1:14" x14ac:dyDescent="0.2">
      <c r="A1783" s="420"/>
      <c r="B1783" s="423"/>
      <c r="C1783" s="425"/>
      <c r="D1783" s="423"/>
      <c r="E1783" s="423"/>
      <c r="F1783" s="423"/>
      <c r="G1783" s="423"/>
      <c r="H1783" s="423"/>
      <c r="N1783" s="534"/>
    </row>
    <row r="1784" spans="1:14" x14ac:dyDescent="0.2">
      <c r="A1784" s="420"/>
      <c r="B1784" s="423"/>
      <c r="C1784" s="425"/>
      <c r="D1784" s="423"/>
      <c r="E1784" s="423"/>
      <c r="F1784" s="423"/>
      <c r="G1784" s="423"/>
      <c r="H1784" s="423"/>
      <c r="N1784" s="534"/>
    </row>
    <row r="1785" spans="1:14" x14ac:dyDescent="0.2">
      <c r="A1785" s="420"/>
      <c r="B1785" s="423"/>
      <c r="C1785" s="425"/>
      <c r="D1785" s="423"/>
      <c r="E1785" s="423"/>
      <c r="F1785" s="423"/>
      <c r="G1785" s="423"/>
      <c r="H1785" s="423"/>
      <c r="N1785" s="534"/>
    </row>
    <row r="1786" spans="1:14" x14ac:dyDescent="0.2">
      <c r="A1786" s="420"/>
      <c r="B1786" s="423"/>
      <c r="C1786" s="425"/>
      <c r="D1786" s="423"/>
      <c r="E1786" s="423"/>
      <c r="F1786" s="423"/>
      <c r="G1786" s="423"/>
      <c r="H1786" s="423"/>
      <c r="N1786" s="534"/>
    </row>
    <row r="1787" spans="1:14" x14ac:dyDescent="0.2">
      <c r="A1787" s="420"/>
      <c r="B1787" s="423"/>
      <c r="C1787" s="425"/>
      <c r="D1787" s="423"/>
      <c r="E1787" s="423"/>
      <c r="F1787" s="423"/>
      <c r="G1787" s="423"/>
      <c r="H1787" s="423"/>
      <c r="N1787" s="534"/>
    </row>
    <row r="1788" spans="1:14" x14ac:dyDescent="0.2">
      <c r="A1788" s="420"/>
      <c r="B1788" s="423"/>
      <c r="C1788" s="425"/>
      <c r="D1788" s="423"/>
      <c r="E1788" s="423"/>
      <c r="F1788" s="423"/>
      <c r="G1788" s="423"/>
      <c r="H1788" s="423"/>
      <c r="N1788" s="534"/>
    </row>
    <row r="1789" spans="1:14" x14ac:dyDescent="0.2">
      <c r="A1789" s="420"/>
      <c r="B1789" s="423"/>
      <c r="C1789" s="425"/>
      <c r="D1789" s="423"/>
      <c r="E1789" s="423"/>
      <c r="F1789" s="423"/>
      <c r="G1789" s="423"/>
      <c r="H1789" s="423"/>
      <c r="N1789" s="534"/>
    </row>
    <row r="1790" spans="1:14" x14ac:dyDescent="0.2">
      <c r="A1790" s="420"/>
      <c r="B1790" s="423"/>
      <c r="C1790" s="425"/>
      <c r="D1790" s="423"/>
      <c r="E1790" s="423"/>
      <c r="F1790" s="423"/>
      <c r="G1790" s="423"/>
      <c r="H1790" s="423"/>
      <c r="N1790" s="534"/>
    </row>
    <row r="1791" spans="1:14" x14ac:dyDescent="0.2">
      <c r="A1791" s="420"/>
      <c r="B1791" s="423"/>
      <c r="C1791" s="425"/>
      <c r="D1791" s="423"/>
      <c r="E1791" s="423"/>
      <c r="F1791" s="423"/>
      <c r="G1791" s="423"/>
      <c r="H1791" s="423"/>
      <c r="N1791" s="534"/>
    </row>
    <row r="1792" spans="1:14" x14ac:dyDescent="0.2">
      <c r="A1792" s="420"/>
      <c r="B1792" s="423"/>
      <c r="C1792" s="425"/>
      <c r="D1792" s="423"/>
      <c r="E1792" s="423"/>
      <c r="F1792" s="423"/>
      <c r="G1792" s="423"/>
      <c r="H1792" s="423"/>
      <c r="N1792" s="534"/>
    </row>
    <row r="1793" spans="1:14" x14ac:dyDescent="0.2">
      <c r="A1793" s="420"/>
      <c r="B1793" s="423"/>
      <c r="C1793" s="425"/>
      <c r="D1793" s="423"/>
      <c r="E1793" s="423"/>
      <c r="F1793" s="423"/>
      <c r="G1793" s="423"/>
      <c r="H1793" s="423"/>
      <c r="N1793" s="534"/>
    </row>
    <row r="1794" spans="1:14" x14ac:dyDescent="0.2">
      <c r="A1794" s="420"/>
      <c r="B1794" s="423"/>
      <c r="C1794" s="425"/>
      <c r="D1794" s="423"/>
      <c r="E1794" s="423"/>
      <c r="F1794" s="423"/>
      <c r="G1794" s="423"/>
      <c r="H1794" s="423"/>
      <c r="N1794" s="534"/>
    </row>
    <row r="1795" spans="1:14" x14ac:dyDescent="0.2">
      <c r="A1795" s="420"/>
      <c r="B1795" s="423"/>
      <c r="C1795" s="425"/>
      <c r="D1795" s="423"/>
      <c r="E1795" s="423"/>
      <c r="F1795" s="423"/>
      <c r="G1795" s="423"/>
      <c r="H1795" s="423"/>
      <c r="N1795" s="534"/>
    </row>
    <row r="1796" spans="1:14" x14ac:dyDescent="0.2">
      <c r="A1796" s="420"/>
      <c r="B1796" s="423"/>
      <c r="C1796" s="425"/>
      <c r="D1796" s="423"/>
      <c r="E1796" s="423"/>
      <c r="F1796" s="423"/>
      <c r="G1796" s="423"/>
      <c r="H1796" s="423"/>
      <c r="N1796" s="534"/>
    </row>
    <row r="1797" spans="1:14" x14ac:dyDescent="0.2">
      <c r="A1797" s="420"/>
      <c r="B1797" s="423"/>
      <c r="C1797" s="425"/>
      <c r="D1797" s="423"/>
      <c r="E1797" s="423"/>
      <c r="F1797" s="423"/>
      <c r="G1797" s="423"/>
      <c r="H1797" s="423"/>
      <c r="N1797" s="534"/>
    </row>
    <row r="1798" spans="1:14" x14ac:dyDescent="0.2">
      <c r="A1798" s="420"/>
      <c r="B1798" s="423"/>
      <c r="C1798" s="425"/>
      <c r="D1798" s="423"/>
      <c r="E1798" s="423"/>
      <c r="F1798" s="423"/>
      <c r="G1798" s="423"/>
      <c r="H1798" s="423"/>
      <c r="N1798" s="534"/>
    </row>
    <row r="1799" spans="1:14" x14ac:dyDescent="0.2">
      <c r="A1799" s="420"/>
      <c r="B1799" s="423"/>
      <c r="C1799" s="425"/>
      <c r="D1799" s="423"/>
      <c r="E1799" s="423"/>
      <c r="F1799" s="423"/>
      <c r="G1799" s="423"/>
      <c r="H1799" s="423"/>
      <c r="N1799" s="534"/>
    </row>
    <row r="1800" spans="1:14" x14ac:dyDescent="0.2">
      <c r="A1800" s="420"/>
      <c r="B1800" s="423"/>
      <c r="C1800" s="425"/>
      <c r="D1800" s="423"/>
      <c r="E1800" s="423"/>
      <c r="F1800" s="423"/>
      <c r="G1800" s="423"/>
      <c r="H1800" s="423"/>
      <c r="N1800" s="534"/>
    </row>
    <row r="1801" spans="1:14" x14ac:dyDescent="0.2">
      <c r="A1801" s="420"/>
      <c r="B1801" s="423"/>
      <c r="C1801" s="425"/>
      <c r="D1801" s="423"/>
      <c r="E1801" s="423"/>
      <c r="F1801" s="423"/>
      <c r="G1801" s="423"/>
      <c r="H1801" s="423"/>
      <c r="N1801" s="534"/>
    </row>
    <row r="1802" spans="1:14" x14ac:dyDescent="0.2">
      <c r="A1802" s="420"/>
      <c r="B1802" s="423"/>
      <c r="C1802" s="425"/>
      <c r="D1802" s="423"/>
      <c r="E1802" s="423"/>
      <c r="F1802" s="423"/>
      <c r="G1802" s="423"/>
      <c r="H1802" s="423"/>
      <c r="N1802" s="534"/>
    </row>
    <row r="1803" spans="1:14" x14ac:dyDescent="0.2">
      <c r="A1803" s="420"/>
      <c r="B1803" s="423"/>
      <c r="C1803" s="425"/>
      <c r="D1803" s="423"/>
      <c r="E1803" s="423"/>
      <c r="F1803" s="423"/>
      <c r="G1803" s="423"/>
      <c r="H1803" s="423"/>
      <c r="N1803" s="534"/>
    </row>
    <row r="1804" spans="1:14" x14ac:dyDescent="0.2">
      <c r="A1804" s="420"/>
      <c r="B1804" s="423"/>
      <c r="C1804" s="425"/>
      <c r="D1804" s="423"/>
      <c r="E1804" s="423"/>
      <c r="F1804" s="423"/>
      <c r="G1804" s="423"/>
      <c r="H1804" s="423"/>
      <c r="N1804" s="534"/>
    </row>
    <row r="1805" spans="1:14" x14ac:dyDescent="0.2">
      <c r="A1805" s="420"/>
      <c r="B1805" s="423"/>
      <c r="C1805" s="425"/>
      <c r="D1805" s="423"/>
      <c r="E1805" s="423"/>
      <c r="F1805" s="423"/>
      <c r="G1805" s="423"/>
      <c r="H1805" s="423"/>
      <c r="N1805" s="534"/>
    </row>
    <row r="1806" spans="1:14" x14ac:dyDescent="0.2">
      <c r="A1806" s="420"/>
      <c r="B1806" s="423"/>
      <c r="C1806" s="425"/>
      <c r="D1806" s="423"/>
      <c r="E1806" s="423"/>
      <c r="F1806" s="423"/>
      <c r="G1806" s="423"/>
      <c r="H1806" s="423"/>
      <c r="N1806" s="534"/>
    </row>
    <row r="1807" spans="1:14" x14ac:dyDescent="0.2">
      <c r="A1807" s="420"/>
      <c r="B1807" s="423"/>
      <c r="C1807" s="425"/>
      <c r="D1807" s="423"/>
      <c r="E1807" s="423"/>
      <c r="F1807" s="423"/>
      <c r="G1807" s="423"/>
      <c r="H1807" s="423"/>
      <c r="N1807" s="534"/>
    </row>
  </sheetData>
  <mergeCells count="47">
    <mergeCell ref="A8:B8"/>
    <mergeCell ref="M1:N1"/>
    <mergeCell ref="A70:A73"/>
    <mergeCell ref="N71:N73"/>
    <mergeCell ref="C72:C73"/>
    <mergeCell ref="A47:A59"/>
    <mergeCell ref="N47:N59"/>
    <mergeCell ref="C49:C55"/>
    <mergeCell ref="C57:C59"/>
    <mergeCell ref="A37:A46"/>
    <mergeCell ref="A12:A26"/>
    <mergeCell ref="N12:N26"/>
    <mergeCell ref="C13:C20"/>
    <mergeCell ref="C22:C26"/>
    <mergeCell ref="A27:A36"/>
    <mergeCell ref="N27:N36"/>
    <mergeCell ref="N37:N46"/>
    <mergeCell ref="C39:C43"/>
    <mergeCell ref="C45:C46"/>
    <mergeCell ref="A74:M74"/>
    <mergeCell ref="A60:A64"/>
    <mergeCell ref="C62:C64"/>
    <mergeCell ref="N61:N64"/>
    <mergeCell ref="A65:A69"/>
    <mergeCell ref="N66:N69"/>
    <mergeCell ref="C67:C69"/>
    <mergeCell ref="C29:C33"/>
    <mergeCell ref="C35:C36"/>
    <mergeCell ref="G5:H5"/>
    <mergeCell ref="G6:G7"/>
    <mergeCell ref="H6:H7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  <mergeCell ref="I4:M4"/>
    <mergeCell ref="N4:N7"/>
    <mergeCell ref="J5:J7"/>
    <mergeCell ref="K5:M5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1" firstPageNumber="35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36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Z550"/>
  <sheetViews>
    <sheetView showGridLines="0" view="pageBreakPreview" zoomScaleNormal="100" zoomScaleSheetLayoutView="100" workbookViewId="0">
      <selection activeCell="O1" sqref="O1"/>
    </sheetView>
  </sheetViews>
  <sheetFormatPr defaultRowHeight="11.25" x14ac:dyDescent="0.2"/>
  <cols>
    <col min="1" max="1" width="2.85546875" style="549" customWidth="1"/>
    <col min="2" max="2" width="44" style="550" customWidth="1"/>
    <col min="3" max="3" width="11.42578125" style="550" customWidth="1"/>
    <col min="4" max="4" width="13.7109375" style="550" customWidth="1"/>
    <col min="5" max="5" width="11.28515625" style="550" customWidth="1"/>
    <col min="6" max="6" width="13.42578125" style="550" customWidth="1"/>
    <col min="7" max="7" width="12.7109375" style="550" customWidth="1"/>
    <col min="8" max="8" width="14.5703125" style="550" customWidth="1"/>
    <col min="9" max="9" width="12.140625" style="550" customWidth="1"/>
    <col min="10" max="10" width="11.42578125" style="608" customWidth="1"/>
    <col min="11" max="11" width="11" style="552" customWidth="1"/>
    <col min="12" max="12" width="12.28515625" style="552" customWidth="1"/>
    <col min="13" max="13" width="14.5703125" style="182" customWidth="1"/>
    <col min="14" max="14" width="15.140625" style="609" customWidth="1"/>
    <col min="15" max="16384" width="9.140625" style="550"/>
  </cols>
  <sheetData>
    <row r="1" spans="1:104" ht="18.75" customHeight="1" x14ac:dyDescent="0.3">
      <c r="I1" s="5"/>
      <c r="J1" s="5"/>
      <c r="K1" s="5"/>
      <c r="M1" s="3029" t="s">
        <v>352</v>
      </c>
      <c r="N1" s="3029"/>
    </row>
    <row r="2" spans="1:104" ht="7.5" customHeight="1" thickBot="1" x14ac:dyDescent="0.25">
      <c r="I2" s="128"/>
      <c r="J2" s="550"/>
      <c r="K2" s="550"/>
      <c r="L2" s="550"/>
      <c r="M2" s="145"/>
      <c r="N2" s="387"/>
    </row>
    <row r="3" spans="1:104" ht="15" hidden="1" customHeight="1" x14ac:dyDescent="0.25">
      <c r="A3" s="551"/>
      <c r="B3" s="552"/>
      <c r="I3" s="128"/>
      <c r="J3" s="550"/>
      <c r="K3" s="550"/>
      <c r="L3" s="550"/>
      <c r="M3" s="145"/>
      <c r="N3" s="387"/>
    </row>
    <row r="4" spans="1:104" s="2643" customFormat="1" ht="42" customHeight="1" thickBot="1" x14ac:dyDescent="0.25">
      <c r="A4" s="3399" t="s">
        <v>240</v>
      </c>
      <c r="B4" s="3400"/>
      <c r="C4" s="3400"/>
      <c r="D4" s="3400"/>
      <c r="E4" s="3400"/>
      <c r="F4" s="3400"/>
      <c r="G4" s="3400"/>
      <c r="H4" s="3400"/>
      <c r="I4" s="3400"/>
      <c r="J4" s="3400"/>
      <c r="K4" s="3400"/>
      <c r="L4" s="3400"/>
      <c r="M4" s="3400"/>
      <c r="N4" s="3401"/>
      <c r="O4" s="2642"/>
      <c r="P4" s="2642"/>
      <c r="Q4" s="2642"/>
      <c r="R4" s="2642"/>
      <c r="S4" s="2642"/>
      <c r="T4" s="2642"/>
      <c r="U4" s="2642"/>
      <c r="V4" s="2642"/>
      <c r="W4" s="2642"/>
      <c r="X4" s="2642"/>
      <c r="Y4" s="2642"/>
      <c r="Z4" s="2642"/>
      <c r="AA4" s="2642"/>
      <c r="AB4" s="2642"/>
      <c r="AC4" s="2642"/>
      <c r="AD4" s="2642"/>
      <c r="AE4" s="2642"/>
      <c r="AF4" s="2642"/>
      <c r="AG4" s="2642"/>
      <c r="AH4" s="2642"/>
      <c r="AI4" s="2642"/>
      <c r="AJ4" s="2642"/>
      <c r="AK4" s="2642"/>
      <c r="AL4" s="2642"/>
      <c r="AM4" s="2642"/>
      <c r="AN4" s="2642"/>
      <c r="AO4" s="2642"/>
      <c r="AP4" s="2642"/>
      <c r="AQ4" s="2642"/>
      <c r="AR4" s="2642"/>
      <c r="AS4" s="2642"/>
      <c r="AT4" s="2642"/>
      <c r="AU4" s="2642"/>
      <c r="AV4" s="2642"/>
      <c r="AW4" s="2642"/>
      <c r="AX4" s="2642"/>
      <c r="AY4" s="2642"/>
      <c r="AZ4" s="2642"/>
      <c r="BA4" s="2642"/>
      <c r="BB4" s="2642"/>
      <c r="BC4" s="2642"/>
      <c r="BD4" s="2642"/>
      <c r="BE4" s="2642"/>
      <c r="BF4" s="2642"/>
      <c r="BG4" s="2642"/>
      <c r="BH4" s="2642"/>
      <c r="BI4" s="2642"/>
      <c r="BJ4" s="2642"/>
      <c r="BK4" s="2642"/>
      <c r="BL4" s="2642"/>
      <c r="BM4" s="2642"/>
      <c r="BN4" s="2642"/>
      <c r="BO4" s="2642"/>
      <c r="BP4" s="2642"/>
      <c r="BQ4" s="2642"/>
      <c r="BR4" s="2642"/>
      <c r="BS4" s="2642"/>
      <c r="BT4" s="2642"/>
      <c r="BU4" s="2642"/>
      <c r="BV4" s="2642"/>
      <c r="BW4" s="2642"/>
      <c r="BX4" s="2642"/>
      <c r="BY4" s="2642"/>
      <c r="BZ4" s="2642"/>
      <c r="CA4" s="2642"/>
      <c r="CB4" s="2642"/>
      <c r="CC4" s="2642"/>
      <c r="CD4" s="2642"/>
      <c r="CE4" s="2642"/>
      <c r="CF4" s="2642"/>
      <c r="CG4" s="2642"/>
      <c r="CH4" s="2642"/>
      <c r="CI4" s="2642"/>
      <c r="CJ4" s="2642"/>
      <c r="CK4" s="2642"/>
      <c r="CL4" s="2642"/>
      <c r="CM4" s="2642"/>
      <c r="CN4" s="2642"/>
      <c r="CO4" s="2642"/>
      <c r="CP4" s="2642"/>
      <c r="CQ4" s="2642"/>
      <c r="CR4" s="2642"/>
      <c r="CS4" s="2642"/>
      <c r="CT4" s="2642"/>
      <c r="CU4" s="2642"/>
      <c r="CV4" s="2642"/>
      <c r="CW4" s="2642"/>
      <c r="CX4" s="2642"/>
      <c r="CY4" s="2642"/>
      <c r="CZ4" s="2642"/>
    </row>
    <row r="5" spans="1:104" s="132" customFormat="1" ht="28.5" customHeight="1" x14ac:dyDescent="0.2">
      <c r="A5" s="3402" t="s">
        <v>25</v>
      </c>
      <c r="B5" s="3405" t="s">
        <v>26</v>
      </c>
      <c r="C5" s="3278" t="s">
        <v>27</v>
      </c>
      <c r="D5" s="3026" t="s">
        <v>338</v>
      </c>
      <c r="E5" s="3027"/>
      <c r="F5" s="3027"/>
      <c r="G5" s="3027"/>
      <c r="H5" s="3028"/>
      <c r="I5" s="3026" t="s">
        <v>316</v>
      </c>
      <c r="J5" s="3027"/>
      <c r="K5" s="3027"/>
      <c r="L5" s="3027"/>
      <c r="M5" s="3028"/>
      <c r="N5" s="3060" t="s">
        <v>28</v>
      </c>
    </row>
    <row r="6" spans="1:104" s="132" customFormat="1" ht="22.5" customHeight="1" x14ac:dyDescent="0.2">
      <c r="A6" s="3403"/>
      <c r="B6" s="3406"/>
      <c r="C6" s="3279"/>
      <c r="D6" s="3011" t="s">
        <v>0</v>
      </c>
      <c r="E6" s="3014" t="s">
        <v>188</v>
      </c>
      <c r="F6" s="3017" t="s">
        <v>332</v>
      </c>
      <c r="G6" s="3020" t="s">
        <v>292</v>
      </c>
      <c r="H6" s="3021"/>
      <c r="I6" s="3002" t="s">
        <v>302</v>
      </c>
      <c r="J6" s="3064" t="s">
        <v>339</v>
      </c>
      <c r="K6" s="2999" t="s">
        <v>321</v>
      </c>
      <c r="L6" s="3000"/>
      <c r="M6" s="3001"/>
      <c r="N6" s="3061"/>
    </row>
    <row r="7" spans="1:104" s="132" customFormat="1" ht="52.5" customHeight="1" x14ac:dyDescent="0.2">
      <c r="A7" s="3403"/>
      <c r="B7" s="3406"/>
      <c r="C7" s="3279"/>
      <c r="D7" s="3012"/>
      <c r="E7" s="3015"/>
      <c r="F7" s="3018"/>
      <c r="G7" s="3022" t="s">
        <v>301</v>
      </c>
      <c r="H7" s="3024" t="s">
        <v>251</v>
      </c>
      <c r="I7" s="3003"/>
      <c r="J7" s="3065"/>
      <c r="K7" s="3007" t="s">
        <v>304</v>
      </c>
      <c r="L7" s="3084" t="s">
        <v>340</v>
      </c>
      <c r="M7" s="3086" t="s">
        <v>341</v>
      </c>
      <c r="N7" s="3062"/>
    </row>
    <row r="8" spans="1:104" s="132" customFormat="1" ht="37.5" customHeight="1" thickBot="1" x14ac:dyDescent="0.25">
      <c r="A8" s="3404"/>
      <c r="B8" s="3407"/>
      <c r="C8" s="3280"/>
      <c r="D8" s="3013"/>
      <c r="E8" s="3016"/>
      <c r="F8" s="3019"/>
      <c r="G8" s="3023"/>
      <c r="H8" s="3025"/>
      <c r="I8" s="3004"/>
      <c r="J8" s="3066"/>
      <c r="K8" s="3008"/>
      <c r="L8" s="3085"/>
      <c r="M8" s="3087"/>
      <c r="N8" s="3063"/>
    </row>
    <row r="9" spans="1:104" s="1542" customFormat="1" ht="15.75" customHeight="1" thickBot="1" x14ac:dyDescent="0.25">
      <c r="A9" s="3396">
        <v>1</v>
      </c>
      <c r="B9" s="3397"/>
      <c r="C9" s="1537">
        <v>2</v>
      </c>
      <c r="D9" s="1538">
        <v>3</v>
      </c>
      <c r="E9" s="1539">
        <v>4</v>
      </c>
      <c r="F9" s="1539">
        <v>5</v>
      </c>
      <c r="G9" s="1539">
        <v>6</v>
      </c>
      <c r="H9" s="1646">
        <v>7</v>
      </c>
      <c r="I9" s="1538">
        <v>8</v>
      </c>
      <c r="J9" s="1539">
        <v>9</v>
      </c>
      <c r="K9" s="1539">
        <v>10</v>
      </c>
      <c r="L9" s="1540">
        <v>11</v>
      </c>
      <c r="M9" s="1646">
        <v>12</v>
      </c>
      <c r="N9" s="1541">
        <v>13</v>
      </c>
    </row>
    <row r="10" spans="1:104" s="145" customFormat="1" ht="18" customHeight="1" thickBot="1" x14ac:dyDescent="0.25">
      <c r="A10" s="138"/>
      <c r="B10" s="139" t="s">
        <v>189</v>
      </c>
      <c r="C10" s="204"/>
      <c r="D10" s="20">
        <f>D11+D12</f>
        <v>812759</v>
      </c>
      <c r="E10" s="555">
        <f t="shared" ref="E10:G10" si="0">E11+E12</f>
        <v>0</v>
      </c>
      <c r="F10" s="555">
        <f t="shared" si="0"/>
        <v>0</v>
      </c>
      <c r="G10" s="19">
        <f t="shared" si="0"/>
        <v>220862</v>
      </c>
      <c r="H10" s="19">
        <f>H11+H12</f>
        <v>591897</v>
      </c>
      <c r="I10" s="20">
        <f>I11+I12</f>
        <v>30980</v>
      </c>
      <c r="J10" s="94">
        <f>I10/D10*100</f>
        <v>3.8117080216890864</v>
      </c>
      <c r="K10" s="19">
        <f t="shared" ref="K10" si="1">K11+K12</f>
        <v>30980</v>
      </c>
      <c r="L10" s="94">
        <f>K10/G10*100</f>
        <v>14.026858400268042</v>
      </c>
      <c r="M10" s="22">
        <f t="shared" ref="M10:M19" si="2">+K10-G10*0.5</f>
        <v>-79451</v>
      </c>
      <c r="N10" s="429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</row>
    <row r="11" spans="1:104" s="212" customFormat="1" ht="15" customHeight="1" thickTop="1" thickBot="1" x14ac:dyDescent="0.25">
      <c r="A11" s="206"/>
      <c r="B11" s="207" t="s">
        <v>190</v>
      </c>
      <c r="C11" s="208"/>
      <c r="D11" s="31">
        <f>D22+D31</f>
        <v>812759</v>
      </c>
      <c r="E11" s="209">
        <f t="shared" ref="E11:I11" si="3">E22+E31</f>
        <v>0</v>
      </c>
      <c r="F11" s="209">
        <f t="shared" si="3"/>
        <v>0</v>
      </c>
      <c r="G11" s="29">
        <f t="shared" si="3"/>
        <v>220862</v>
      </c>
      <c r="H11" s="556">
        <f t="shared" si="3"/>
        <v>591897</v>
      </c>
      <c r="I11" s="28">
        <f t="shared" si="3"/>
        <v>30980</v>
      </c>
      <c r="J11" s="95">
        <f>I11/D11*100</f>
        <v>3.8117080216890864</v>
      </c>
      <c r="K11" s="29">
        <f t="shared" ref="K11" si="4">K22</f>
        <v>30980</v>
      </c>
      <c r="L11" s="95">
        <f>K11/G11*100</f>
        <v>14.026858400268042</v>
      </c>
      <c r="M11" s="30">
        <f t="shared" si="2"/>
        <v>-79451</v>
      </c>
      <c r="N11" s="4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</row>
    <row r="12" spans="1:104" s="145" customFormat="1" ht="15" customHeight="1" thickTop="1" thickBot="1" x14ac:dyDescent="0.25">
      <c r="A12" s="146"/>
      <c r="B12" s="213" t="s">
        <v>191</v>
      </c>
      <c r="C12" s="214"/>
      <c r="D12" s="557">
        <v>0</v>
      </c>
      <c r="E12" s="558">
        <v>0</v>
      </c>
      <c r="F12" s="558">
        <v>0</v>
      </c>
      <c r="G12" s="558">
        <v>0</v>
      </c>
      <c r="H12" s="558">
        <v>0</v>
      </c>
      <c r="I12" s="557">
        <v>0</v>
      </c>
      <c r="J12" s="559">
        <v>0</v>
      </c>
      <c r="K12" s="558">
        <v>0</v>
      </c>
      <c r="L12" s="559">
        <v>0</v>
      </c>
      <c r="M12" s="629">
        <f t="shared" si="2"/>
        <v>0</v>
      </c>
      <c r="N12" s="429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</row>
    <row r="13" spans="1:104" s="549" customFormat="1" ht="13.5" customHeight="1" x14ac:dyDescent="0.2">
      <c r="A13" s="3378"/>
      <c r="B13" s="217" t="s">
        <v>3</v>
      </c>
      <c r="C13" s="218"/>
      <c r="D13" s="560">
        <f>+D14+D16</f>
        <v>812759</v>
      </c>
      <c r="E13" s="561">
        <f t="shared" ref="E13:H13" si="5">+E14+E16</f>
        <v>0</v>
      </c>
      <c r="F13" s="561">
        <f t="shared" si="5"/>
        <v>0</v>
      </c>
      <c r="G13" s="562">
        <f t="shared" si="5"/>
        <v>220862</v>
      </c>
      <c r="H13" s="562">
        <f t="shared" si="5"/>
        <v>591897</v>
      </c>
      <c r="I13" s="560">
        <f>+I14+I16</f>
        <v>30980</v>
      </c>
      <c r="J13" s="220">
        <f t="shared" ref="J13:J20" si="6">I13/D13*100</f>
        <v>3.8117080216890864</v>
      </c>
      <c r="K13" s="562">
        <f t="shared" ref="K13" si="7">+K14+K16</f>
        <v>30980</v>
      </c>
      <c r="L13" s="220">
        <f t="shared" ref="L13:L20" si="8">K13/G13*100</f>
        <v>14.026858400268042</v>
      </c>
      <c r="M13" s="563">
        <f t="shared" si="2"/>
        <v>-79451</v>
      </c>
      <c r="N13" s="3381" t="s">
        <v>89</v>
      </c>
    </row>
    <row r="14" spans="1:104" s="571" customFormat="1" ht="14.25" customHeight="1" x14ac:dyDescent="0.2">
      <c r="A14" s="3379"/>
      <c r="B14" s="565" t="s">
        <v>4</v>
      </c>
      <c r="C14" s="3384" t="s">
        <v>89</v>
      </c>
      <c r="D14" s="566">
        <f t="shared" ref="D14:H14" si="9">+D15</f>
        <v>370618</v>
      </c>
      <c r="E14" s="567">
        <f t="shared" si="9"/>
        <v>0</v>
      </c>
      <c r="F14" s="567">
        <f t="shared" si="9"/>
        <v>0</v>
      </c>
      <c r="G14" s="568">
        <f t="shared" si="9"/>
        <v>88701</v>
      </c>
      <c r="H14" s="568">
        <f t="shared" si="9"/>
        <v>281917</v>
      </c>
      <c r="I14" s="566">
        <f>+I15</f>
        <v>7895</v>
      </c>
      <c r="J14" s="224">
        <f t="shared" si="6"/>
        <v>2.1302257310762025</v>
      </c>
      <c r="K14" s="568">
        <f t="shared" ref="K14" si="10">+K15</f>
        <v>7895</v>
      </c>
      <c r="L14" s="224">
        <f t="shared" si="8"/>
        <v>8.9006888310165611</v>
      </c>
      <c r="M14" s="569">
        <f t="shared" si="2"/>
        <v>-36455.5</v>
      </c>
      <c r="N14" s="3382"/>
      <c r="O14" s="130"/>
      <c r="P14" s="130"/>
      <c r="Q14" s="130"/>
      <c r="R14" s="130"/>
      <c r="S14" s="130"/>
      <c r="T14" s="130"/>
      <c r="U14" s="130"/>
    </row>
    <row r="15" spans="1:104" s="578" customFormat="1" ht="13.5" customHeight="1" x14ac:dyDescent="0.2">
      <c r="A15" s="3379"/>
      <c r="B15" s="572" t="s">
        <v>5</v>
      </c>
      <c r="C15" s="3384"/>
      <c r="D15" s="573">
        <f>D24+D33</f>
        <v>370618</v>
      </c>
      <c r="E15" s="574">
        <f t="shared" ref="E15:F15" si="11">E24</f>
        <v>0</v>
      </c>
      <c r="F15" s="574">
        <f t="shared" si="11"/>
        <v>0</v>
      </c>
      <c r="G15" s="575">
        <f t="shared" ref="G15:I15" si="12">G24+G33</f>
        <v>88701</v>
      </c>
      <c r="H15" s="575">
        <f>H24+H33</f>
        <v>281917</v>
      </c>
      <c r="I15" s="573">
        <f t="shared" si="12"/>
        <v>7895</v>
      </c>
      <c r="J15" s="228">
        <f t="shared" si="6"/>
        <v>2.1302257310762025</v>
      </c>
      <c r="K15" s="575">
        <f t="shared" ref="K15" si="13">K24</f>
        <v>7895</v>
      </c>
      <c r="L15" s="228">
        <f t="shared" si="8"/>
        <v>8.9006888310165611</v>
      </c>
      <c r="M15" s="576">
        <f t="shared" si="2"/>
        <v>-36455.5</v>
      </c>
      <c r="N15" s="3382"/>
    </row>
    <row r="16" spans="1:104" s="571" customFormat="1" ht="13.5" customHeight="1" x14ac:dyDescent="0.2">
      <c r="A16" s="3379"/>
      <c r="B16" s="442" t="s">
        <v>13</v>
      </c>
      <c r="C16" s="3384"/>
      <c r="D16" s="566">
        <f t="shared" ref="D16:H16" si="14">D17</f>
        <v>442141</v>
      </c>
      <c r="E16" s="567">
        <f t="shared" si="14"/>
        <v>0</v>
      </c>
      <c r="F16" s="567">
        <f t="shared" si="14"/>
        <v>0</v>
      </c>
      <c r="G16" s="568">
        <f t="shared" si="14"/>
        <v>132161</v>
      </c>
      <c r="H16" s="568">
        <f t="shared" si="14"/>
        <v>309980</v>
      </c>
      <c r="I16" s="566">
        <f t="shared" ref="I16:K16" si="15">I17</f>
        <v>23085</v>
      </c>
      <c r="J16" s="579">
        <f t="shared" si="6"/>
        <v>5.221185097061797</v>
      </c>
      <c r="K16" s="568">
        <f t="shared" si="15"/>
        <v>23085</v>
      </c>
      <c r="L16" s="579">
        <f t="shared" si="8"/>
        <v>17.467331512322094</v>
      </c>
      <c r="M16" s="569">
        <f t="shared" si="2"/>
        <v>-42995.5</v>
      </c>
      <c r="N16" s="3382"/>
      <c r="O16" s="448"/>
      <c r="P16" s="448"/>
      <c r="Q16" s="448"/>
      <c r="R16" s="448"/>
      <c r="S16" s="448"/>
      <c r="T16" s="448"/>
      <c r="U16" s="448"/>
    </row>
    <row r="17" spans="1:21" s="581" customFormat="1" ht="14.1" customHeight="1" x14ac:dyDescent="0.2">
      <c r="A17" s="3379"/>
      <c r="B17" s="248" t="s">
        <v>14</v>
      </c>
      <c r="C17" s="3384"/>
      <c r="D17" s="573">
        <f>D26+D35</f>
        <v>442141</v>
      </c>
      <c r="E17" s="574">
        <f t="shared" ref="E17:F17" si="16">E26</f>
        <v>0</v>
      </c>
      <c r="F17" s="574">
        <f t="shared" si="16"/>
        <v>0</v>
      </c>
      <c r="G17" s="575">
        <f t="shared" ref="G17:H17" si="17">G26+G35</f>
        <v>132161</v>
      </c>
      <c r="H17" s="575">
        <f t="shared" si="17"/>
        <v>309980</v>
      </c>
      <c r="I17" s="573">
        <f>I26+I35</f>
        <v>23085</v>
      </c>
      <c r="J17" s="580">
        <f t="shared" si="6"/>
        <v>5.221185097061797</v>
      </c>
      <c r="K17" s="575">
        <f t="shared" ref="K17" si="18">K26</f>
        <v>23085</v>
      </c>
      <c r="L17" s="580">
        <f t="shared" si="8"/>
        <v>17.467331512322094</v>
      </c>
      <c r="M17" s="576">
        <f t="shared" si="2"/>
        <v>-42995.5</v>
      </c>
      <c r="N17" s="3382"/>
      <c r="O17" s="125"/>
      <c r="P17" s="125"/>
      <c r="Q17" s="125"/>
      <c r="R17" s="125"/>
      <c r="S17" s="125"/>
      <c r="T17" s="125"/>
      <c r="U17" s="125"/>
    </row>
    <row r="18" spans="1:21" s="581" customFormat="1" ht="14.1" customHeight="1" x14ac:dyDescent="0.2">
      <c r="A18" s="3379"/>
      <c r="B18" s="236" t="s">
        <v>17</v>
      </c>
      <c r="C18" s="582"/>
      <c r="D18" s="583">
        <f t="shared" ref="D18:H18" si="19">+D19</f>
        <v>442141</v>
      </c>
      <c r="E18" s="584">
        <f t="shared" si="19"/>
        <v>0</v>
      </c>
      <c r="F18" s="584">
        <f t="shared" si="19"/>
        <v>0</v>
      </c>
      <c r="G18" s="479">
        <f t="shared" si="19"/>
        <v>103880</v>
      </c>
      <c r="H18" s="479">
        <f t="shared" si="19"/>
        <v>338261</v>
      </c>
      <c r="I18" s="583">
        <f t="shared" ref="I18:K18" si="20">+I19</f>
        <v>103951</v>
      </c>
      <c r="J18" s="530">
        <f t="shared" si="6"/>
        <v>23.510825732062848</v>
      </c>
      <c r="K18" s="479">
        <f t="shared" si="20"/>
        <v>103951</v>
      </c>
      <c r="L18" s="530">
        <f t="shared" si="8"/>
        <v>100.06834809395457</v>
      </c>
      <c r="M18" s="481">
        <f t="shared" si="2"/>
        <v>52011</v>
      </c>
      <c r="N18" s="3382"/>
      <c r="O18" s="125"/>
      <c r="P18" s="125"/>
      <c r="Q18" s="125"/>
      <c r="R18" s="125"/>
      <c r="S18" s="125"/>
      <c r="T18" s="125"/>
      <c r="U18" s="125"/>
    </row>
    <row r="19" spans="1:21" s="571" customFormat="1" ht="14.1" customHeight="1" x14ac:dyDescent="0.2">
      <c r="A19" s="3379"/>
      <c r="B19" s="442" t="s">
        <v>13</v>
      </c>
      <c r="C19" s="3384"/>
      <c r="D19" s="566">
        <f t="shared" ref="D19:K19" si="21">D20</f>
        <v>442141</v>
      </c>
      <c r="E19" s="567">
        <f t="shared" si="21"/>
        <v>0</v>
      </c>
      <c r="F19" s="567">
        <f t="shared" si="21"/>
        <v>0</v>
      </c>
      <c r="G19" s="568">
        <f t="shared" si="21"/>
        <v>103880</v>
      </c>
      <c r="H19" s="568">
        <f t="shared" si="21"/>
        <v>338261</v>
      </c>
      <c r="I19" s="566">
        <f t="shared" si="21"/>
        <v>103951</v>
      </c>
      <c r="J19" s="580">
        <f t="shared" si="6"/>
        <v>23.510825732062848</v>
      </c>
      <c r="K19" s="568">
        <f t="shared" si="21"/>
        <v>103951</v>
      </c>
      <c r="L19" s="580">
        <f t="shared" si="8"/>
        <v>100.06834809395457</v>
      </c>
      <c r="M19" s="569">
        <f t="shared" si="2"/>
        <v>52011</v>
      </c>
      <c r="N19" s="3382"/>
      <c r="O19" s="448"/>
      <c r="P19" s="448"/>
      <c r="Q19" s="448"/>
      <c r="R19" s="448"/>
      <c r="S19" s="448"/>
      <c r="T19" s="448"/>
      <c r="U19" s="448"/>
    </row>
    <row r="20" spans="1:21" s="581" customFormat="1" ht="13.5" thickBot="1" x14ac:dyDescent="0.25">
      <c r="A20" s="3380"/>
      <c r="B20" s="585" t="s">
        <v>14</v>
      </c>
      <c r="C20" s="3385"/>
      <c r="D20" s="586">
        <f>D29+D38</f>
        <v>442141</v>
      </c>
      <c r="E20" s="587">
        <f t="shared" ref="E20:F20" si="22">E29</f>
        <v>0</v>
      </c>
      <c r="F20" s="587">
        <f t="shared" si="22"/>
        <v>0</v>
      </c>
      <c r="G20" s="588">
        <f>G29+G38</f>
        <v>103880</v>
      </c>
      <c r="H20" s="588">
        <f>H29+H38</f>
        <v>338261</v>
      </c>
      <c r="I20" s="586">
        <f>I29+I38</f>
        <v>103951</v>
      </c>
      <c r="J20" s="580">
        <f t="shared" si="6"/>
        <v>23.510825732062848</v>
      </c>
      <c r="K20" s="588">
        <f>K29+K38</f>
        <v>103951</v>
      </c>
      <c r="L20" s="580">
        <f t="shared" si="8"/>
        <v>100.06834809395457</v>
      </c>
      <c r="M20" s="1055">
        <f>+K20-G20*0.5</f>
        <v>52011</v>
      </c>
      <c r="N20" s="3383"/>
      <c r="O20" s="125"/>
      <c r="P20" s="125"/>
      <c r="Q20" s="125"/>
      <c r="R20" s="125"/>
      <c r="S20" s="125"/>
      <c r="T20" s="125"/>
      <c r="U20" s="125"/>
    </row>
    <row r="21" spans="1:21" s="196" customFormat="1" ht="71.25" customHeight="1" x14ac:dyDescent="0.2">
      <c r="A21" s="3342" t="s">
        <v>33</v>
      </c>
      <c r="B21" s="2806" t="s">
        <v>306</v>
      </c>
      <c r="C21" s="2807" t="s">
        <v>198</v>
      </c>
      <c r="D21" s="2808"/>
      <c r="E21" s="2809"/>
      <c r="F21" s="2809"/>
      <c r="G21" s="2810"/>
      <c r="H21" s="2811"/>
      <c r="I21" s="2808"/>
      <c r="J21" s="2812"/>
      <c r="K21" s="2813"/>
      <c r="L21" s="2812"/>
      <c r="M21" s="2814"/>
      <c r="N21" s="3347" t="s">
        <v>242</v>
      </c>
    </row>
    <row r="22" spans="1:21" s="196" customFormat="1" ht="13.5" customHeight="1" x14ac:dyDescent="0.2">
      <c r="A22" s="3366"/>
      <c r="B22" s="236" t="s">
        <v>3</v>
      </c>
      <c r="C22" s="237"/>
      <c r="D22" s="302">
        <f t="shared" ref="D22" si="23">+D23+D25</f>
        <v>84809</v>
      </c>
      <c r="E22" s="303">
        <f>+E23+E25</f>
        <v>0</v>
      </c>
      <c r="F22" s="303">
        <f>+F23+F25</f>
        <v>0</v>
      </c>
      <c r="G22" s="304">
        <f t="shared" ref="G22:H22" si="24">+G23+G25</f>
        <v>75272</v>
      </c>
      <c r="H22" s="1180">
        <f t="shared" si="24"/>
        <v>9537</v>
      </c>
      <c r="I22" s="302">
        <f>+E22+F22+K22</f>
        <v>30980</v>
      </c>
      <c r="J22" s="1181">
        <f>I22/D22*100</f>
        <v>36.529141954273719</v>
      </c>
      <c r="K22" s="304">
        <f>K23+K25</f>
        <v>30980</v>
      </c>
      <c r="L22" s="1181">
        <f t="shared" ref="L22:L29" si="25">K22/G22*100</f>
        <v>41.157402486980551</v>
      </c>
      <c r="M22" s="1185">
        <f t="shared" ref="M22:M29" si="26">+K22-G22*0.5</f>
        <v>-6656</v>
      </c>
      <c r="N22" s="3348"/>
    </row>
    <row r="23" spans="1:21" s="196" customFormat="1" ht="13.5" customHeight="1" x14ac:dyDescent="0.2">
      <c r="A23" s="3366"/>
      <c r="B23" s="2815" t="s">
        <v>18</v>
      </c>
      <c r="C23" s="3112" t="s">
        <v>307</v>
      </c>
      <c r="D23" s="296">
        <f t="shared" ref="D23:H23" si="27">+D24</f>
        <v>21203</v>
      </c>
      <c r="E23" s="299">
        <f t="shared" si="27"/>
        <v>0</v>
      </c>
      <c r="F23" s="299">
        <f t="shared" si="27"/>
        <v>0</v>
      </c>
      <c r="G23" s="297">
        <f t="shared" si="27"/>
        <v>18818</v>
      </c>
      <c r="H23" s="1782">
        <f t="shared" si="27"/>
        <v>2385</v>
      </c>
      <c r="I23" s="296">
        <f t="shared" ref="I23:I38" si="28">+E23+F23+K23</f>
        <v>7895</v>
      </c>
      <c r="J23" s="1422">
        <f t="shared" ref="J23:J29" si="29">I23/D23*100</f>
        <v>37.235296891949254</v>
      </c>
      <c r="K23" s="1698">
        <f>K24</f>
        <v>7895</v>
      </c>
      <c r="L23" s="1422">
        <f t="shared" si="25"/>
        <v>41.954511637793601</v>
      </c>
      <c r="M23" s="1423">
        <f t="shared" si="26"/>
        <v>-1514</v>
      </c>
      <c r="N23" s="3348"/>
    </row>
    <row r="24" spans="1:21" s="196" customFormat="1" ht="13.5" customHeight="1" x14ac:dyDescent="0.2">
      <c r="A24" s="3366"/>
      <c r="B24" s="279" t="s">
        <v>5</v>
      </c>
      <c r="C24" s="3386"/>
      <c r="D24" s="2816">
        <f>+E24+F24+G24+H24</f>
        <v>21203</v>
      </c>
      <c r="E24" s="280">
        <v>0</v>
      </c>
      <c r="F24" s="280">
        <v>0</v>
      </c>
      <c r="G24" s="1702">
        <v>18818</v>
      </c>
      <c r="H24" s="2817">
        <v>2385</v>
      </c>
      <c r="I24" s="1703">
        <f t="shared" si="28"/>
        <v>7895</v>
      </c>
      <c r="J24" s="1291">
        <f t="shared" si="29"/>
        <v>37.235296891949254</v>
      </c>
      <c r="K24" s="1702">
        <v>7895</v>
      </c>
      <c r="L24" s="1291">
        <f t="shared" si="25"/>
        <v>41.954511637793601</v>
      </c>
      <c r="M24" s="1424">
        <f t="shared" si="26"/>
        <v>-1514</v>
      </c>
      <c r="N24" s="3348"/>
    </row>
    <row r="25" spans="1:21" s="196" customFormat="1" ht="13.5" customHeight="1" x14ac:dyDescent="0.2">
      <c r="A25" s="3366"/>
      <c r="B25" s="281" t="s">
        <v>13</v>
      </c>
      <c r="C25" s="3386"/>
      <c r="D25" s="282">
        <f t="shared" ref="D25:H25" si="30">+D26</f>
        <v>63606</v>
      </c>
      <c r="E25" s="308">
        <f t="shared" si="30"/>
        <v>0</v>
      </c>
      <c r="F25" s="308">
        <f t="shared" si="30"/>
        <v>0</v>
      </c>
      <c r="G25" s="1706">
        <f t="shared" si="30"/>
        <v>56454</v>
      </c>
      <c r="H25" s="1818">
        <f t="shared" si="30"/>
        <v>7152</v>
      </c>
      <c r="I25" s="282">
        <f t="shared" si="28"/>
        <v>23085</v>
      </c>
      <c r="J25" s="1256">
        <f t="shared" si="29"/>
        <v>36.293745873030844</v>
      </c>
      <c r="K25" s="1707">
        <f>K26</f>
        <v>23085</v>
      </c>
      <c r="L25" s="1256">
        <f t="shared" si="25"/>
        <v>40.89169943670953</v>
      </c>
      <c r="M25" s="1425">
        <f t="shared" si="26"/>
        <v>-5142</v>
      </c>
      <c r="N25" s="3348"/>
    </row>
    <row r="26" spans="1:21" s="196" customFormat="1" ht="13.5" customHeight="1" x14ac:dyDescent="0.2">
      <c r="A26" s="3366"/>
      <c r="B26" s="2818" t="s">
        <v>14</v>
      </c>
      <c r="C26" s="3387"/>
      <c r="D26" s="2816">
        <f>+E26+F26+G26+H26</f>
        <v>63606</v>
      </c>
      <c r="E26" s="280">
        <v>0</v>
      </c>
      <c r="F26" s="2637">
        <v>0</v>
      </c>
      <c r="G26" s="2182">
        <v>56454</v>
      </c>
      <c r="H26" s="1767">
        <v>7152</v>
      </c>
      <c r="I26" s="1703">
        <f t="shared" si="28"/>
        <v>23085</v>
      </c>
      <c r="J26" s="591">
        <f t="shared" si="29"/>
        <v>36.293745873030844</v>
      </c>
      <c r="K26" s="592">
        <v>23085</v>
      </c>
      <c r="L26" s="591">
        <f t="shared" si="25"/>
        <v>40.89169943670953</v>
      </c>
      <c r="M26" s="2638">
        <f t="shared" si="26"/>
        <v>-5142</v>
      </c>
      <c r="N26" s="3348"/>
    </row>
    <row r="27" spans="1:21" s="196" customFormat="1" ht="13.5" customHeight="1" x14ac:dyDescent="0.2">
      <c r="A27" s="3366"/>
      <c r="B27" s="236" t="s">
        <v>17</v>
      </c>
      <c r="C27" s="590"/>
      <c r="D27" s="2819">
        <f>+D28</f>
        <v>63606</v>
      </c>
      <c r="E27" s="2820">
        <f t="shared" ref="E27:H28" si="31">+E28</f>
        <v>0</v>
      </c>
      <c r="F27" s="2821">
        <f t="shared" si="31"/>
        <v>0</v>
      </c>
      <c r="G27" s="2822">
        <f t="shared" si="31"/>
        <v>50885</v>
      </c>
      <c r="H27" s="2823">
        <f t="shared" si="31"/>
        <v>12721</v>
      </c>
      <c r="I27" s="2824">
        <f t="shared" si="28"/>
        <v>50885</v>
      </c>
      <c r="J27" s="1181">
        <f t="shared" si="29"/>
        <v>80.000314435745054</v>
      </c>
      <c r="K27" s="304">
        <f>K28</f>
        <v>50885</v>
      </c>
      <c r="L27" s="1181">
        <f t="shared" si="25"/>
        <v>100</v>
      </c>
      <c r="M27" s="2825">
        <f t="shared" si="26"/>
        <v>25442.5</v>
      </c>
      <c r="N27" s="3348"/>
    </row>
    <row r="28" spans="1:21" s="593" customFormat="1" ht="12.75" customHeight="1" x14ac:dyDescent="0.2">
      <c r="A28" s="3366"/>
      <c r="B28" s="1577" t="s">
        <v>13</v>
      </c>
      <c r="C28" s="3388" t="s">
        <v>308</v>
      </c>
      <c r="D28" s="2826">
        <f>+D29</f>
        <v>63606</v>
      </c>
      <c r="E28" s="284">
        <f t="shared" si="31"/>
        <v>0</v>
      </c>
      <c r="F28" s="284">
        <f t="shared" si="31"/>
        <v>0</v>
      </c>
      <c r="G28" s="283">
        <f t="shared" si="31"/>
        <v>50885</v>
      </c>
      <c r="H28" s="1819">
        <f t="shared" si="31"/>
        <v>12721</v>
      </c>
      <c r="I28" s="2827">
        <f t="shared" si="28"/>
        <v>50885</v>
      </c>
      <c r="J28" s="2828">
        <f t="shared" si="29"/>
        <v>80.000314435745054</v>
      </c>
      <c r="K28" s="2829">
        <f>K29</f>
        <v>50885</v>
      </c>
      <c r="L28" s="2828">
        <f t="shared" si="25"/>
        <v>100</v>
      </c>
      <c r="M28" s="1426">
        <f t="shared" si="26"/>
        <v>25442.5</v>
      </c>
      <c r="N28" s="3348"/>
    </row>
    <row r="29" spans="1:21" s="196" customFormat="1" ht="17.25" customHeight="1" thickBot="1" x14ac:dyDescent="0.25">
      <c r="A29" s="3367"/>
      <c r="B29" s="594" t="s">
        <v>14</v>
      </c>
      <c r="C29" s="3389"/>
      <c r="D29" s="1711">
        <f>+E29+F29+G29+H29</f>
        <v>63606</v>
      </c>
      <c r="E29" s="288">
        <v>0</v>
      </c>
      <c r="F29" s="288">
        <v>0</v>
      </c>
      <c r="G29" s="1712">
        <v>50885</v>
      </c>
      <c r="H29" s="1770">
        <v>12721</v>
      </c>
      <c r="I29" s="641">
        <f t="shared" si="28"/>
        <v>50885</v>
      </c>
      <c r="J29" s="595">
        <f t="shared" si="29"/>
        <v>80.000314435745054</v>
      </c>
      <c r="K29" s="1816">
        <v>50885</v>
      </c>
      <c r="L29" s="595">
        <f t="shared" si="25"/>
        <v>100</v>
      </c>
      <c r="M29" s="1428">
        <f t="shared" si="26"/>
        <v>25442.5</v>
      </c>
      <c r="N29" s="3359"/>
    </row>
    <row r="30" spans="1:21" s="196" customFormat="1" ht="30" customHeight="1" x14ac:dyDescent="0.2">
      <c r="A30" s="3342" t="s">
        <v>36</v>
      </c>
      <c r="B30" s="2806" t="s">
        <v>309</v>
      </c>
      <c r="C30" s="2807"/>
      <c r="D30" s="2808"/>
      <c r="E30" s="2809"/>
      <c r="F30" s="2809"/>
      <c r="G30" s="2810"/>
      <c r="H30" s="2811"/>
      <c r="I30" s="2808"/>
      <c r="J30" s="2812"/>
      <c r="K30" s="2813"/>
      <c r="L30" s="2812"/>
      <c r="M30" s="2814"/>
      <c r="N30" s="3347" t="s">
        <v>242</v>
      </c>
    </row>
    <row r="31" spans="1:21" s="196" customFormat="1" ht="17.25" customHeight="1" x14ac:dyDescent="0.2">
      <c r="A31" s="3366"/>
      <c r="B31" s="236" t="s">
        <v>3</v>
      </c>
      <c r="C31" s="237"/>
      <c r="D31" s="302">
        <f t="shared" ref="D31" si="32">+D32+D34</f>
        <v>727950</v>
      </c>
      <c r="E31" s="303">
        <v>0</v>
      </c>
      <c r="F31" s="303">
        <v>0</v>
      </c>
      <c r="G31" s="304">
        <f t="shared" ref="G31:H31" si="33">+G32+G34</f>
        <v>145590</v>
      </c>
      <c r="H31" s="1180">
        <f t="shared" si="33"/>
        <v>582360</v>
      </c>
      <c r="I31" s="302">
        <f t="shared" si="28"/>
        <v>0</v>
      </c>
      <c r="J31" s="1181">
        <f t="shared" ref="J31:J38" si="34">I31/D31*100</f>
        <v>0</v>
      </c>
      <c r="K31" s="304">
        <f>K32+K34</f>
        <v>0</v>
      </c>
      <c r="L31" s="1181">
        <f t="shared" ref="L31:L38" si="35">K31/G31*100</f>
        <v>0</v>
      </c>
      <c r="M31" s="1185">
        <f t="shared" ref="M31:M38" si="36">+K31-G31*0.5</f>
        <v>-72795</v>
      </c>
      <c r="N31" s="3348"/>
    </row>
    <row r="32" spans="1:21" s="196" customFormat="1" ht="17.25" customHeight="1" x14ac:dyDescent="0.2">
      <c r="A32" s="3366"/>
      <c r="B32" s="2815" t="s">
        <v>18</v>
      </c>
      <c r="C32" s="3112" t="s">
        <v>310</v>
      </c>
      <c r="D32" s="296">
        <f t="shared" ref="D32" si="37">+D33</f>
        <v>349415</v>
      </c>
      <c r="E32" s="299">
        <v>0</v>
      </c>
      <c r="F32" s="299">
        <v>0</v>
      </c>
      <c r="G32" s="297">
        <f t="shared" ref="G32:H32" si="38">+G33</f>
        <v>69883</v>
      </c>
      <c r="H32" s="1782">
        <f t="shared" si="38"/>
        <v>279532</v>
      </c>
      <c r="I32" s="296">
        <f t="shared" si="28"/>
        <v>0</v>
      </c>
      <c r="J32" s="1422">
        <f t="shared" si="34"/>
        <v>0</v>
      </c>
      <c r="K32" s="1698">
        <f>K33</f>
        <v>0</v>
      </c>
      <c r="L32" s="1422">
        <f t="shared" si="35"/>
        <v>0</v>
      </c>
      <c r="M32" s="1423">
        <f t="shared" si="36"/>
        <v>-34941.5</v>
      </c>
      <c r="N32" s="3348"/>
    </row>
    <row r="33" spans="1:104" s="196" customFormat="1" ht="17.25" customHeight="1" thickBot="1" x14ac:dyDescent="0.25">
      <c r="A33" s="3366"/>
      <c r="B33" s="279" t="s">
        <v>5</v>
      </c>
      <c r="C33" s="3398"/>
      <c r="D33" s="1701">
        <f>+E33+F33+G33+H33</f>
        <v>349415</v>
      </c>
      <c r="E33" s="280">
        <v>0</v>
      </c>
      <c r="F33" s="280">
        <v>0</v>
      </c>
      <c r="G33" s="1702">
        <v>69883</v>
      </c>
      <c r="H33" s="1767">
        <f>69883+69883+69883+69883</f>
        <v>279532</v>
      </c>
      <c r="I33" s="1703">
        <f t="shared" si="28"/>
        <v>0</v>
      </c>
      <c r="J33" s="1291">
        <f t="shared" si="34"/>
        <v>0</v>
      </c>
      <c r="K33" s="1702">
        <v>0</v>
      </c>
      <c r="L33" s="1291">
        <f t="shared" si="35"/>
        <v>0</v>
      </c>
      <c r="M33" s="1424">
        <f t="shared" si="36"/>
        <v>-34941.5</v>
      </c>
      <c r="N33" s="3348"/>
    </row>
    <row r="34" spans="1:104" s="196" customFormat="1" ht="15" customHeight="1" x14ac:dyDescent="0.2">
      <c r="A34" s="3390"/>
      <c r="B34" s="281" t="s">
        <v>13</v>
      </c>
      <c r="C34" s="3242"/>
      <c r="D34" s="282">
        <f t="shared" ref="D34" si="39">+D35</f>
        <v>378535</v>
      </c>
      <c r="E34" s="308">
        <v>0</v>
      </c>
      <c r="F34" s="308">
        <v>0</v>
      </c>
      <c r="G34" s="1706">
        <f t="shared" ref="G34:H34" si="40">+G35</f>
        <v>75707</v>
      </c>
      <c r="H34" s="1818">
        <f t="shared" si="40"/>
        <v>302828</v>
      </c>
      <c r="I34" s="282">
        <f t="shared" si="28"/>
        <v>0</v>
      </c>
      <c r="J34" s="1256">
        <f t="shared" si="34"/>
        <v>0</v>
      </c>
      <c r="K34" s="1707">
        <f>K35</f>
        <v>0</v>
      </c>
      <c r="L34" s="1256">
        <f t="shared" si="35"/>
        <v>0</v>
      </c>
      <c r="M34" s="1425">
        <f t="shared" si="36"/>
        <v>-37853.5</v>
      </c>
      <c r="N34" s="3347"/>
    </row>
    <row r="35" spans="1:104" s="196" customFormat="1" ht="15" customHeight="1" x14ac:dyDescent="0.2">
      <c r="A35" s="3366"/>
      <c r="B35" s="1232" t="s">
        <v>14</v>
      </c>
      <c r="C35" s="3100"/>
      <c r="D35" s="1701">
        <f>+E35+F35+G35+H35</f>
        <v>378535</v>
      </c>
      <c r="E35" s="280">
        <v>0</v>
      </c>
      <c r="F35" s="280">
        <v>0</v>
      </c>
      <c r="G35" s="1702">
        <v>75707</v>
      </c>
      <c r="H35" s="1767">
        <f>75707+75707+75707+75707</f>
        <v>302828</v>
      </c>
      <c r="I35" s="1703">
        <f t="shared" si="28"/>
        <v>0</v>
      </c>
      <c r="J35" s="1291">
        <f t="shared" si="34"/>
        <v>0</v>
      </c>
      <c r="K35" s="1702">
        <v>0</v>
      </c>
      <c r="L35" s="1291">
        <f t="shared" si="35"/>
        <v>0</v>
      </c>
      <c r="M35" s="1424">
        <f t="shared" si="36"/>
        <v>-37853.5</v>
      </c>
      <c r="N35" s="3348"/>
    </row>
    <row r="36" spans="1:104" s="196" customFormat="1" ht="17.25" customHeight="1" thickBot="1" x14ac:dyDescent="0.25">
      <c r="A36" s="3366"/>
      <c r="B36" s="236" t="s">
        <v>17</v>
      </c>
      <c r="C36" s="237"/>
      <c r="D36" s="302">
        <f>+D37</f>
        <v>378535</v>
      </c>
      <c r="E36" s="303">
        <v>0</v>
      </c>
      <c r="F36" s="303">
        <v>0</v>
      </c>
      <c r="G36" s="304">
        <f t="shared" ref="G36:H37" si="41">+G37</f>
        <v>52995</v>
      </c>
      <c r="H36" s="1180">
        <f t="shared" si="41"/>
        <v>325540</v>
      </c>
      <c r="I36" s="302">
        <f t="shared" si="28"/>
        <v>53066</v>
      </c>
      <c r="J36" s="1181">
        <f t="shared" si="34"/>
        <v>14.018782939490404</v>
      </c>
      <c r="K36" s="304">
        <f>K37</f>
        <v>53066</v>
      </c>
      <c r="L36" s="1181">
        <f t="shared" si="35"/>
        <v>100.13397490329277</v>
      </c>
      <c r="M36" s="1185">
        <f t="shared" si="36"/>
        <v>26568.5</v>
      </c>
      <c r="N36" s="3348"/>
    </row>
    <row r="37" spans="1:104" s="196" customFormat="1" ht="17.25" customHeight="1" x14ac:dyDescent="0.2">
      <c r="A37" s="3390"/>
      <c r="B37" s="1577" t="s">
        <v>13</v>
      </c>
      <c r="C37" s="3122" t="s">
        <v>310</v>
      </c>
      <c r="D37" s="282">
        <f>+D38</f>
        <v>378535</v>
      </c>
      <c r="E37" s="284">
        <v>0</v>
      </c>
      <c r="F37" s="284">
        <v>0</v>
      </c>
      <c r="G37" s="283">
        <f t="shared" si="41"/>
        <v>52995</v>
      </c>
      <c r="H37" s="1819">
        <f t="shared" si="41"/>
        <v>325540</v>
      </c>
      <c r="I37" s="282">
        <f t="shared" si="28"/>
        <v>53066</v>
      </c>
      <c r="J37" s="1231">
        <f t="shared" si="34"/>
        <v>14.018782939490404</v>
      </c>
      <c r="K37" s="283">
        <f>K38</f>
        <v>53066</v>
      </c>
      <c r="L37" s="1231">
        <f t="shared" si="35"/>
        <v>100.13397490329277</v>
      </c>
      <c r="M37" s="1426">
        <f t="shared" si="36"/>
        <v>26568.5</v>
      </c>
      <c r="N37" s="3347"/>
    </row>
    <row r="38" spans="1:104" s="196" customFormat="1" ht="15" customHeight="1" thickBot="1" x14ac:dyDescent="0.25">
      <c r="A38" s="3367"/>
      <c r="B38" s="594" t="s">
        <v>14</v>
      </c>
      <c r="C38" s="3043"/>
      <c r="D38" s="1711">
        <f>+E38+F38+G38+H38</f>
        <v>378535</v>
      </c>
      <c r="E38" s="288">
        <v>0</v>
      </c>
      <c r="F38" s="288">
        <v>0</v>
      </c>
      <c r="G38" s="1712">
        <v>52995</v>
      </c>
      <c r="H38" s="1770">
        <f>75707+75707+75707+75707+22712</f>
        <v>325540</v>
      </c>
      <c r="I38" s="641">
        <f t="shared" si="28"/>
        <v>53066</v>
      </c>
      <c r="J38" s="595">
        <f t="shared" si="34"/>
        <v>14.018782939490404</v>
      </c>
      <c r="K38" s="1816">
        <v>53066</v>
      </c>
      <c r="L38" s="595">
        <f t="shared" si="35"/>
        <v>100.13397490329277</v>
      </c>
      <c r="M38" s="1428">
        <f t="shared" si="36"/>
        <v>26568.5</v>
      </c>
      <c r="N38" s="3359"/>
    </row>
    <row r="39" spans="1:104" s="196" customFormat="1" ht="18" customHeight="1" thickBot="1" x14ac:dyDescent="0.25">
      <c r="A39" s="3375" t="s">
        <v>241</v>
      </c>
      <c r="B39" s="3376"/>
      <c r="C39" s="3376"/>
      <c r="D39" s="3376"/>
      <c r="E39" s="3376"/>
      <c r="F39" s="3376"/>
      <c r="G39" s="3376"/>
      <c r="H39" s="3376"/>
      <c r="I39" s="3376"/>
      <c r="J39" s="3376"/>
      <c r="K39" s="3376"/>
      <c r="L39" s="3376"/>
      <c r="M39" s="3376"/>
      <c r="N39" s="3377"/>
    </row>
    <row r="40" spans="1:104" s="196" customFormat="1" ht="20.25" customHeight="1" thickBot="1" x14ac:dyDescent="0.25">
      <c r="A40" s="3393"/>
      <c r="B40" s="1476" t="s">
        <v>189</v>
      </c>
      <c r="C40" s="1481"/>
      <c r="D40" s="1477">
        <f t="shared" ref="D40:H40" si="42">D41+D42</f>
        <v>17491323</v>
      </c>
      <c r="E40" s="1482">
        <f t="shared" si="42"/>
        <v>11101413</v>
      </c>
      <c r="F40" s="1482">
        <f t="shared" si="42"/>
        <v>292000</v>
      </c>
      <c r="G40" s="1482">
        <f t="shared" si="42"/>
        <v>2994651</v>
      </c>
      <c r="H40" s="1480">
        <f t="shared" si="42"/>
        <v>3103259</v>
      </c>
      <c r="I40" s="1483">
        <f>I41+I42</f>
        <v>12366665</v>
      </c>
      <c r="J40" s="1478">
        <f>I40/D40*100</f>
        <v>70.701713072247301</v>
      </c>
      <c r="K40" s="1482">
        <f>K41+K42</f>
        <v>973252</v>
      </c>
      <c r="L40" s="1478">
        <f>K40/G40*100</f>
        <v>32.499680263242695</v>
      </c>
      <c r="M40" s="1480">
        <f>+K40-G40*0.5</f>
        <v>-524073.5</v>
      </c>
      <c r="N40" s="1412"/>
    </row>
    <row r="41" spans="1:104" s="196" customFormat="1" ht="18.75" customHeight="1" thickTop="1" x14ac:dyDescent="0.2">
      <c r="A41" s="3394"/>
      <c r="B41" s="207" t="s">
        <v>190</v>
      </c>
      <c r="C41" s="148"/>
      <c r="D41" s="151">
        <v>0</v>
      </c>
      <c r="E41" s="149">
        <v>0</v>
      </c>
      <c r="F41" s="149">
        <v>0</v>
      </c>
      <c r="G41" s="149">
        <v>0</v>
      </c>
      <c r="H41" s="150">
        <v>0</v>
      </c>
      <c r="I41" s="1484">
        <v>0</v>
      </c>
      <c r="J41" s="210">
        <v>0</v>
      </c>
      <c r="K41" s="149">
        <v>0</v>
      </c>
      <c r="L41" s="210">
        <v>0</v>
      </c>
      <c r="M41" s="2654">
        <f>+K41-G41*0.5</f>
        <v>0</v>
      </c>
      <c r="N41" s="1413"/>
    </row>
    <row r="42" spans="1:104" s="196" customFormat="1" ht="15.75" thickBot="1" x14ac:dyDescent="0.25">
      <c r="A42" s="3395"/>
      <c r="B42" s="1485" t="s">
        <v>191</v>
      </c>
      <c r="C42" s="1479"/>
      <c r="D42" s="216">
        <f>D57+D61+D68+D78</f>
        <v>17491323</v>
      </c>
      <c r="E42" s="154">
        <f t="shared" ref="E42:F42" si="43">E57+E61+E68</f>
        <v>11101413</v>
      </c>
      <c r="F42" s="154">
        <f t="shared" si="43"/>
        <v>292000</v>
      </c>
      <c r="G42" s="154">
        <f>G57+G61+G68+G78</f>
        <v>2994651</v>
      </c>
      <c r="H42" s="215">
        <f>H57+H61+H68+H78</f>
        <v>3103259</v>
      </c>
      <c r="I42" s="1486">
        <f>I57+I61+I68+I78</f>
        <v>12366665</v>
      </c>
      <c r="J42" s="99">
        <f t="shared" ref="J42:J55" si="44">I42/D42*100</f>
        <v>70.701713072247301</v>
      </c>
      <c r="K42" s="154">
        <f>K57+K61+K68+K78</f>
        <v>973252</v>
      </c>
      <c r="L42" s="99">
        <f>K42/G42*100</f>
        <v>32.499680263242695</v>
      </c>
      <c r="M42" s="2655">
        <f>+K42-G42*0.5</f>
        <v>-524073.5</v>
      </c>
      <c r="N42" s="1475"/>
    </row>
    <row r="43" spans="1:104" s="554" customFormat="1" ht="13.5" customHeight="1" x14ac:dyDescent="0.2">
      <c r="A43" s="3363"/>
      <c r="B43" s="217" t="s">
        <v>3</v>
      </c>
      <c r="C43" s="1095"/>
      <c r="D43" s="1098">
        <f>+D44+D48</f>
        <v>32106042</v>
      </c>
      <c r="E43" s="1096">
        <f>+E44+E48</f>
        <v>11101413</v>
      </c>
      <c r="F43" s="1096">
        <f>F44+F48</f>
        <v>312000</v>
      </c>
      <c r="G43" s="1096">
        <f>+G44+G48</f>
        <v>11324506</v>
      </c>
      <c r="H43" s="1097">
        <f>+H44+H48</f>
        <v>9368123</v>
      </c>
      <c r="I43" s="1098">
        <f>+I44+I48</f>
        <v>12386665</v>
      </c>
      <c r="J43" s="1099">
        <f t="shared" si="44"/>
        <v>38.580479649282211</v>
      </c>
      <c r="K43" s="1096">
        <f>K44+K48</f>
        <v>973252</v>
      </c>
      <c r="L43" s="1099">
        <f>K43/G43*100</f>
        <v>8.5942115267544548</v>
      </c>
      <c r="M43" s="1842">
        <f>+K43-G43*0.5</f>
        <v>-4689001</v>
      </c>
      <c r="N43" s="3355" t="s">
        <v>89</v>
      </c>
      <c r="O43" s="553"/>
      <c r="P43" s="553"/>
      <c r="Q43" s="553"/>
      <c r="R43" s="553"/>
      <c r="S43" s="553"/>
      <c r="T43" s="553"/>
      <c r="U43" s="553"/>
      <c r="V43" s="553"/>
      <c r="W43" s="553"/>
      <c r="X43" s="553"/>
      <c r="Y43" s="553"/>
      <c r="Z43" s="553"/>
      <c r="AA43" s="553"/>
      <c r="AB43" s="553"/>
      <c r="AC43" s="553"/>
      <c r="AD43" s="553"/>
      <c r="AE43" s="553"/>
      <c r="AF43" s="553"/>
      <c r="AG43" s="553"/>
      <c r="AH43" s="553"/>
      <c r="AI43" s="553"/>
      <c r="AJ43" s="553"/>
      <c r="AK43" s="553"/>
      <c r="AL43" s="553"/>
      <c r="AM43" s="553"/>
      <c r="AN43" s="553"/>
      <c r="AO43" s="553"/>
      <c r="AP43" s="553"/>
      <c r="AQ43" s="553"/>
      <c r="AR43" s="553"/>
      <c r="AS43" s="553"/>
      <c r="AT43" s="553"/>
      <c r="AU43" s="553"/>
      <c r="AV43" s="553"/>
      <c r="AW43" s="553"/>
      <c r="AX43" s="553"/>
      <c r="AY43" s="553"/>
      <c r="AZ43" s="553"/>
      <c r="BA43" s="553"/>
      <c r="BB43" s="553"/>
      <c r="BC43" s="553"/>
      <c r="BD43" s="553"/>
      <c r="BE43" s="553"/>
      <c r="BF43" s="553"/>
      <c r="BG43" s="553"/>
      <c r="BH43" s="553"/>
      <c r="BI43" s="553"/>
      <c r="BJ43" s="553"/>
      <c r="BK43" s="553"/>
      <c r="BL43" s="553"/>
      <c r="BM43" s="553"/>
      <c r="BN43" s="553"/>
      <c r="BO43" s="553"/>
      <c r="BP43" s="553"/>
      <c r="BQ43" s="553"/>
      <c r="BR43" s="553"/>
      <c r="BS43" s="553"/>
      <c r="BT43" s="553"/>
      <c r="BU43" s="553"/>
      <c r="BV43" s="553"/>
      <c r="BW43" s="553"/>
      <c r="BX43" s="553"/>
      <c r="BY43" s="553"/>
      <c r="BZ43" s="553"/>
      <c r="CA43" s="553"/>
      <c r="CB43" s="553"/>
      <c r="CC43" s="553"/>
      <c r="CD43" s="553"/>
      <c r="CE43" s="553"/>
      <c r="CF43" s="553"/>
      <c r="CG43" s="553"/>
      <c r="CH43" s="553"/>
      <c r="CI43" s="553"/>
      <c r="CJ43" s="553"/>
      <c r="CK43" s="553"/>
      <c r="CL43" s="553"/>
      <c r="CM43" s="553"/>
      <c r="CN43" s="553"/>
      <c r="CO43" s="553"/>
      <c r="CP43" s="553"/>
      <c r="CQ43" s="553"/>
      <c r="CR43" s="553"/>
      <c r="CS43" s="553"/>
      <c r="CT43" s="553"/>
      <c r="CU43" s="553"/>
      <c r="CV43" s="553"/>
      <c r="CW43" s="553"/>
      <c r="CX43" s="553"/>
      <c r="CY43" s="553"/>
      <c r="CZ43" s="553"/>
    </row>
    <row r="44" spans="1:104" s="554" customFormat="1" ht="13.5" customHeight="1" x14ac:dyDescent="0.2">
      <c r="A44" s="3364"/>
      <c r="B44" s="1100" t="s">
        <v>18</v>
      </c>
      <c r="C44" s="3360"/>
      <c r="D44" s="509">
        <f>D46+D45+D47</f>
        <v>21145003</v>
      </c>
      <c r="E44" s="511">
        <f>E46+E45+E47</f>
        <v>11101413</v>
      </c>
      <c r="F44" s="511">
        <f t="shared" ref="F44:H44" si="45">F46+F45+F47</f>
        <v>297000</v>
      </c>
      <c r="G44" s="511">
        <f t="shared" si="45"/>
        <v>5077115</v>
      </c>
      <c r="H44" s="507">
        <f t="shared" si="45"/>
        <v>4669475</v>
      </c>
      <c r="I44" s="509">
        <f t="shared" ref="I44" si="46">I46+I45+I47</f>
        <v>12371665</v>
      </c>
      <c r="J44" s="1101">
        <f t="shared" si="44"/>
        <v>58.508693519693523</v>
      </c>
      <c r="K44" s="511">
        <f t="shared" ref="K44" si="47">K46+K45+K47</f>
        <v>973252</v>
      </c>
      <c r="L44" s="1114">
        <f t="shared" ref="L44:L46" si="48">K44/G44*100</f>
        <v>19.169390490465549</v>
      </c>
      <c r="M44" s="2830">
        <f t="shared" ref="M44:M49" si="49">+K44-G44*0.5</f>
        <v>-1565305.5</v>
      </c>
      <c r="N44" s="3356"/>
      <c r="O44" s="553"/>
      <c r="P44" s="553"/>
      <c r="Q44" s="553"/>
      <c r="R44" s="553"/>
      <c r="S44" s="553"/>
      <c r="T44" s="553"/>
      <c r="U44" s="553"/>
      <c r="V44" s="553"/>
      <c r="W44" s="553"/>
      <c r="X44" s="553"/>
      <c r="Y44" s="553"/>
      <c r="Z44" s="553"/>
      <c r="AA44" s="553"/>
      <c r="AB44" s="553"/>
      <c r="AC44" s="553"/>
      <c r="AD44" s="553"/>
      <c r="AE44" s="553"/>
      <c r="AF44" s="553"/>
      <c r="AG44" s="553"/>
      <c r="AH44" s="553"/>
      <c r="AI44" s="553"/>
      <c r="AJ44" s="553"/>
      <c r="AK44" s="553"/>
      <c r="AL44" s="553"/>
      <c r="AM44" s="553"/>
      <c r="AN44" s="553"/>
      <c r="AO44" s="553"/>
      <c r="AP44" s="553"/>
      <c r="AQ44" s="553"/>
      <c r="AR44" s="553"/>
      <c r="AS44" s="553"/>
      <c r="AT44" s="553"/>
      <c r="AU44" s="553"/>
      <c r="AV44" s="553"/>
      <c r="AW44" s="553"/>
      <c r="AX44" s="553"/>
      <c r="AY44" s="553"/>
      <c r="AZ44" s="553"/>
      <c r="BA44" s="553"/>
      <c r="BB44" s="553"/>
      <c r="BC44" s="553"/>
      <c r="BD44" s="553"/>
      <c r="BE44" s="553"/>
      <c r="BF44" s="553"/>
      <c r="BG44" s="553"/>
      <c r="BH44" s="553"/>
      <c r="BI44" s="553"/>
      <c r="BJ44" s="553"/>
      <c r="BK44" s="553"/>
      <c r="BL44" s="553"/>
      <c r="BM44" s="553"/>
      <c r="BN44" s="553"/>
      <c r="BO44" s="553"/>
      <c r="BP44" s="553"/>
      <c r="BQ44" s="553"/>
      <c r="BR44" s="553"/>
      <c r="BS44" s="553"/>
      <c r="BT44" s="553"/>
      <c r="BU44" s="553"/>
      <c r="BV44" s="553"/>
      <c r="BW44" s="553"/>
      <c r="BX44" s="553"/>
      <c r="BY44" s="553"/>
      <c r="BZ44" s="553"/>
      <c r="CA44" s="553"/>
      <c r="CB44" s="553"/>
      <c r="CC44" s="553"/>
      <c r="CD44" s="553"/>
      <c r="CE44" s="553"/>
      <c r="CF44" s="553"/>
      <c r="CG44" s="553"/>
      <c r="CH44" s="553"/>
      <c r="CI44" s="553"/>
      <c r="CJ44" s="553"/>
      <c r="CK44" s="553"/>
      <c r="CL44" s="553"/>
      <c r="CM44" s="553"/>
      <c r="CN44" s="553"/>
      <c r="CO44" s="553"/>
      <c r="CP44" s="553"/>
      <c r="CQ44" s="553"/>
      <c r="CR44" s="553"/>
      <c r="CS44" s="553"/>
      <c r="CT44" s="553"/>
      <c r="CU44" s="553"/>
      <c r="CV44" s="553"/>
      <c r="CW44" s="553"/>
      <c r="CX44" s="553"/>
      <c r="CY44" s="553"/>
      <c r="CZ44" s="553"/>
    </row>
    <row r="45" spans="1:104" s="554" customFormat="1" ht="13.5" customHeight="1" x14ac:dyDescent="0.2">
      <c r="A45" s="3364"/>
      <c r="B45" s="1102" t="s">
        <v>244</v>
      </c>
      <c r="C45" s="3360"/>
      <c r="D45" s="504">
        <f t="shared" ref="D45:H45" si="50">D67</f>
        <v>3653680</v>
      </c>
      <c r="E45" s="505">
        <f t="shared" si="50"/>
        <v>0</v>
      </c>
      <c r="F45" s="505">
        <f t="shared" si="50"/>
        <v>5000</v>
      </c>
      <c r="G45" s="505">
        <f t="shared" si="50"/>
        <v>2082464</v>
      </c>
      <c r="H45" s="494">
        <f t="shared" si="50"/>
        <v>1566216</v>
      </c>
      <c r="I45" s="504">
        <f t="shared" ref="I45" si="51">I67</f>
        <v>5000</v>
      </c>
      <c r="J45" s="1103">
        <f t="shared" si="44"/>
        <v>0.13684832826082197</v>
      </c>
      <c r="K45" s="505">
        <f t="shared" ref="K45" si="52">K67</f>
        <v>0</v>
      </c>
      <c r="L45" s="1114">
        <f t="shared" si="48"/>
        <v>0</v>
      </c>
      <c r="M45" s="2831">
        <f t="shared" si="49"/>
        <v>-1041232</v>
      </c>
      <c r="N45" s="3356"/>
      <c r="O45" s="553"/>
      <c r="P45" s="553"/>
      <c r="Q45" s="553"/>
      <c r="R45" s="553"/>
      <c r="S45" s="553"/>
      <c r="T45" s="553"/>
      <c r="U45" s="553"/>
      <c r="V45" s="553"/>
      <c r="W45" s="553"/>
      <c r="X45" s="553"/>
      <c r="Y45" s="553"/>
      <c r="Z45" s="553"/>
      <c r="AA45" s="553"/>
      <c r="AB45" s="553"/>
      <c r="AC45" s="553"/>
      <c r="AD45" s="553"/>
      <c r="AE45" s="553"/>
      <c r="AF45" s="553"/>
      <c r="AG45" s="553"/>
      <c r="AH45" s="553"/>
      <c r="AI45" s="553"/>
      <c r="AJ45" s="553"/>
      <c r="AK45" s="553"/>
      <c r="AL45" s="553"/>
      <c r="AM45" s="553"/>
      <c r="AN45" s="553"/>
      <c r="AO45" s="553"/>
      <c r="AP45" s="553"/>
      <c r="AQ45" s="553"/>
      <c r="AR45" s="553"/>
      <c r="AS45" s="553"/>
      <c r="AT45" s="553"/>
      <c r="AU45" s="553"/>
      <c r="AV45" s="553"/>
      <c r="AW45" s="553"/>
      <c r="AX45" s="553"/>
      <c r="AY45" s="553"/>
      <c r="AZ45" s="553"/>
      <c r="BA45" s="553"/>
      <c r="BB45" s="553"/>
      <c r="BC45" s="553"/>
      <c r="BD45" s="553"/>
      <c r="BE45" s="553"/>
      <c r="BF45" s="553"/>
      <c r="BG45" s="553"/>
      <c r="BH45" s="553"/>
      <c r="BI45" s="553"/>
      <c r="BJ45" s="553"/>
      <c r="BK45" s="553"/>
      <c r="BL45" s="553"/>
      <c r="BM45" s="553"/>
      <c r="BN45" s="553"/>
      <c r="BO45" s="553"/>
      <c r="BP45" s="553"/>
      <c r="BQ45" s="553"/>
      <c r="BR45" s="553"/>
      <c r="BS45" s="553"/>
      <c r="BT45" s="553"/>
      <c r="BU45" s="553"/>
      <c r="BV45" s="553"/>
      <c r="BW45" s="553"/>
      <c r="BX45" s="553"/>
      <c r="BY45" s="553"/>
      <c r="BZ45" s="553"/>
      <c r="CA45" s="553"/>
      <c r="CB45" s="553"/>
      <c r="CC45" s="553"/>
      <c r="CD45" s="553"/>
      <c r="CE45" s="553"/>
      <c r="CF45" s="553"/>
      <c r="CG45" s="553"/>
      <c r="CH45" s="553"/>
      <c r="CI45" s="553"/>
      <c r="CJ45" s="553"/>
      <c r="CK45" s="553"/>
      <c r="CL45" s="553"/>
      <c r="CM45" s="553"/>
      <c r="CN45" s="553"/>
      <c r="CO45" s="553"/>
      <c r="CP45" s="553"/>
      <c r="CQ45" s="553"/>
      <c r="CR45" s="553"/>
      <c r="CS45" s="553"/>
      <c r="CT45" s="553"/>
      <c r="CU45" s="553"/>
      <c r="CV45" s="553"/>
      <c r="CW45" s="553"/>
      <c r="CX45" s="553"/>
      <c r="CY45" s="553"/>
      <c r="CZ45" s="553"/>
    </row>
    <row r="46" spans="1:104" s="554" customFormat="1" ht="13.5" customHeight="1" x14ac:dyDescent="0.2">
      <c r="A46" s="3364"/>
      <c r="B46" s="1102" t="s">
        <v>247</v>
      </c>
      <c r="C46" s="3361"/>
      <c r="D46" s="504">
        <f>D68+D80</f>
        <v>4915260</v>
      </c>
      <c r="E46" s="505">
        <f t="shared" ref="E46:H46" si="53">E68+E80</f>
        <v>0</v>
      </c>
      <c r="F46" s="505">
        <f t="shared" si="53"/>
        <v>0</v>
      </c>
      <c r="G46" s="505">
        <f t="shared" si="53"/>
        <v>2994651</v>
      </c>
      <c r="H46" s="494">
        <f t="shared" si="53"/>
        <v>1920609</v>
      </c>
      <c r="I46" s="504">
        <f>I68+I80</f>
        <v>973252</v>
      </c>
      <c r="J46" s="1103">
        <f t="shared" si="44"/>
        <v>19.800620923409952</v>
      </c>
      <c r="K46" s="505">
        <f>K68+K80</f>
        <v>973252</v>
      </c>
      <c r="L46" s="1114">
        <f t="shared" si="48"/>
        <v>32.499680263242695</v>
      </c>
      <c r="M46" s="2831">
        <f t="shared" si="49"/>
        <v>-524073.5</v>
      </c>
      <c r="N46" s="3356"/>
      <c r="O46" s="553"/>
      <c r="P46" s="553"/>
      <c r="Q46" s="553"/>
      <c r="R46" s="553"/>
      <c r="S46" s="553"/>
      <c r="T46" s="553"/>
      <c r="U46" s="553"/>
      <c r="V46" s="553"/>
      <c r="W46" s="553"/>
      <c r="X46" s="553"/>
      <c r="Y46" s="553"/>
      <c r="Z46" s="553"/>
      <c r="AA46" s="553"/>
      <c r="AB46" s="553"/>
      <c r="AC46" s="553"/>
      <c r="AD46" s="553"/>
      <c r="AE46" s="553"/>
      <c r="AF46" s="553"/>
      <c r="AG46" s="553"/>
      <c r="AH46" s="553"/>
      <c r="AI46" s="553"/>
      <c r="AJ46" s="553"/>
      <c r="AK46" s="553"/>
      <c r="AL46" s="553"/>
      <c r="AM46" s="553"/>
      <c r="AN46" s="553"/>
      <c r="AO46" s="553"/>
      <c r="AP46" s="553"/>
      <c r="AQ46" s="553"/>
      <c r="AR46" s="553"/>
      <c r="AS46" s="553"/>
      <c r="AT46" s="553"/>
      <c r="AU46" s="553"/>
      <c r="AV46" s="553"/>
      <c r="AW46" s="553"/>
      <c r="AX46" s="553"/>
      <c r="AY46" s="553"/>
      <c r="AZ46" s="553"/>
      <c r="BA46" s="553"/>
      <c r="BB46" s="553"/>
      <c r="BC46" s="553"/>
      <c r="BD46" s="553"/>
      <c r="BE46" s="553"/>
      <c r="BF46" s="553"/>
      <c r="BG46" s="553"/>
      <c r="BH46" s="553"/>
      <c r="BI46" s="553"/>
      <c r="BJ46" s="553"/>
      <c r="BK46" s="553"/>
      <c r="BL46" s="553"/>
      <c r="BM46" s="553"/>
      <c r="BN46" s="553"/>
      <c r="BO46" s="553"/>
      <c r="BP46" s="553"/>
      <c r="BQ46" s="553"/>
      <c r="BR46" s="553"/>
      <c r="BS46" s="553"/>
      <c r="BT46" s="553"/>
      <c r="BU46" s="553"/>
      <c r="BV46" s="553"/>
      <c r="BW46" s="553"/>
      <c r="BX46" s="553"/>
      <c r="BY46" s="553"/>
      <c r="BZ46" s="553"/>
      <c r="CA46" s="553"/>
      <c r="CB46" s="553"/>
      <c r="CC46" s="553"/>
      <c r="CD46" s="553"/>
      <c r="CE46" s="553"/>
      <c r="CF46" s="553"/>
      <c r="CG46" s="553"/>
      <c r="CH46" s="553"/>
      <c r="CI46" s="553"/>
      <c r="CJ46" s="553"/>
      <c r="CK46" s="553"/>
      <c r="CL46" s="553"/>
      <c r="CM46" s="553"/>
      <c r="CN46" s="553"/>
      <c r="CO46" s="553"/>
      <c r="CP46" s="553"/>
      <c r="CQ46" s="553"/>
      <c r="CR46" s="553"/>
      <c r="CS46" s="553"/>
      <c r="CT46" s="553"/>
      <c r="CU46" s="553"/>
      <c r="CV46" s="553"/>
      <c r="CW46" s="553"/>
      <c r="CX46" s="553"/>
      <c r="CY46" s="553"/>
      <c r="CZ46" s="553"/>
    </row>
    <row r="47" spans="1:104" s="554" customFormat="1" ht="13.5" customHeight="1" x14ac:dyDescent="0.2">
      <c r="A47" s="3364"/>
      <c r="B47" s="1102" t="s">
        <v>5</v>
      </c>
      <c r="C47" s="3361"/>
      <c r="D47" s="504">
        <f t="shared" ref="D47:H47" si="54">D59+D63</f>
        <v>12576063</v>
      </c>
      <c r="E47" s="505">
        <f t="shared" si="54"/>
        <v>11101413</v>
      </c>
      <c r="F47" s="505">
        <f t="shared" si="54"/>
        <v>292000</v>
      </c>
      <c r="G47" s="505">
        <f t="shared" si="54"/>
        <v>0</v>
      </c>
      <c r="H47" s="494">
        <f t="shared" si="54"/>
        <v>1182650</v>
      </c>
      <c r="I47" s="504">
        <f t="shared" ref="I47" si="55">I59+I63</f>
        <v>11393413</v>
      </c>
      <c r="J47" s="1103">
        <f t="shared" si="44"/>
        <v>90.596023572719062</v>
      </c>
      <c r="K47" s="505">
        <f t="shared" ref="K47" si="56">K59+K63</f>
        <v>0</v>
      </c>
      <c r="L47" s="1114">
        <v>0</v>
      </c>
      <c r="M47" s="2831">
        <f t="shared" si="49"/>
        <v>0</v>
      </c>
      <c r="N47" s="3356"/>
      <c r="O47" s="553"/>
      <c r="P47" s="553"/>
      <c r="Q47" s="553"/>
      <c r="R47" s="553"/>
      <c r="S47" s="553"/>
      <c r="T47" s="553"/>
      <c r="U47" s="553"/>
      <c r="V47" s="553"/>
      <c r="W47" s="553"/>
      <c r="X47" s="553"/>
      <c r="Y47" s="553"/>
      <c r="Z47" s="553"/>
      <c r="AA47" s="553"/>
      <c r="AB47" s="553"/>
      <c r="AC47" s="553"/>
      <c r="AD47" s="553"/>
      <c r="AE47" s="553"/>
      <c r="AF47" s="553"/>
      <c r="AG47" s="553"/>
      <c r="AH47" s="553"/>
      <c r="AI47" s="553"/>
      <c r="AJ47" s="553"/>
      <c r="AK47" s="553"/>
      <c r="AL47" s="553"/>
      <c r="AM47" s="553"/>
      <c r="AN47" s="553"/>
      <c r="AO47" s="553"/>
      <c r="AP47" s="553"/>
      <c r="AQ47" s="553"/>
      <c r="AR47" s="553"/>
      <c r="AS47" s="553"/>
      <c r="AT47" s="553"/>
      <c r="AU47" s="553"/>
      <c r="AV47" s="553"/>
      <c r="AW47" s="553"/>
      <c r="AX47" s="553"/>
      <c r="AY47" s="553"/>
      <c r="AZ47" s="553"/>
      <c r="BA47" s="553"/>
      <c r="BB47" s="553"/>
      <c r="BC47" s="553"/>
      <c r="BD47" s="553"/>
      <c r="BE47" s="553"/>
      <c r="BF47" s="553"/>
      <c r="BG47" s="553"/>
      <c r="BH47" s="553"/>
      <c r="BI47" s="553"/>
      <c r="BJ47" s="553"/>
      <c r="BK47" s="553"/>
      <c r="BL47" s="553"/>
      <c r="BM47" s="553"/>
      <c r="BN47" s="553"/>
      <c r="BO47" s="553"/>
      <c r="BP47" s="553"/>
      <c r="BQ47" s="553"/>
      <c r="BR47" s="553"/>
      <c r="BS47" s="553"/>
      <c r="BT47" s="553"/>
      <c r="BU47" s="553"/>
      <c r="BV47" s="553"/>
      <c r="BW47" s="553"/>
      <c r="BX47" s="553"/>
      <c r="BY47" s="553"/>
      <c r="BZ47" s="553"/>
      <c r="CA47" s="553"/>
      <c r="CB47" s="553"/>
      <c r="CC47" s="553"/>
      <c r="CD47" s="553"/>
      <c r="CE47" s="553"/>
      <c r="CF47" s="553"/>
      <c r="CG47" s="553"/>
      <c r="CH47" s="553"/>
      <c r="CI47" s="553"/>
      <c r="CJ47" s="553"/>
      <c r="CK47" s="553"/>
      <c r="CL47" s="553"/>
      <c r="CM47" s="553"/>
      <c r="CN47" s="553"/>
      <c r="CO47" s="553"/>
      <c r="CP47" s="553"/>
      <c r="CQ47" s="553"/>
      <c r="CR47" s="553"/>
      <c r="CS47" s="553"/>
      <c r="CT47" s="553"/>
      <c r="CU47" s="553"/>
      <c r="CV47" s="553"/>
      <c r="CW47" s="553"/>
      <c r="CX47" s="553"/>
      <c r="CY47" s="553"/>
      <c r="CZ47" s="553"/>
    </row>
    <row r="48" spans="1:104" s="554" customFormat="1" ht="13.5" customHeight="1" x14ac:dyDescent="0.2">
      <c r="A48" s="3364"/>
      <c r="B48" s="1105" t="s">
        <v>13</v>
      </c>
      <c r="C48" s="3361"/>
      <c r="D48" s="509">
        <f t="shared" ref="D48:I48" si="57">+D49</f>
        <v>10961039</v>
      </c>
      <c r="E48" s="511">
        <f t="shared" si="57"/>
        <v>0</v>
      </c>
      <c r="F48" s="511">
        <f t="shared" si="57"/>
        <v>15000</v>
      </c>
      <c r="G48" s="511">
        <f t="shared" si="57"/>
        <v>6247391</v>
      </c>
      <c r="H48" s="507">
        <f t="shared" si="57"/>
        <v>4698648</v>
      </c>
      <c r="I48" s="509">
        <f t="shared" si="57"/>
        <v>15000</v>
      </c>
      <c r="J48" s="1101">
        <f t="shared" si="44"/>
        <v>0.13684834074579974</v>
      </c>
      <c r="K48" s="511">
        <f t="shared" ref="K48" si="58">+K49</f>
        <v>0</v>
      </c>
      <c r="L48" s="1101">
        <f>K48/G48*100</f>
        <v>0</v>
      </c>
      <c r="M48" s="2830">
        <f t="shared" si="49"/>
        <v>-3123695.5</v>
      </c>
      <c r="N48" s="3356"/>
      <c r="O48" s="553"/>
      <c r="P48" s="553"/>
      <c r="Q48" s="553"/>
      <c r="R48" s="553"/>
      <c r="S48" s="553"/>
      <c r="T48" s="553"/>
      <c r="U48" s="553"/>
      <c r="V48" s="553"/>
      <c r="W48" s="553"/>
      <c r="X48" s="553"/>
      <c r="Y48" s="553"/>
      <c r="Z48" s="553"/>
      <c r="AA48" s="553"/>
      <c r="AB48" s="553"/>
      <c r="AC48" s="553"/>
      <c r="AD48" s="553"/>
      <c r="AE48" s="553"/>
      <c r="AF48" s="553"/>
      <c r="AG48" s="553"/>
      <c r="AH48" s="553"/>
      <c r="AI48" s="553"/>
      <c r="AJ48" s="553"/>
      <c r="AK48" s="553"/>
      <c r="AL48" s="553"/>
      <c r="AM48" s="553"/>
      <c r="AN48" s="553"/>
      <c r="AO48" s="553"/>
      <c r="AP48" s="553"/>
      <c r="AQ48" s="553"/>
      <c r="AR48" s="553"/>
      <c r="AS48" s="553"/>
      <c r="AT48" s="553"/>
      <c r="AU48" s="553"/>
      <c r="AV48" s="553"/>
      <c r="AW48" s="553"/>
      <c r="AX48" s="553"/>
      <c r="AY48" s="553"/>
      <c r="AZ48" s="553"/>
      <c r="BA48" s="553"/>
      <c r="BB48" s="553"/>
      <c r="BC48" s="553"/>
      <c r="BD48" s="553"/>
      <c r="BE48" s="553"/>
      <c r="BF48" s="553"/>
      <c r="BG48" s="553"/>
      <c r="BH48" s="553"/>
      <c r="BI48" s="553"/>
      <c r="BJ48" s="553"/>
      <c r="BK48" s="553"/>
      <c r="BL48" s="553"/>
      <c r="BM48" s="553"/>
      <c r="BN48" s="553"/>
      <c r="BO48" s="553"/>
      <c r="BP48" s="553"/>
      <c r="BQ48" s="553"/>
      <c r="BR48" s="553"/>
      <c r="BS48" s="553"/>
      <c r="BT48" s="553"/>
      <c r="BU48" s="553"/>
      <c r="BV48" s="553"/>
      <c r="BW48" s="553"/>
      <c r="BX48" s="553"/>
      <c r="BY48" s="553"/>
      <c r="BZ48" s="553"/>
      <c r="CA48" s="553"/>
      <c r="CB48" s="553"/>
      <c r="CC48" s="553"/>
      <c r="CD48" s="553"/>
      <c r="CE48" s="553"/>
      <c r="CF48" s="553"/>
      <c r="CG48" s="553"/>
      <c r="CH48" s="553"/>
      <c r="CI48" s="553"/>
      <c r="CJ48" s="553"/>
      <c r="CK48" s="553"/>
      <c r="CL48" s="553"/>
      <c r="CM48" s="553"/>
      <c r="CN48" s="553"/>
      <c r="CO48" s="553"/>
      <c r="CP48" s="553"/>
      <c r="CQ48" s="553"/>
      <c r="CR48" s="553"/>
      <c r="CS48" s="553"/>
      <c r="CT48" s="553"/>
      <c r="CU48" s="553"/>
      <c r="CV48" s="553"/>
      <c r="CW48" s="553"/>
      <c r="CX48" s="553"/>
      <c r="CY48" s="553"/>
      <c r="CZ48" s="553"/>
    </row>
    <row r="49" spans="1:104" s="554" customFormat="1" ht="13.5" customHeight="1" x14ac:dyDescent="0.2">
      <c r="A49" s="3364"/>
      <c r="B49" s="1106" t="s">
        <v>16</v>
      </c>
      <c r="C49" s="3361"/>
      <c r="D49" s="504">
        <f>D70</f>
        <v>10961039</v>
      </c>
      <c r="E49" s="1107">
        <f t="shared" ref="E49:H49" si="59">E70</f>
        <v>0</v>
      </c>
      <c r="F49" s="1107">
        <f t="shared" si="59"/>
        <v>15000</v>
      </c>
      <c r="G49" s="1107">
        <f t="shared" si="59"/>
        <v>6247391</v>
      </c>
      <c r="H49" s="494">
        <f t="shared" si="59"/>
        <v>4698648</v>
      </c>
      <c r="I49" s="504">
        <f t="shared" ref="I49" si="60">I70</f>
        <v>15000</v>
      </c>
      <c r="J49" s="1103">
        <f t="shared" si="44"/>
        <v>0.13684834074579974</v>
      </c>
      <c r="K49" s="1107">
        <f t="shared" ref="K49" si="61">K70</f>
        <v>0</v>
      </c>
      <c r="L49" s="1103">
        <f>K49/G49*100</f>
        <v>0</v>
      </c>
      <c r="M49" s="2831">
        <f t="shared" si="49"/>
        <v>-3123695.5</v>
      </c>
      <c r="N49" s="3356"/>
      <c r="O49" s="553"/>
      <c r="P49" s="553"/>
      <c r="Q49" s="553"/>
      <c r="R49" s="553"/>
      <c r="S49" s="553"/>
      <c r="T49" s="553"/>
      <c r="U49" s="553"/>
      <c r="V49" s="553"/>
      <c r="W49" s="553"/>
      <c r="X49" s="553"/>
      <c r="Y49" s="553"/>
      <c r="Z49" s="553"/>
      <c r="AA49" s="553"/>
      <c r="AB49" s="553"/>
      <c r="AC49" s="553"/>
      <c r="AD49" s="553"/>
      <c r="AE49" s="553"/>
      <c r="AF49" s="553"/>
      <c r="AG49" s="553"/>
      <c r="AH49" s="553"/>
      <c r="AI49" s="553"/>
      <c r="AJ49" s="553"/>
      <c r="AK49" s="553"/>
      <c r="AL49" s="553"/>
      <c r="AM49" s="553"/>
      <c r="AN49" s="553"/>
      <c r="AO49" s="553"/>
      <c r="AP49" s="553"/>
      <c r="AQ49" s="553"/>
      <c r="AR49" s="553"/>
      <c r="AS49" s="553"/>
      <c r="AT49" s="553"/>
      <c r="AU49" s="553"/>
      <c r="AV49" s="553"/>
      <c r="AW49" s="553"/>
      <c r="AX49" s="553"/>
      <c r="AY49" s="553"/>
      <c r="AZ49" s="553"/>
      <c r="BA49" s="553"/>
      <c r="BB49" s="553"/>
      <c r="BC49" s="553"/>
      <c r="BD49" s="553"/>
      <c r="BE49" s="553"/>
      <c r="BF49" s="553"/>
      <c r="BG49" s="553"/>
      <c r="BH49" s="553"/>
      <c r="BI49" s="553"/>
      <c r="BJ49" s="553"/>
      <c r="BK49" s="553"/>
      <c r="BL49" s="553"/>
      <c r="BM49" s="553"/>
      <c r="BN49" s="553"/>
      <c r="BO49" s="553"/>
      <c r="BP49" s="553"/>
      <c r="BQ49" s="553"/>
      <c r="BR49" s="553"/>
      <c r="BS49" s="553"/>
      <c r="BT49" s="553"/>
      <c r="BU49" s="553"/>
      <c r="BV49" s="553"/>
      <c r="BW49" s="553"/>
      <c r="BX49" s="553"/>
      <c r="BY49" s="553"/>
      <c r="BZ49" s="553"/>
      <c r="CA49" s="553"/>
      <c r="CB49" s="553"/>
      <c r="CC49" s="553"/>
      <c r="CD49" s="553"/>
      <c r="CE49" s="553"/>
      <c r="CF49" s="553"/>
      <c r="CG49" s="553"/>
      <c r="CH49" s="553"/>
      <c r="CI49" s="553"/>
      <c r="CJ49" s="553"/>
      <c r="CK49" s="553"/>
      <c r="CL49" s="553"/>
      <c r="CM49" s="553"/>
      <c r="CN49" s="553"/>
      <c r="CO49" s="553"/>
      <c r="CP49" s="553"/>
      <c r="CQ49" s="553"/>
      <c r="CR49" s="553"/>
      <c r="CS49" s="553"/>
      <c r="CT49" s="553"/>
      <c r="CU49" s="553"/>
      <c r="CV49" s="553"/>
      <c r="CW49" s="553"/>
      <c r="CX49" s="553"/>
      <c r="CY49" s="553"/>
      <c r="CZ49" s="553"/>
    </row>
    <row r="50" spans="1:104" s="554" customFormat="1" ht="13.5" customHeight="1" x14ac:dyDescent="0.2">
      <c r="A50" s="3364"/>
      <c r="B50" s="236" t="s">
        <v>17</v>
      </c>
      <c r="C50" s="1108"/>
      <c r="D50" s="529">
        <f>D54+D51</f>
        <v>18154770</v>
      </c>
      <c r="E50" s="484">
        <f>E54</f>
        <v>0</v>
      </c>
      <c r="F50" s="484">
        <f>F54+F51</f>
        <v>20000</v>
      </c>
      <c r="G50" s="484">
        <f>G54+G51</f>
        <v>8307638</v>
      </c>
      <c r="H50" s="479">
        <f>H54+H51</f>
        <v>6178452</v>
      </c>
      <c r="I50" s="529">
        <f>I54+I51</f>
        <v>20000</v>
      </c>
      <c r="J50" s="1109">
        <f t="shared" si="44"/>
        <v>0.11016388530397246</v>
      </c>
      <c r="K50" s="484">
        <f>K54</f>
        <v>0</v>
      </c>
      <c r="L50" s="1109">
        <f>K50/G50*100</f>
        <v>0</v>
      </c>
      <c r="M50" s="2656"/>
      <c r="N50" s="3356"/>
      <c r="O50" s="553"/>
      <c r="P50" s="553"/>
      <c r="Q50" s="553"/>
      <c r="R50" s="553"/>
      <c r="S50" s="553"/>
      <c r="T50" s="553"/>
      <c r="U50" s="553"/>
      <c r="V50" s="553"/>
      <c r="W50" s="553"/>
      <c r="X50" s="553"/>
      <c r="Y50" s="553"/>
      <c r="Z50" s="553"/>
      <c r="AA50" s="553"/>
      <c r="AB50" s="553"/>
      <c r="AC50" s="553"/>
      <c r="AD50" s="553"/>
      <c r="AE50" s="553"/>
      <c r="AF50" s="553"/>
      <c r="AG50" s="553"/>
      <c r="AH50" s="553"/>
      <c r="AI50" s="553"/>
      <c r="AJ50" s="553"/>
      <c r="AK50" s="553"/>
      <c r="AL50" s="553"/>
      <c r="AM50" s="553"/>
      <c r="AN50" s="553"/>
      <c r="AO50" s="553"/>
      <c r="AP50" s="553"/>
      <c r="AQ50" s="553"/>
      <c r="AR50" s="553"/>
      <c r="AS50" s="553"/>
      <c r="AT50" s="553"/>
      <c r="AU50" s="553"/>
      <c r="AV50" s="553"/>
      <c r="AW50" s="553"/>
      <c r="AX50" s="553"/>
      <c r="AY50" s="553"/>
      <c r="AZ50" s="553"/>
      <c r="BA50" s="553"/>
      <c r="BB50" s="553"/>
      <c r="BC50" s="553"/>
      <c r="BD50" s="553"/>
      <c r="BE50" s="553"/>
      <c r="BF50" s="553"/>
      <c r="BG50" s="553"/>
      <c r="BH50" s="553"/>
      <c r="BI50" s="553"/>
      <c r="BJ50" s="553"/>
      <c r="BK50" s="553"/>
      <c r="BL50" s="553"/>
      <c r="BM50" s="553"/>
      <c r="BN50" s="553"/>
      <c r="BO50" s="553"/>
      <c r="BP50" s="553"/>
      <c r="BQ50" s="553"/>
      <c r="BR50" s="553"/>
      <c r="BS50" s="553"/>
      <c r="BT50" s="553"/>
      <c r="BU50" s="553"/>
      <c r="BV50" s="553"/>
      <c r="BW50" s="553"/>
      <c r="BX50" s="553"/>
      <c r="BY50" s="553"/>
      <c r="BZ50" s="553"/>
      <c r="CA50" s="553"/>
      <c r="CB50" s="553"/>
      <c r="CC50" s="553"/>
      <c r="CD50" s="553"/>
      <c r="CE50" s="553"/>
      <c r="CF50" s="553"/>
      <c r="CG50" s="553"/>
      <c r="CH50" s="553"/>
      <c r="CI50" s="553"/>
      <c r="CJ50" s="553"/>
      <c r="CK50" s="553"/>
      <c r="CL50" s="553"/>
      <c r="CM50" s="553"/>
      <c r="CN50" s="553"/>
      <c r="CO50" s="553"/>
      <c r="CP50" s="553"/>
      <c r="CQ50" s="553"/>
      <c r="CR50" s="553"/>
      <c r="CS50" s="553"/>
      <c r="CT50" s="553"/>
      <c r="CU50" s="553"/>
      <c r="CV50" s="553"/>
      <c r="CW50" s="553"/>
      <c r="CX50" s="553"/>
      <c r="CY50" s="553"/>
      <c r="CZ50" s="553"/>
    </row>
    <row r="51" spans="1:104" s="554" customFormat="1" ht="13.5" customHeight="1" x14ac:dyDescent="0.2">
      <c r="A51" s="3364"/>
      <c r="B51" s="1100" t="s">
        <v>18</v>
      </c>
      <c r="C51" s="1110"/>
      <c r="D51" s="1113">
        <f t="shared" ref="D51:H51" si="62">+D52+D53</f>
        <v>7193731</v>
      </c>
      <c r="E51" s="1111">
        <f t="shared" si="62"/>
        <v>0</v>
      </c>
      <c r="F51" s="1111">
        <f t="shared" si="62"/>
        <v>5000</v>
      </c>
      <c r="G51" s="1111">
        <f t="shared" si="62"/>
        <v>2060247</v>
      </c>
      <c r="H51" s="1112">
        <f t="shared" si="62"/>
        <v>1479804</v>
      </c>
      <c r="I51" s="1113">
        <f t="shared" ref="I51" si="63">+I52+I53</f>
        <v>5000</v>
      </c>
      <c r="J51" s="1114">
        <f t="shared" si="44"/>
        <v>6.9504962028744191E-2</v>
      </c>
      <c r="K51" s="1111">
        <f t="shared" ref="K51" si="64">+K52+K53</f>
        <v>0</v>
      </c>
      <c r="L51" s="1114">
        <f>K51/G51*100</f>
        <v>0</v>
      </c>
      <c r="M51" s="3352"/>
      <c r="N51" s="3356"/>
      <c r="O51" s="553"/>
      <c r="P51" s="553"/>
      <c r="Q51" s="553"/>
      <c r="R51" s="553"/>
      <c r="S51" s="553"/>
      <c r="T51" s="553"/>
      <c r="U51" s="553"/>
      <c r="V51" s="553"/>
      <c r="W51" s="553"/>
      <c r="X51" s="553"/>
      <c r="Y51" s="553"/>
      <c r="Z51" s="553"/>
      <c r="AA51" s="553"/>
      <c r="AB51" s="553"/>
      <c r="AC51" s="553"/>
      <c r="AD51" s="553"/>
      <c r="AE51" s="553"/>
      <c r="AF51" s="553"/>
      <c r="AG51" s="553"/>
      <c r="AH51" s="553"/>
      <c r="AI51" s="553"/>
      <c r="AJ51" s="553"/>
      <c r="AK51" s="553"/>
      <c r="AL51" s="553"/>
      <c r="AM51" s="553"/>
      <c r="AN51" s="553"/>
      <c r="AO51" s="553"/>
      <c r="AP51" s="553"/>
      <c r="AQ51" s="553"/>
      <c r="AR51" s="553"/>
      <c r="AS51" s="553"/>
      <c r="AT51" s="553"/>
      <c r="AU51" s="553"/>
      <c r="AV51" s="553"/>
      <c r="AW51" s="553"/>
      <c r="AX51" s="553"/>
      <c r="AY51" s="553"/>
      <c r="AZ51" s="553"/>
      <c r="BA51" s="553"/>
      <c r="BB51" s="553"/>
      <c r="BC51" s="553"/>
      <c r="BD51" s="553"/>
      <c r="BE51" s="553"/>
      <c r="BF51" s="553"/>
      <c r="BG51" s="553"/>
      <c r="BH51" s="553"/>
      <c r="BI51" s="553"/>
      <c r="BJ51" s="553"/>
      <c r="BK51" s="553"/>
      <c r="BL51" s="553"/>
      <c r="BM51" s="553"/>
      <c r="BN51" s="553"/>
      <c r="BO51" s="553"/>
      <c r="BP51" s="553"/>
      <c r="BQ51" s="553"/>
      <c r="BR51" s="553"/>
      <c r="BS51" s="553"/>
      <c r="BT51" s="553"/>
      <c r="BU51" s="553"/>
      <c r="BV51" s="553"/>
      <c r="BW51" s="553"/>
      <c r="BX51" s="553"/>
      <c r="BY51" s="553"/>
      <c r="BZ51" s="553"/>
      <c r="CA51" s="553"/>
      <c r="CB51" s="553"/>
      <c r="CC51" s="553"/>
      <c r="CD51" s="553"/>
      <c r="CE51" s="553"/>
      <c r="CF51" s="553"/>
      <c r="CG51" s="553"/>
      <c r="CH51" s="553"/>
      <c r="CI51" s="553"/>
      <c r="CJ51" s="553"/>
      <c r="CK51" s="553"/>
      <c r="CL51" s="553"/>
      <c r="CM51" s="553"/>
      <c r="CN51" s="553"/>
      <c r="CO51" s="553"/>
      <c r="CP51" s="553"/>
      <c r="CQ51" s="553"/>
      <c r="CR51" s="553"/>
      <c r="CS51" s="553"/>
      <c r="CT51" s="553"/>
      <c r="CU51" s="553"/>
      <c r="CV51" s="553"/>
      <c r="CW51" s="553"/>
      <c r="CX51" s="553"/>
      <c r="CY51" s="553"/>
      <c r="CZ51" s="553"/>
    </row>
    <row r="52" spans="1:104" s="554" customFormat="1" ht="13.5" customHeight="1" x14ac:dyDescent="0.2">
      <c r="A52" s="3364"/>
      <c r="B52" s="1102" t="s">
        <v>244</v>
      </c>
      <c r="C52" s="1110"/>
      <c r="D52" s="504">
        <f>D73</f>
        <v>3653680</v>
      </c>
      <c r="E52" s="505">
        <v>0</v>
      </c>
      <c r="F52" s="505">
        <f>F73</f>
        <v>5000</v>
      </c>
      <c r="G52" s="1115">
        <v>0</v>
      </c>
      <c r="H52" s="1104">
        <v>0</v>
      </c>
      <c r="I52" s="504">
        <f>I73</f>
        <v>5000</v>
      </c>
      <c r="J52" s="1103">
        <f t="shared" si="44"/>
        <v>0.13684832826082197</v>
      </c>
      <c r="K52" s="1115">
        <v>0</v>
      </c>
      <c r="L52" s="1116">
        <v>0</v>
      </c>
      <c r="M52" s="3353"/>
      <c r="N52" s="3356"/>
      <c r="O52" s="553"/>
      <c r="P52" s="553"/>
      <c r="Q52" s="553"/>
      <c r="R52" s="553"/>
      <c r="S52" s="553"/>
      <c r="T52" s="553"/>
      <c r="U52" s="553"/>
      <c r="V52" s="553"/>
      <c r="W52" s="553"/>
      <c r="X52" s="553"/>
      <c r="Y52" s="553"/>
      <c r="Z52" s="553"/>
      <c r="AA52" s="553"/>
      <c r="AB52" s="553"/>
      <c r="AC52" s="553"/>
      <c r="AD52" s="553"/>
      <c r="AE52" s="553"/>
      <c r="AF52" s="553"/>
      <c r="AG52" s="553"/>
      <c r="AH52" s="553"/>
      <c r="AI52" s="553"/>
      <c r="AJ52" s="553"/>
      <c r="AK52" s="553"/>
      <c r="AL52" s="553"/>
      <c r="AM52" s="553"/>
      <c r="AN52" s="553"/>
      <c r="AO52" s="553"/>
      <c r="AP52" s="553"/>
      <c r="AQ52" s="553"/>
      <c r="AR52" s="553"/>
      <c r="AS52" s="553"/>
      <c r="AT52" s="553"/>
      <c r="AU52" s="553"/>
      <c r="AV52" s="553"/>
      <c r="AW52" s="553"/>
      <c r="AX52" s="553"/>
      <c r="AY52" s="553"/>
      <c r="AZ52" s="553"/>
      <c r="BA52" s="553"/>
      <c r="BB52" s="553"/>
      <c r="BC52" s="553"/>
      <c r="BD52" s="553"/>
      <c r="BE52" s="553"/>
      <c r="BF52" s="553"/>
      <c r="BG52" s="553"/>
      <c r="BH52" s="553"/>
      <c r="BI52" s="553"/>
      <c r="BJ52" s="553"/>
      <c r="BK52" s="553"/>
      <c r="BL52" s="553"/>
      <c r="BM52" s="553"/>
      <c r="BN52" s="553"/>
      <c r="BO52" s="553"/>
      <c r="BP52" s="553"/>
      <c r="BQ52" s="553"/>
      <c r="BR52" s="553"/>
      <c r="BS52" s="553"/>
      <c r="BT52" s="553"/>
      <c r="BU52" s="553"/>
      <c r="BV52" s="553"/>
      <c r="BW52" s="553"/>
      <c r="BX52" s="553"/>
      <c r="BY52" s="553"/>
      <c r="BZ52" s="553"/>
      <c r="CA52" s="553"/>
      <c r="CB52" s="553"/>
      <c r="CC52" s="553"/>
      <c r="CD52" s="553"/>
      <c r="CE52" s="553"/>
      <c r="CF52" s="553"/>
      <c r="CG52" s="553"/>
      <c r="CH52" s="553"/>
      <c r="CI52" s="553"/>
      <c r="CJ52" s="553"/>
      <c r="CK52" s="553"/>
      <c r="CL52" s="553"/>
      <c r="CM52" s="553"/>
      <c r="CN52" s="553"/>
      <c r="CO52" s="553"/>
      <c r="CP52" s="553"/>
      <c r="CQ52" s="553"/>
      <c r="CR52" s="553"/>
      <c r="CS52" s="553"/>
      <c r="CT52" s="553"/>
      <c r="CU52" s="553"/>
      <c r="CV52" s="553"/>
      <c r="CW52" s="553"/>
      <c r="CX52" s="553"/>
      <c r="CY52" s="553"/>
      <c r="CZ52" s="553"/>
    </row>
    <row r="53" spans="1:104" s="554" customFormat="1" ht="13.5" customHeight="1" x14ac:dyDescent="0.2">
      <c r="A53" s="3364"/>
      <c r="B53" s="1102" t="s">
        <v>248</v>
      </c>
      <c r="C53" s="1110"/>
      <c r="D53" s="504">
        <f>D74</f>
        <v>3540051</v>
      </c>
      <c r="E53" s="1107">
        <f t="shared" ref="E53:H53" si="65">E74</f>
        <v>0</v>
      </c>
      <c r="F53" s="1107">
        <f t="shared" si="65"/>
        <v>0</v>
      </c>
      <c r="G53" s="1107">
        <f t="shared" si="65"/>
        <v>2060247</v>
      </c>
      <c r="H53" s="494">
        <f t="shared" si="65"/>
        <v>1479804</v>
      </c>
      <c r="I53" s="504">
        <f t="shared" ref="I53" si="66">I74</f>
        <v>0</v>
      </c>
      <c r="J53" s="1114">
        <f t="shared" si="44"/>
        <v>0</v>
      </c>
      <c r="K53" s="1107">
        <f t="shared" ref="K53" si="67">K74</f>
        <v>0</v>
      </c>
      <c r="L53" s="1114">
        <f>K53/G53*100</f>
        <v>0</v>
      </c>
      <c r="M53" s="3353"/>
      <c r="N53" s="3356"/>
      <c r="O53" s="553"/>
      <c r="P53" s="553"/>
      <c r="Q53" s="553"/>
      <c r="R53" s="553"/>
      <c r="S53" s="553"/>
      <c r="T53" s="553"/>
      <c r="U53" s="553"/>
      <c r="V53" s="553"/>
      <c r="W53" s="553"/>
      <c r="X53" s="553"/>
      <c r="Y53" s="553"/>
      <c r="Z53" s="553"/>
      <c r="AA53" s="553"/>
      <c r="AB53" s="553"/>
      <c r="AC53" s="553"/>
      <c r="AD53" s="553"/>
      <c r="AE53" s="553"/>
      <c r="AF53" s="553"/>
      <c r="AG53" s="553"/>
      <c r="AH53" s="553"/>
      <c r="AI53" s="553"/>
      <c r="AJ53" s="553"/>
      <c r="AK53" s="553"/>
      <c r="AL53" s="553"/>
      <c r="AM53" s="553"/>
      <c r="AN53" s="553"/>
      <c r="AO53" s="553"/>
      <c r="AP53" s="553"/>
      <c r="AQ53" s="553"/>
      <c r="AR53" s="553"/>
      <c r="AS53" s="553"/>
      <c r="AT53" s="553"/>
      <c r="AU53" s="553"/>
      <c r="AV53" s="553"/>
      <c r="AW53" s="553"/>
      <c r="AX53" s="553"/>
      <c r="AY53" s="553"/>
      <c r="AZ53" s="553"/>
      <c r="BA53" s="553"/>
      <c r="BB53" s="553"/>
      <c r="BC53" s="553"/>
      <c r="BD53" s="553"/>
      <c r="BE53" s="553"/>
      <c r="BF53" s="553"/>
      <c r="BG53" s="553"/>
      <c r="BH53" s="553"/>
      <c r="BI53" s="553"/>
      <c r="BJ53" s="553"/>
      <c r="BK53" s="553"/>
      <c r="BL53" s="553"/>
      <c r="BM53" s="553"/>
      <c r="BN53" s="553"/>
      <c r="BO53" s="553"/>
      <c r="BP53" s="553"/>
      <c r="BQ53" s="553"/>
      <c r="BR53" s="553"/>
      <c r="BS53" s="553"/>
      <c r="BT53" s="553"/>
      <c r="BU53" s="553"/>
      <c r="BV53" s="553"/>
      <c r="BW53" s="553"/>
      <c r="BX53" s="553"/>
      <c r="BY53" s="553"/>
      <c r="BZ53" s="553"/>
      <c r="CA53" s="553"/>
      <c r="CB53" s="553"/>
      <c r="CC53" s="553"/>
      <c r="CD53" s="553"/>
      <c r="CE53" s="553"/>
      <c r="CF53" s="553"/>
      <c r="CG53" s="553"/>
      <c r="CH53" s="553"/>
      <c r="CI53" s="553"/>
      <c r="CJ53" s="553"/>
      <c r="CK53" s="553"/>
      <c r="CL53" s="553"/>
      <c r="CM53" s="553"/>
      <c r="CN53" s="553"/>
      <c r="CO53" s="553"/>
      <c r="CP53" s="553"/>
      <c r="CQ53" s="553"/>
      <c r="CR53" s="553"/>
      <c r="CS53" s="553"/>
      <c r="CT53" s="553"/>
      <c r="CU53" s="553"/>
      <c r="CV53" s="553"/>
      <c r="CW53" s="553"/>
      <c r="CX53" s="553"/>
      <c r="CY53" s="553"/>
      <c r="CZ53" s="553"/>
    </row>
    <row r="54" spans="1:104" s="554" customFormat="1" ht="13.5" customHeight="1" x14ac:dyDescent="0.2">
      <c r="A54" s="3364"/>
      <c r="B54" s="1117" t="s">
        <v>13</v>
      </c>
      <c r="C54" s="3360"/>
      <c r="D54" s="509">
        <f>+D55</f>
        <v>10961039</v>
      </c>
      <c r="E54" s="511">
        <f t="shared" ref="E54:F54" si="68">+E55</f>
        <v>0</v>
      </c>
      <c r="F54" s="511">
        <f t="shared" si="68"/>
        <v>15000</v>
      </c>
      <c r="G54" s="511">
        <f>+G55</f>
        <v>6247391</v>
      </c>
      <c r="H54" s="507">
        <f>+H55</f>
        <v>4698648</v>
      </c>
      <c r="I54" s="509">
        <f>+I55</f>
        <v>15000</v>
      </c>
      <c r="J54" s="1101">
        <f t="shared" si="44"/>
        <v>0.13684834074579974</v>
      </c>
      <c r="K54" s="511">
        <f t="shared" ref="K54" si="69">+K55</f>
        <v>0</v>
      </c>
      <c r="L54" s="1101">
        <f>K54/G54*100</f>
        <v>0</v>
      </c>
      <c r="M54" s="3353"/>
      <c r="N54" s="3356"/>
      <c r="O54" s="553"/>
      <c r="P54" s="553"/>
      <c r="Q54" s="553"/>
      <c r="R54" s="553"/>
      <c r="S54" s="553"/>
      <c r="T54" s="553"/>
      <c r="U54" s="553"/>
      <c r="V54" s="553"/>
      <c r="W54" s="553"/>
      <c r="X54" s="553"/>
      <c r="Y54" s="553"/>
      <c r="Z54" s="553"/>
      <c r="AA54" s="553"/>
      <c r="AB54" s="553"/>
      <c r="AC54" s="553"/>
      <c r="AD54" s="553"/>
      <c r="AE54" s="553"/>
      <c r="AF54" s="553"/>
      <c r="AG54" s="553"/>
      <c r="AH54" s="553"/>
      <c r="AI54" s="553"/>
      <c r="AJ54" s="553"/>
      <c r="AK54" s="553"/>
      <c r="AL54" s="553"/>
      <c r="AM54" s="553"/>
      <c r="AN54" s="553"/>
      <c r="AO54" s="553"/>
      <c r="AP54" s="553"/>
      <c r="AQ54" s="553"/>
      <c r="AR54" s="553"/>
      <c r="AS54" s="553"/>
      <c r="AT54" s="553"/>
      <c r="AU54" s="553"/>
      <c r="AV54" s="553"/>
      <c r="AW54" s="553"/>
      <c r="AX54" s="553"/>
      <c r="AY54" s="553"/>
      <c r="AZ54" s="553"/>
      <c r="BA54" s="553"/>
      <c r="BB54" s="553"/>
      <c r="BC54" s="553"/>
      <c r="BD54" s="553"/>
      <c r="BE54" s="553"/>
      <c r="BF54" s="553"/>
      <c r="BG54" s="553"/>
      <c r="BH54" s="553"/>
      <c r="BI54" s="553"/>
      <c r="BJ54" s="553"/>
      <c r="BK54" s="553"/>
      <c r="BL54" s="553"/>
      <c r="BM54" s="553"/>
      <c r="BN54" s="553"/>
      <c r="BO54" s="553"/>
      <c r="BP54" s="553"/>
      <c r="BQ54" s="553"/>
      <c r="BR54" s="553"/>
      <c r="BS54" s="553"/>
      <c r="BT54" s="553"/>
      <c r="BU54" s="553"/>
      <c r="BV54" s="553"/>
      <c r="BW54" s="553"/>
      <c r="BX54" s="553"/>
      <c r="BY54" s="553"/>
      <c r="BZ54" s="553"/>
      <c r="CA54" s="553"/>
      <c r="CB54" s="553"/>
      <c r="CC54" s="553"/>
      <c r="CD54" s="553"/>
      <c r="CE54" s="553"/>
      <c r="CF54" s="553"/>
      <c r="CG54" s="553"/>
      <c r="CH54" s="553"/>
      <c r="CI54" s="553"/>
      <c r="CJ54" s="553"/>
      <c r="CK54" s="553"/>
      <c r="CL54" s="553"/>
      <c r="CM54" s="553"/>
      <c r="CN54" s="553"/>
      <c r="CO54" s="553"/>
      <c r="CP54" s="553"/>
      <c r="CQ54" s="553"/>
      <c r="CR54" s="553"/>
      <c r="CS54" s="553"/>
      <c r="CT54" s="553"/>
      <c r="CU54" s="553"/>
      <c r="CV54" s="553"/>
      <c r="CW54" s="553"/>
      <c r="CX54" s="553"/>
      <c r="CY54" s="553"/>
      <c r="CZ54" s="553"/>
    </row>
    <row r="55" spans="1:104" s="554" customFormat="1" ht="13.5" customHeight="1" thickBot="1" x14ac:dyDescent="0.25">
      <c r="A55" s="3365"/>
      <c r="B55" s="1118" t="s">
        <v>16</v>
      </c>
      <c r="C55" s="3362"/>
      <c r="D55" s="1121">
        <f>D76</f>
        <v>10961039</v>
      </c>
      <c r="E55" s="1119">
        <f t="shared" ref="E55:H55" si="70">E76</f>
        <v>0</v>
      </c>
      <c r="F55" s="1119">
        <f t="shared" si="70"/>
        <v>15000</v>
      </c>
      <c r="G55" s="1119">
        <f t="shared" si="70"/>
        <v>6247391</v>
      </c>
      <c r="H55" s="1120">
        <f t="shared" si="70"/>
        <v>4698648</v>
      </c>
      <c r="I55" s="1121">
        <f>I76</f>
        <v>15000</v>
      </c>
      <c r="J55" s="1122">
        <f t="shared" si="44"/>
        <v>0.13684834074579974</v>
      </c>
      <c r="K55" s="1119">
        <f t="shared" ref="K55" si="71">K76</f>
        <v>0</v>
      </c>
      <c r="L55" s="1122">
        <f>K55/G55*100</f>
        <v>0</v>
      </c>
      <c r="M55" s="3354"/>
      <c r="N55" s="3357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53"/>
      <c r="AK55" s="553"/>
      <c r="AL55" s="553"/>
      <c r="AM55" s="553"/>
      <c r="AN55" s="553"/>
      <c r="AO55" s="553"/>
      <c r="AP55" s="553"/>
      <c r="AQ55" s="553"/>
      <c r="AR55" s="553"/>
      <c r="AS55" s="553"/>
      <c r="AT55" s="553"/>
      <c r="AU55" s="553"/>
      <c r="AV55" s="553"/>
      <c r="AW55" s="553"/>
      <c r="AX55" s="553"/>
      <c r="AY55" s="553"/>
      <c r="AZ55" s="553"/>
      <c r="BA55" s="553"/>
      <c r="BB55" s="553"/>
      <c r="BC55" s="553"/>
      <c r="BD55" s="553"/>
      <c r="BE55" s="553"/>
      <c r="BF55" s="553"/>
      <c r="BG55" s="553"/>
      <c r="BH55" s="553"/>
      <c r="BI55" s="553"/>
      <c r="BJ55" s="553"/>
      <c r="BK55" s="553"/>
      <c r="BL55" s="553"/>
      <c r="BM55" s="553"/>
      <c r="BN55" s="553"/>
      <c r="BO55" s="553"/>
      <c r="BP55" s="553"/>
      <c r="BQ55" s="553"/>
      <c r="BR55" s="553"/>
      <c r="BS55" s="553"/>
      <c r="BT55" s="553"/>
      <c r="BU55" s="553"/>
      <c r="BV55" s="553"/>
      <c r="BW55" s="553"/>
      <c r="BX55" s="553"/>
      <c r="BY55" s="553"/>
      <c r="BZ55" s="553"/>
      <c r="CA55" s="553"/>
      <c r="CB55" s="553"/>
      <c r="CC55" s="553"/>
      <c r="CD55" s="553"/>
      <c r="CE55" s="553"/>
      <c r="CF55" s="553"/>
      <c r="CG55" s="553"/>
      <c r="CH55" s="553"/>
      <c r="CI55" s="553"/>
      <c r="CJ55" s="553"/>
      <c r="CK55" s="553"/>
      <c r="CL55" s="553"/>
      <c r="CM55" s="553"/>
      <c r="CN55" s="553"/>
      <c r="CO55" s="553"/>
      <c r="CP55" s="553"/>
      <c r="CQ55" s="553"/>
      <c r="CR55" s="553"/>
      <c r="CS55" s="553"/>
      <c r="CT55" s="553"/>
      <c r="CU55" s="553"/>
      <c r="CV55" s="553"/>
      <c r="CW55" s="553"/>
      <c r="CX55" s="553"/>
      <c r="CY55" s="553"/>
      <c r="CZ55" s="553"/>
    </row>
    <row r="56" spans="1:104" ht="50.25" customHeight="1" x14ac:dyDescent="0.2">
      <c r="A56" s="3342" t="s">
        <v>33</v>
      </c>
      <c r="B56" s="2832" t="s">
        <v>151</v>
      </c>
      <c r="C56" s="1986" t="s">
        <v>193</v>
      </c>
      <c r="D56" s="2833"/>
      <c r="E56" s="2075"/>
      <c r="F56" s="2075"/>
      <c r="G56" s="2075"/>
      <c r="H56" s="2834"/>
      <c r="I56" s="1489"/>
      <c r="J56" s="1414"/>
      <c r="K56" s="1139"/>
      <c r="L56" s="1415"/>
      <c r="M56" s="598"/>
      <c r="N56" s="3370" t="s">
        <v>152</v>
      </c>
    </row>
    <row r="57" spans="1:104" ht="15" customHeight="1" x14ac:dyDescent="0.2">
      <c r="A57" s="3366"/>
      <c r="B57" s="312" t="s">
        <v>3</v>
      </c>
      <c r="C57" s="237"/>
      <c r="D57" s="528">
        <f>+D58</f>
        <v>12084063</v>
      </c>
      <c r="E57" s="1">
        <f t="shared" ref="E57:H58" si="72">E58</f>
        <v>10901413</v>
      </c>
      <c r="F57" s="597">
        <f t="shared" si="72"/>
        <v>0</v>
      </c>
      <c r="G57" s="597">
        <f t="shared" si="72"/>
        <v>0</v>
      </c>
      <c r="H57" s="2835">
        <f t="shared" si="72"/>
        <v>1182650</v>
      </c>
      <c r="I57" s="529">
        <f t="shared" ref="I57:I76" si="73">+E57+F57+K57</f>
        <v>10901413</v>
      </c>
      <c r="J57" s="2836">
        <f>I57/D57*100</f>
        <v>90.213142715326782</v>
      </c>
      <c r="K57" s="1869">
        <f>K58</f>
        <v>0</v>
      </c>
      <c r="L57" s="584">
        <v>0</v>
      </c>
      <c r="M57" s="2837">
        <v>0</v>
      </c>
      <c r="N57" s="3371"/>
    </row>
    <row r="58" spans="1:104" ht="15" customHeight="1" x14ac:dyDescent="0.2">
      <c r="A58" s="3366"/>
      <c r="B58" s="2838" t="s">
        <v>18</v>
      </c>
      <c r="C58" s="3039" t="s">
        <v>153</v>
      </c>
      <c r="D58" s="2036">
        <f>+D59</f>
        <v>12084063</v>
      </c>
      <c r="E58" s="1895">
        <f t="shared" si="72"/>
        <v>10901413</v>
      </c>
      <c r="F58" s="2037">
        <f t="shared" si="72"/>
        <v>0</v>
      </c>
      <c r="G58" s="2037">
        <f t="shared" si="72"/>
        <v>0</v>
      </c>
      <c r="H58" s="2839">
        <f t="shared" si="72"/>
        <v>1182650</v>
      </c>
      <c r="I58" s="1871">
        <f t="shared" si="73"/>
        <v>10901413</v>
      </c>
      <c r="J58" s="2840">
        <f>I58/D58*100</f>
        <v>90.213142715326782</v>
      </c>
      <c r="K58" s="1873">
        <f>K59</f>
        <v>0</v>
      </c>
      <c r="L58" s="1951">
        <v>0</v>
      </c>
      <c r="M58" s="1883">
        <v>0</v>
      </c>
      <c r="N58" s="3371"/>
    </row>
    <row r="59" spans="1:104" ht="18.75" customHeight="1" thickBot="1" x14ac:dyDescent="0.25">
      <c r="A59" s="3367"/>
      <c r="B59" s="1223" t="s">
        <v>5</v>
      </c>
      <c r="C59" s="3176"/>
      <c r="D59" s="2841">
        <f>+E59+F59+G59+H59</f>
        <v>12084063</v>
      </c>
      <c r="E59" s="2842">
        <f>256114+3490843+7154456</f>
        <v>10901413</v>
      </c>
      <c r="F59" s="2843">
        <v>0</v>
      </c>
      <c r="G59" s="2843">
        <v>0</v>
      </c>
      <c r="H59" s="2844">
        <v>1182650</v>
      </c>
      <c r="I59" s="524">
        <f t="shared" si="73"/>
        <v>10901413</v>
      </c>
      <c r="J59" s="2845">
        <f>I59/D59*100</f>
        <v>90.213142715326782</v>
      </c>
      <c r="K59" s="525">
        <v>0</v>
      </c>
      <c r="L59" s="958">
        <v>0</v>
      </c>
      <c r="M59" s="728">
        <v>0</v>
      </c>
      <c r="N59" s="3372"/>
    </row>
    <row r="60" spans="1:104" ht="43.5" customHeight="1" x14ac:dyDescent="0.2">
      <c r="A60" s="3342" t="s">
        <v>36</v>
      </c>
      <c r="B60" s="2846" t="s">
        <v>154</v>
      </c>
      <c r="C60" s="1986" t="s">
        <v>193</v>
      </c>
      <c r="D60" s="2833"/>
      <c r="E60" s="2075"/>
      <c r="F60" s="2075"/>
      <c r="G60" s="2075"/>
      <c r="H60" s="2076"/>
      <c r="I60" s="1489"/>
      <c r="J60" s="1414"/>
      <c r="K60" s="1139"/>
      <c r="L60" s="2675"/>
      <c r="M60" s="598"/>
      <c r="N60" s="3370" t="s">
        <v>155</v>
      </c>
    </row>
    <row r="61" spans="1:104" ht="13.5" customHeight="1" x14ac:dyDescent="0.2">
      <c r="A61" s="3366"/>
      <c r="B61" s="1721" t="s">
        <v>3</v>
      </c>
      <c r="C61" s="237"/>
      <c r="D61" s="528">
        <f>+D62</f>
        <v>492000</v>
      </c>
      <c r="E61" s="1">
        <f t="shared" ref="E61:H62" si="74">E62</f>
        <v>200000</v>
      </c>
      <c r="F61" s="1">
        <f t="shared" si="74"/>
        <v>292000</v>
      </c>
      <c r="G61" s="597">
        <f t="shared" si="74"/>
        <v>0</v>
      </c>
      <c r="H61" s="2847">
        <f t="shared" si="74"/>
        <v>0</v>
      </c>
      <c r="I61" s="529">
        <f t="shared" si="73"/>
        <v>492000</v>
      </c>
      <c r="J61" s="1869">
        <f>I61/D61*100</f>
        <v>100</v>
      </c>
      <c r="K61" s="1869">
        <f>K62</f>
        <v>0</v>
      </c>
      <c r="L61" s="2669">
        <v>0</v>
      </c>
      <c r="M61" s="2837">
        <v>0</v>
      </c>
      <c r="N61" s="3371"/>
    </row>
    <row r="62" spans="1:104" ht="14.25" customHeight="1" x14ac:dyDescent="0.2">
      <c r="A62" s="3366"/>
      <c r="B62" s="2848" t="s">
        <v>18</v>
      </c>
      <c r="C62" s="3391" t="s">
        <v>156</v>
      </c>
      <c r="D62" s="2036">
        <f>+D63</f>
        <v>492000</v>
      </c>
      <c r="E62" s="1895">
        <f t="shared" si="74"/>
        <v>200000</v>
      </c>
      <c r="F62" s="1895">
        <f t="shared" si="74"/>
        <v>292000</v>
      </c>
      <c r="G62" s="2037">
        <f t="shared" si="74"/>
        <v>0</v>
      </c>
      <c r="H62" s="2849">
        <f t="shared" si="74"/>
        <v>0</v>
      </c>
      <c r="I62" s="1871">
        <f t="shared" si="73"/>
        <v>492000</v>
      </c>
      <c r="J62" s="1873">
        <f>I62/D62*100</f>
        <v>100</v>
      </c>
      <c r="K62" s="1873">
        <f>K63</f>
        <v>0</v>
      </c>
      <c r="L62" s="2670">
        <v>0</v>
      </c>
      <c r="M62" s="1883">
        <v>0</v>
      </c>
      <c r="N62" s="3373"/>
    </row>
    <row r="63" spans="1:104" ht="15" customHeight="1" thickBot="1" x14ac:dyDescent="0.25">
      <c r="A63" s="3367"/>
      <c r="B63" s="2850" t="s">
        <v>5</v>
      </c>
      <c r="C63" s="3392"/>
      <c r="D63" s="2851">
        <f>+E63+F63+G63+H63</f>
        <v>492000</v>
      </c>
      <c r="E63" s="1833">
        <v>200000</v>
      </c>
      <c r="F63" s="1833">
        <v>292000</v>
      </c>
      <c r="G63" s="1769">
        <v>0</v>
      </c>
      <c r="H63" s="2852">
        <v>0</v>
      </c>
      <c r="I63" s="524">
        <f t="shared" si="73"/>
        <v>492000</v>
      </c>
      <c r="J63" s="525">
        <f>I63/D63*100</f>
        <v>100</v>
      </c>
      <c r="K63" s="525">
        <v>0</v>
      </c>
      <c r="L63" s="2853">
        <v>0</v>
      </c>
      <c r="M63" s="728">
        <v>0</v>
      </c>
      <c r="N63" s="3374"/>
    </row>
    <row r="64" spans="1:104" ht="56.25" customHeight="1" x14ac:dyDescent="0.2">
      <c r="A64" s="3342" t="s">
        <v>41</v>
      </c>
      <c r="B64" s="2846" t="s">
        <v>243</v>
      </c>
      <c r="C64" s="1986" t="s">
        <v>193</v>
      </c>
      <c r="D64" s="2833"/>
      <c r="E64" s="2075"/>
      <c r="F64" s="2075"/>
      <c r="G64" s="2075"/>
      <c r="H64" s="2076"/>
      <c r="I64" s="527"/>
      <c r="J64" s="1414"/>
      <c r="K64" s="1139"/>
      <c r="L64" s="2675"/>
      <c r="M64" s="598"/>
      <c r="N64" s="3347" t="s">
        <v>246</v>
      </c>
    </row>
    <row r="65" spans="1:14" ht="12.75" customHeight="1" x14ac:dyDescent="0.2">
      <c r="A65" s="3343"/>
      <c r="B65" s="1969" t="s">
        <v>3</v>
      </c>
      <c r="C65" s="2110"/>
      <c r="D65" s="1955">
        <f>+D66+D69</f>
        <v>19369979</v>
      </c>
      <c r="E65" s="484">
        <f>+E66+E69</f>
        <v>0</v>
      </c>
      <c r="F65" s="484">
        <f>F66+F69</f>
        <v>20000</v>
      </c>
      <c r="G65" s="484">
        <f>+G66+G69</f>
        <v>11224506</v>
      </c>
      <c r="H65" s="2079">
        <f>+H66+H69</f>
        <v>8125473</v>
      </c>
      <c r="I65" s="529">
        <f t="shared" si="73"/>
        <v>993252</v>
      </c>
      <c r="J65" s="1109">
        <f t="shared" ref="J65:J76" si="75">I65/D65*100</f>
        <v>5.1277907941975576</v>
      </c>
      <c r="K65" s="484">
        <f>+K66+K69</f>
        <v>973252</v>
      </c>
      <c r="L65" s="2854">
        <f t="shared" ref="L65:L76" si="76">K65/G65*100</f>
        <v>8.6707780280040829</v>
      </c>
      <c r="M65" s="481">
        <f>+K65-G65*0.5</f>
        <v>-4639001</v>
      </c>
      <c r="N65" s="3348"/>
    </row>
    <row r="66" spans="1:14" ht="13.5" customHeight="1" x14ac:dyDescent="0.2">
      <c r="A66" s="3343"/>
      <c r="B66" s="1970" t="s">
        <v>18</v>
      </c>
      <c r="C66" s="3039" t="s">
        <v>245</v>
      </c>
      <c r="D66" s="2855">
        <f t="shared" ref="D66" si="77">D68+D67</f>
        <v>8408940</v>
      </c>
      <c r="E66" s="1872">
        <f>E68+E67</f>
        <v>0</v>
      </c>
      <c r="F66" s="1872">
        <f>F68+F67</f>
        <v>5000</v>
      </c>
      <c r="G66" s="1872">
        <f t="shared" ref="G66:H66" si="78">G68+G67</f>
        <v>4977115</v>
      </c>
      <c r="H66" s="2856">
        <f t="shared" si="78"/>
        <v>3426825</v>
      </c>
      <c r="I66" s="1871">
        <f t="shared" si="73"/>
        <v>978252</v>
      </c>
      <c r="J66" s="1875">
        <f t="shared" si="75"/>
        <v>11.633475800754912</v>
      </c>
      <c r="K66" s="1872">
        <f>K68+K67</f>
        <v>973252</v>
      </c>
      <c r="L66" s="2857">
        <f t="shared" si="76"/>
        <v>19.55454113477386</v>
      </c>
      <c r="M66" s="1876">
        <f t="shared" ref="M66:M70" si="79">+K66-G66*0.5</f>
        <v>-1515305.5</v>
      </c>
      <c r="N66" s="3348"/>
    </row>
    <row r="67" spans="1:14" ht="15" customHeight="1" x14ac:dyDescent="0.2">
      <c r="A67" s="3343"/>
      <c r="B67" s="2782" t="s">
        <v>244</v>
      </c>
      <c r="C67" s="3039"/>
      <c r="D67" s="1953">
        <f>+E67+F67+G67+H67</f>
        <v>3653680</v>
      </c>
      <c r="E67" s="1898"/>
      <c r="F67" s="1898">
        <v>5000</v>
      </c>
      <c r="G67" s="1898">
        <v>2082464</v>
      </c>
      <c r="H67" s="2858">
        <v>1566216</v>
      </c>
      <c r="I67" s="1899">
        <f t="shared" si="73"/>
        <v>5000</v>
      </c>
      <c r="J67" s="1879">
        <f t="shared" si="75"/>
        <v>0.13684832826082197</v>
      </c>
      <c r="K67" s="1880">
        <v>0</v>
      </c>
      <c r="L67" s="2859">
        <f t="shared" si="76"/>
        <v>0</v>
      </c>
      <c r="M67" s="1881">
        <f t="shared" si="79"/>
        <v>-1041232</v>
      </c>
      <c r="N67" s="3348"/>
    </row>
    <row r="68" spans="1:14" ht="12.75" customHeight="1" x14ac:dyDescent="0.2">
      <c r="A68" s="3343"/>
      <c r="B68" s="2782" t="s">
        <v>247</v>
      </c>
      <c r="C68" s="3158"/>
      <c r="D68" s="1953">
        <f>+E68+F68+G68+H68</f>
        <v>4755260</v>
      </c>
      <c r="E68" s="1898"/>
      <c r="F68" s="1898"/>
      <c r="G68" s="1898">
        <v>2894651</v>
      </c>
      <c r="H68" s="2858">
        <v>1860609</v>
      </c>
      <c r="I68" s="1823">
        <f t="shared" si="73"/>
        <v>973252</v>
      </c>
      <c r="J68" s="1879">
        <f t="shared" si="75"/>
        <v>20.466851444505664</v>
      </c>
      <c r="K68" s="1898">
        <v>973252</v>
      </c>
      <c r="L68" s="1938">
        <f t="shared" si="76"/>
        <v>33.62242978514508</v>
      </c>
      <c r="M68" s="1881">
        <f t="shared" si="79"/>
        <v>-474073.5</v>
      </c>
      <c r="N68" s="3348"/>
    </row>
    <row r="69" spans="1:14" ht="12.75" customHeight="1" x14ac:dyDescent="0.2">
      <c r="A69" s="3343"/>
      <c r="B69" s="1517" t="s">
        <v>13</v>
      </c>
      <c r="C69" s="3158"/>
      <c r="D69" s="2855">
        <f t="shared" ref="D69:H69" si="80">+D70</f>
        <v>10961039</v>
      </c>
      <c r="E69" s="1872">
        <f t="shared" si="80"/>
        <v>0</v>
      </c>
      <c r="F69" s="1872">
        <f t="shared" si="80"/>
        <v>15000</v>
      </c>
      <c r="G69" s="1872">
        <f t="shared" si="80"/>
        <v>6247391</v>
      </c>
      <c r="H69" s="2856">
        <f t="shared" si="80"/>
        <v>4698648</v>
      </c>
      <c r="I69" s="1871">
        <f t="shared" si="73"/>
        <v>15000</v>
      </c>
      <c r="J69" s="1875">
        <f t="shared" si="75"/>
        <v>0.13684834074579974</v>
      </c>
      <c r="K69" s="1872">
        <f>+K70</f>
        <v>0</v>
      </c>
      <c r="L69" s="1936">
        <f t="shared" si="76"/>
        <v>0</v>
      </c>
      <c r="M69" s="1876">
        <f t="shared" si="79"/>
        <v>-3123695.5</v>
      </c>
      <c r="N69" s="3348"/>
    </row>
    <row r="70" spans="1:14" ht="12.75" customHeight="1" x14ac:dyDescent="0.2">
      <c r="A70" s="3343"/>
      <c r="B70" s="2783" t="s">
        <v>16</v>
      </c>
      <c r="C70" s="3158"/>
      <c r="D70" s="1953">
        <f>+E70+F70+G70+H70</f>
        <v>10961039</v>
      </c>
      <c r="E70" s="1898"/>
      <c r="F70" s="1898">
        <v>15000</v>
      </c>
      <c r="G70" s="1898">
        <v>6247391</v>
      </c>
      <c r="H70" s="2858">
        <v>4698648</v>
      </c>
      <c r="I70" s="1823">
        <f t="shared" si="73"/>
        <v>15000</v>
      </c>
      <c r="J70" s="1879">
        <f t="shared" si="75"/>
        <v>0.13684834074579974</v>
      </c>
      <c r="K70" s="1898">
        <v>0</v>
      </c>
      <c r="L70" s="1938">
        <f t="shared" si="76"/>
        <v>0</v>
      </c>
      <c r="M70" s="1881">
        <f t="shared" si="79"/>
        <v>-3123695.5</v>
      </c>
      <c r="N70" s="3348"/>
    </row>
    <row r="71" spans="1:14" ht="13.5" thickBot="1" x14ac:dyDescent="0.25">
      <c r="A71" s="3343"/>
      <c r="B71" s="1969" t="s">
        <v>17</v>
      </c>
      <c r="C71" s="2860"/>
      <c r="D71" s="1955">
        <f>D75+D72</f>
        <v>18154770</v>
      </c>
      <c r="E71" s="484">
        <f>E75</f>
        <v>0</v>
      </c>
      <c r="F71" s="484">
        <f>F75+F72</f>
        <v>20000</v>
      </c>
      <c r="G71" s="484">
        <f>G75+G72</f>
        <v>10390102</v>
      </c>
      <c r="H71" s="2079">
        <f>H75+H72</f>
        <v>7744668</v>
      </c>
      <c r="I71" s="529">
        <f t="shared" si="73"/>
        <v>20000</v>
      </c>
      <c r="J71" s="1109">
        <f t="shared" si="75"/>
        <v>0.11016388530397246</v>
      </c>
      <c r="K71" s="484">
        <f>K75+K72</f>
        <v>0</v>
      </c>
      <c r="L71" s="483">
        <f t="shared" si="76"/>
        <v>0</v>
      </c>
      <c r="M71" s="481"/>
      <c r="N71" s="3359"/>
    </row>
    <row r="72" spans="1:14" ht="12.75" x14ac:dyDescent="0.2">
      <c r="A72" s="3343"/>
      <c r="B72" s="2782" t="s">
        <v>18</v>
      </c>
      <c r="C72" s="3368"/>
      <c r="D72" s="2861">
        <f>+D73+D74</f>
        <v>7193731</v>
      </c>
      <c r="E72" s="2715">
        <f t="shared" ref="E72:H72" si="81">+E73+E74</f>
        <v>0</v>
      </c>
      <c r="F72" s="2715">
        <f t="shared" si="81"/>
        <v>5000</v>
      </c>
      <c r="G72" s="2715">
        <f t="shared" si="81"/>
        <v>4142711</v>
      </c>
      <c r="H72" s="2858">
        <f t="shared" si="81"/>
        <v>3046020</v>
      </c>
      <c r="I72" s="1823">
        <f t="shared" si="73"/>
        <v>5000</v>
      </c>
      <c r="J72" s="1879">
        <f t="shared" si="75"/>
        <v>6.9504962028744191E-2</v>
      </c>
      <c r="K72" s="1898">
        <f>+K73+K74</f>
        <v>0</v>
      </c>
      <c r="L72" s="1879">
        <f t="shared" si="76"/>
        <v>0</v>
      </c>
      <c r="M72" s="3350" t="s">
        <v>89</v>
      </c>
      <c r="N72" s="3347"/>
    </row>
    <row r="73" spans="1:14" ht="13.5" thickBot="1" x14ac:dyDescent="0.25">
      <c r="A73" s="3343"/>
      <c r="B73" s="1517" t="s">
        <v>244</v>
      </c>
      <c r="C73" s="3369"/>
      <c r="D73" s="2855">
        <f>+E73+F73+G73+H73</f>
        <v>3653680</v>
      </c>
      <c r="E73" s="1872">
        <v>0</v>
      </c>
      <c r="F73" s="1872">
        <v>5000</v>
      </c>
      <c r="G73" s="1872">
        <v>2082464</v>
      </c>
      <c r="H73" s="2862">
        <v>1566216</v>
      </c>
      <c r="I73" s="1871">
        <f t="shared" si="73"/>
        <v>5000</v>
      </c>
      <c r="J73" s="1875">
        <f t="shared" si="75"/>
        <v>0.13684832826082197</v>
      </c>
      <c r="K73" s="1872">
        <v>0</v>
      </c>
      <c r="L73" s="1875">
        <f t="shared" si="76"/>
        <v>0</v>
      </c>
      <c r="M73" s="3350"/>
      <c r="N73" s="3359"/>
    </row>
    <row r="74" spans="1:14" ht="12.75" x14ac:dyDescent="0.2">
      <c r="A74" s="3342"/>
      <c r="B74" s="2863" t="s">
        <v>248</v>
      </c>
      <c r="C74" s="3369"/>
      <c r="D74" s="2864">
        <f>+E74+F74+G74+H74</f>
        <v>3540051</v>
      </c>
      <c r="E74" s="1880"/>
      <c r="F74" s="1880"/>
      <c r="G74" s="1880">
        <v>2060247</v>
      </c>
      <c r="H74" s="2865">
        <v>1479804</v>
      </c>
      <c r="I74" s="1899">
        <f t="shared" si="73"/>
        <v>0</v>
      </c>
      <c r="J74" s="1966">
        <f t="shared" si="75"/>
        <v>0</v>
      </c>
      <c r="K74" s="1880">
        <v>0</v>
      </c>
      <c r="L74" s="1966">
        <f t="shared" si="76"/>
        <v>0</v>
      </c>
      <c r="M74" s="3350"/>
      <c r="N74" s="3348"/>
    </row>
    <row r="75" spans="1:14" ht="12.75" customHeight="1" thickBot="1" x14ac:dyDescent="0.25">
      <c r="A75" s="3358"/>
      <c r="B75" s="2866" t="s">
        <v>13</v>
      </c>
      <c r="C75" s="3039" t="s">
        <v>147</v>
      </c>
      <c r="D75" s="2855">
        <f>+D76</f>
        <v>10961039</v>
      </c>
      <c r="E75" s="1872">
        <f t="shared" ref="E75:F75" si="82">+E76</f>
        <v>0</v>
      </c>
      <c r="F75" s="1872">
        <f t="shared" si="82"/>
        <v>15000</v>
      </c>
      <c r="G75" s="1872">
        <f>+G76</f>
        <v>6247391</v>
      </c>
      <c r="H75" s="2862">
        <f>+H76</f>
        <v>4698648</v>
      </c>
      <c r="I75" s="1871">
        <f t="shared" si="73"/>
        <v>15000</v>
      </c>
      <c r="J75" s="1875">
        <f t="shared" si="75"/>
        <v>0.13684834074579974</v>
      </c>
      <c r="K75" s="1872">
        <f>+K76</f>
        <v>0</v>
      </c>
      <c r="L75" s="1875">
        <f t="shared" si="76"/>
        <v>0</v>
      </c>
      <c r="M75" s="3350"/>
      <c r="N75" s="3348"/>
    </row>
    <row r="76" spans="1:14" ht="13.5" customHeight="1" thickBot="1" x14ac:dyDescent="0.25">
      <c r="A76" s="3358"/>
      <c r="B76" s="2790" t="s">
        <v>16</v>
      </c>
      <c r="C76" s="3187"/>
      <c r="D76" s="2867">
        <f>+E76+F76+G76+H76</f>
        <v>10961039</v>
      </c>
      <c r="E76" s="1877">
        <v>0</v>
      </c>
      <c r="F76" s="1877">
        <v>15000</v>
      </c>
      <c r="G76" s="1877">
        <v>6247391</v>
      </c>
      <c r="H76" s="2868">
        <v>4698648</v>
      </c>
      <c r="I76" s="524">
        <f t="shared" si="73"/>
        <v>15000</v>
      </c>
      <c r="J76" s="1933">
        <f t="shared" si="75"/>
        <v>0.13684834074579974</v>
      </c>
      <c r="K76" s="1877">
        <v>0</v>
      </c>
      <c r="L76" s="1933">
        <f t="shared" si="76"/>
        <v>0</v>
      </c>
      <c r="M76" s="3351"/>
      <c r="N76" s="3359"/>
    </row>
    <row r="77" spans="1:14" ht="50.25" customHeight="1" thickBot="1" x14ac:dyDescent="0.25">
      <c r="A77" s="3342" t="s">
        <v>42</v>
      </c>
      <c r="B77" s="2846" t="s">
        <v>315</v>
      </c>
      <c r="C77" s="1986" t="s">
        <v>193</v>
      </c>
      <c r="D77" s="2833"/>
      <c r="E77" s="2075"/>
      <c r="F77" s="2075"/>
      <c r="G77" s="2075"/>
      <c r="H77" s="2834"/>
      <c r="I77" s="527"/>
      <c r="J77" s="1414"/>
      <c r="K77" s="1139"/>
      <c r="L77" s="1415"/>
      <c r="M77" s="598"/>
      <c r="N77" s="3347" t="s">
        <v>246</v>
      </c>
    </row>
    <row r="78" spans="1:14" ht="13.5" customHeight="1" x14ac:dyDescent="0.2">
      <c r="A78" s="3342"/>
      <c r="B78" s="1969" t="s">
        <v>3</v>
      </c>
      <c r="C78" s="3345" t="s">
        <v>245</v>
      </c>
      <c r="D78" s="1955">
        <f>+D79+D82</f>
        <v>160000</v>
      </c>
      <c r="E78" s="484">
        <f>+E79+E82</f>
        <v>0</v>
      </c>
      <c r="F78" s="484">
        <f>F79+F82</f>
        <v>0</v>
      </c>
      <c r="G78" s="484">
        <f>+G79+G82</f>
        <v>100000</v>
      </c>
      <c r="H78" s="479">
        <f>+H79+H82</f>
        <v>60000</v>
      </c>
      <c r="I78" s="529">
        <f t="shared" ref="I78:I80" si="83">+E78+F78+K78</f>
        <v>0</v>
      </c>
      <c r="J78" s="1109">
        <f t="shared" ref="J78:J80" si="84">I78/D78*100</f>
        <v>0</v>
      </c>
      <c r="K78" s="484">
        <f>+K79+K82</f>
        <v>0</v>
      </c>
      <c r="L78" s="483">
        <f t="shared" ref="L78:L80" si="85">K78/G78*100</f>
        <v>0</v>
      </c>
      <c r="M78" s="481">
        <f>+K78-G78*0.5</f>
        <v>-50000</v>
      </c>
      <c r="N78" s="3348"/>
    </row>
    <row r="79" spans="1:14" ht="13.5" customHeight="1" thickBot="1" x14ac:dyDescent="0.25">
      <c r="A79" s="3343"/>
      <c r="B79" s="1970" t="s">
        <v>18</v>
      </c>
      <c r="C79" s="3345"/>
      <c r="D79" s="1871">
        <f t="shared" ref="D79" si="86">D81+D80</f>
        <v>160000</v>
      </c>
      <c r="E79" s="1872">
        <f>E81+E80</f>
        <v>0</v>
      </c>
      <c r="F79" s="1872">
        <f>F81+F80</f>
        <v>0</v>
      </c>
      <c r="G79" s="1872">
        <f t="shared" ref="G79:H79" si="87">G81+G80</f>
        <v>100000</v>
      </c>
      <c r="H79" s="2862">
        <f t="shared" si="87"/>
        <v>60000</v>
      </c>
      <c r="I79" s="1871">
        <f t="shared" si="83"/>
        <v>0</v>
      </c>
      <c r="J79" s="1875">
        <f t="shared" si="84"/>
        <v>0</v>
      </c>
      <c r="K79" s="1872">
        <f>K81+K80</f>
        <v>0</v>
      </c>
      <c r="L79" s="1936">
        <f t="shared" si="85"/>
        <v>0</v>
      </c>
      <c r="M79" s="1876">
        <f t="shared" ref="M79:M80" si="88">+K79-G79*0.5</f>
        <v>-50000</v>
      </c>
      <c r="N79" s="3348"/>
    </row>
    <row r="80" spans="1:14" ht="13.5" thickBot="1" x14ac:dyDescent="0.25">
      <c r="A80" s="3344"/>
      <c r="B80" s="2869" t="s">
        <v>247</v>
      </c>
      <c r="C80" s="3346"/>
      <c r="D80" s="524">
        <f>+E80+F80+G80+H80</f>
        <v>160000</v>
      </c>
      <c r="E80" s="1877">
        <v>0</v>
      </c>
      <c r="F80" s="1877">
        <v>0</v>
      </c>
      <c r="G80" s="1877">
        <v>100000</v>
      </c>
      <c r="H80" s="1916">
        <v>60000</v>
      </c>
      <c r="I80" s="1941">
        <f t="shared" si="83"/>
        <v>0</v>
      </c>
      <c r="J80" s="1933">
        <f t="shared" si="84"/>
        <v>0</v>
      </c>
      <c r="K80" s="1942">
        <v>0</v>
      </c>
      <c r="L80" s="2870">
        <f t="shared" si="85"/>
        <v>0</v>
      </c>
      <c r="M80" s="1943">
        <f t="shared" si="88"/>
        <v>-50000</v>
      </c>
      <c r="N80" s="3349"/>
    </row>
    <row r="81" spans="1:14" x14ac:dyDescent="0.2">
      <c r="A81" s="603"/>
      <c r="B81" s="552"/>
      <c r="C81" s="552"/>
      <c r="D81" s="552"/>
      <c r="E81" s="552"/>
      <c r="F81" s="552"/>
      <c r="G81" s="552"/>
      <c r="H81" s="552"/>
      <c r="I81" s="552"/>
      <c r="J81" s="552"/>
      <c r="N81" s="604"/>
    </row>
    <row r="82" spans="1:14" x14ac:dyDescent="0.2">
      <c r="A82" s="603"/>
      <c r="B82" s="552"/>
      <c r="C82" s="552"/>
      <c r="D82" s="552"/>
      <c r="E82" s="552"/>
      <c r="F82" s="552"/>
      <c r="G82" s="552"/>
      <c r="H82" s="552"/>
      <c r="I82" s="552"/>
      <c r="J82" s="552"/>
      <c r="N82" s="604"/>
    </row>
    <row r="83" spans="1:14" ht="12" thickBot="1" x14ac:dyDescent="0.25">
      <c r="A83" s="605"/>
      <c r="B83" s="606"/>
      <c r="C83" s="606"/>
      <c r="D83" s="606"/>
      <c r="E83" s="606"/>
      <c r="F83" s="606"/>
      <c r="G83" s="606"/>
      <c r="H83" s="606"/>
      <c r="I83" s="606"/>
      <c r="J83" s="606"/>
      <c r="K83" s="606"/>
      <c r="L83" s="606"/>
      <c r="M83" s="193"/>
      <c r="N83" s="607"/>
    </row>
    <row r="84" spans="1:14" x14ac:dyDescent="0.2">
      <c r="A84" s="600"/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186"/>
      <c r="N84" s="602"/>
    </row>
    <row r="85" spans="1:14" x14ac:dyDescent="0.2">
      <c r="A85" s="603"/>
      <c r="B85" s="552"/>
      <c r="C85" s="552"/>
      <c r="D85" s="552"/>
      <c r="E85" s="552"/>
      <c r="F85" s="552"/>
      <c r="G85" s="552"/>
      <c r="H85" s="552"/>
      <c r="I85" s="552"/>
      <c r="J85" s="552"/>
      <c r="N85" s="604"/>
    </row>
    <row r="86" spans="1:14" x14ac:dyDescent="0.2">
      <c r="A86" s="603"/>
      <c r="B86" s="552"/>
      <c r="C86" s="552"/>
      <c r="D86" s="552"/>
      <c r="E86" s="552"/>
      <c r="F86" s="552"/>
      <c r="G86" s="552"/>
      <c r="H86" s="552"/>
      <c r="I86" s="552"/>
      <c r="J86" s="552"/>
      <c r="N86" s="604"/>
    </row>
    <row r="87" spans="1:14" x14ac:dyDescent="0.2">
      <c r="A87" s="603"/>
      <c r="B87" s="552"/>
      <c r="C87" s="552"/>
      <c r="D87" s="552"/>
      <c r="E87" s="552"/>
      <c r="F87" s="552"/>
      <c r="G87" s="552"/>
      <c r="H87" s="552"/>
      <c r="I87" s="552"/>
      <c r="J87" s="552"/>
      <c r="N87" s="604"/>
    </row>
    <row r="88" spans="1:14" x14ac:dyDescent="0.2">
      <c r="A88" s="603"/>
      <c r="B88" s="552"/>
      <c r="C88" s="552"/>
      <c r="D88" s="552"/>
      <c r="E88" s="552"/>
      <c r="F88" s="552"/>
      <c r="G88" s="552"/>
      <c r="H88" s="552"/>
      <c r="I88" s="552"/>
      <c r="J88" s="552"/>
      <c r="N88" s="604"/>
    </row>
    <row r="89" spans="1:14" x14ac:dyDescent="0.2">
      <c r="A89" s="603"/>
      <c r="B89" s="552"/>
      <c r="C89" s="552"/>
      <c r="D89" s="552"/>
      <c r="E89" s="552"/>
      <c r="F89" s="552"/>
      <c r="G89" s="552"/>
      <c r="H89" s="552"/>
      <c r="I89" s="552"/>
      <c r="J89" s="552"/>
      <c r="N89" s="604"/>
    </row>
    <row r="90" spans="1:14" x14ac:dyDescent="0.2">
      <c r="A90" s="603"/>
      <c r="B90" s="552"/>
      <c r="C90" s="552"/>
      <c r="D90" s="552"/>
      <c r="E90" s="552"/>
      <c r="F90" s="552"/>
      <c r="G90" s="552"/>
      <c r="H90" s="552"/>
      <c r="I90" s="552"/>
      <c r="J90" s="552"/>
      <c r="N90" s="604"/>
    </row>
    <row r="91" spans="1:14" x14ac:dyDescent="0.2">
      <c r="A91" s="603"/>
      <c r="B91" s="552"/>
      <c r="C91" s="552"/>
      <c r="D91" s="552"/>
      <c r="E91" s="552"/>
      <c r="F91" s="552"/>
      <c r="G91" s="552"/>
      <c r="H91" s="552"/>
      <c r="I91" s="552"/>
      <c r="J91" s="552"/>
      <c r="N91" s="604"/>
    </row>
    <row r="92" spans="1:14" x14ac:dyDescent="0.2">
      <c r="A92" s="603"/>
      <c r="B92" s="552"/>
      <c r="C92" s="552"/>
      <c r="D92" s="552"/>
      <c r="E92" s="552"/>
      <c r="F92" s="552"/>
      <c r="G92" s="552"/>
      <c r="H92" s="552"/>
      <c r="I92" s="552"/>
      <c r="J92" s="552"/>
      <c r="N92" s="604"/>
    </row>
    <row r="93" spans="1:14" ht="12" thickBot="1" x14ac:dyDescent="0.25">
      <c r="A93" s="605"/>
      <c r="B93" s="606"/>
      <c r="C93" s="606"/>
      <c r="D93" s="606"/>
      <c r="E93" s="606"/>
      <c r="F93" s="606"/>
      <c r="G93" s="606"/>
      <c r="H93" s="606"/>
      <c r="I93" s="606"/>
      <c r="J93" s="606"/>
      <c r="K93" s="606"/>
      <c r="L93" s="606"/>
      <c r="M93" s="193"/>
      <c r="N93" s="607"/>
    </row>
    <row r="94" spans="1:14" ht="12" thickBot="1" x14ac:dyDescent="0.25">
      <c r="A94" s="605"/>
      <c r="B94" s="606"/>
      <c r="C94" s="606"/>
      <c r="D94" s="606"/>
      <c r="E94" s="606"/>
      <c r="F94" s="606"/>
      <c r="G94" s="606"/>
      <c r="H94" s="606"/>
      <c r="I94" s="606"/>
      <c r="J94" s="606"/>
      <c r="K94" s="606"/>
      <c r="L94" s="606"/>
      <c r="M94" s="193"/>
      <c r="N94" s="607"/>
    </row>
    <row r="95" spans="1:14" x14ac:dyDescent="0.2">
      <c r="A95" s="600"/>
      <c r="B95" s="601"/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186"/>
      <c r="N95" s="602"/>
    </row>
    <row r="96" spans="1:14" x14ac:dyDescent="0.2">
      <c r="A96" s="603"/>
      <c r="B96" s="552"/>
      <c r="C96" s="552"/>
      <c r="D96" s="552"/>
      <c r="E96" s="552"/>
      <c r="F96" s="552"/>
      <c r="G96" s="552"/>
      <c r="H96" s="552"/>
      <c r="I96" s="552"/>
      <c r="J96" s="552"/>
      <c r="N96" s="604"/>
    </row>
    <row r="97" spans="1:14" x14ac:dyDescent="0.2">
      <c r="A97" s="603"/>
      <c r="B97" s="552"/>
      <c r="C97" s="552"/>
      <c r="D97" s="552"/>
      <c r="E97" s="552"/>
      <c r="F97" s="552"/>
      <c r="G97" s="552"/>
      <c r="H97" s="552"/>
      <c r="I97" s="552"/>
      <c r="J97" s="552"/>
      <c r="N97" s="604"/>
    </row>
    <row r="98" spans="1:14" x14ac:dyDescent="0.2">
      <c r="A98" s="603"/>
      <c r="B98" s="552"/>
      <c r="C98" s="552"/>
      <c r="D98" s="552"/>
      <c r="E98" s="552"/>
      <c r="F98" s="552"/>
      <c r="G98" s="552"/>
      <c r="H98" s="552"/>
      <c r="I98" s="552"/>
      <c r="J98" s="552"/>
      <c r="N98" s="604"/>
    </row>
    <row r="99" spans="1:14" x14ac:dyDescent="0.2">
      <c r="A99" s="603"/>
      <c r="B99" s="552"/>
      <c r="C99" s="552"/>
      <c r="D99" s="552"/>
      <c r="E99" s="552"/>
      <c r="F99" s="552"/>
      <c r="G99" s="552"/>
      <c r="H99" s="552"/>
      <c r="I99" s="552"/>
      <c r="J99" s="552"/>
      <c r="N99" s="604"/>
    </row>
    <row r="100" spans="1:14" x14ac:dyDescent="0.2">
      <c r="A100" s="603"/>
      <c r="B100" s="552"/>
      <c r="C100" s="552"/>
      <c r="D100" s="552"/>
      <c r="E100" s="552"/>
      <c r="F100" s="552"/>
      <c r="G100" s="552"/>
      <c r="H100" s="552"/>
      <c r="I100" s="552"/>
      <c r="J100" s="552"/>
      <c r="N100" s="604"/>
    </row>
    <row r="101" spans="1:14" x14ac:dyDescent="0.2">
      <c r="A101" s="603"/>
      <c r="B101" s="552"/>
      <c r="C101" s="552"/>
      <c r="D101" s="552"/>
      <c r="E101" s="552"/>
      <c r="F101" s="552"/>
      <c r="G101" s="552"/>
      <c r="H101" s="552"/>
      <c r="I101" s="552"/>
      <c r="J101" s="552"/>
      <c r="N101" s="604"/>
    </row>
    <row r="102" spans="1:14" x14ac:dyDescent="0.2">
      <c r="A102" s="603"/>
      <c r="B102" s="552"/>
      <c r="C102" s="552"/>
      <c r="D102" s="552"/>
      <c r="E102" s="552"/>
      <c r="F102" s="552"/>
      <c r="G102" s="552"/>
      <c r="H102" s="552"/>
      <c r="I102" s="552"/>
      <c r="J102" s="552"/>
      <c r="N102" s="604"/>
    </row>
    <row r="103" spans="1:14" x14ac:dyDescent="0.2">
      <c r="A103" s="603"/>
      <c r="B103" s="552"/>
      <c r="C103" s="552"/>
      <c r="D103" s="552"/>
      <c r="E103" s="552"/>
      <c r="F103" s="552"/>
      <c r="G103" s="552"/>
      <c r="H103" s="552"/>
      <c r="I103" s="552"/>
      <c r="J103" s="552"/>
      <c r="N103" s="604"/>
    </row>
    <row r="104" spans="1:14" x14ac:dyDescent="0.2">
      <c r="A104" s="603"/>
      <c r="B104" s="552"/>
      <c r="C104" s="552"/>
      <c r="D104" s="552"/>
      <c r="E104" s="552"/>
      <c r="F104" s="552"/>
      <c r="G104" s="552"/>
      <c r="H104" s="552"/>
      <c r="I104" s="552"/>
      <c r="J104" s="552"/>
      <c r="N104" s="604"/>
    </row>
    <row r="105" spans="1:14" x14ac:dyDescent="0.2">
      <c r="A105" s="603"/>
      <c r="B105" s="552"/>
      <c r="C105" s="552"/>
      <c r="D105" s="552"/>
      <c r="E105" s="552"/>
      <c r="F105" s="552"/>
      <c r="G105" s="552"/>
      <c r="H105" s="552"/>
      <c r="I105" s="552"/>
      <c r="J105" s="552"/>
      <c r="N105" s="604"/>
    </row>
    <row r="106" spans="1:14" ht="12" thickBot="1" x14ac:dyDescent="0.25">
      <c r="A106" s="605"/>
      <c r="B106" s="606"/>
      <c r="C106" s="606"/>
      <c r="D106" s="606"/>
      <c r="E106" s="606"/>
      <c r="F106" s="606"/>
      <c r="G106" s="606"/>
      <c r="H106" s="606"/>
      <c r="I106" s="606"/>
      <c r="J106" s="606"/>
      <c r="K106" s="606"/>
      <c r="L106" s="606"/>
      <c r="M106" s="193"/>
      <c r="N106" s="607"/>
    </row>
    <row r="107" spans="1:14" x14ac:dyDescent="0.2">
      <c r="A107" s="600"/>
      <c r="B107" s="601"/>
      <c r="C107" s="601"/>
      <c r="D107" s="601"/>
      <c r="E107" s="601"/>
      <c r="F107" s="601"/>
      <c r="G107" s="601"/>
      <c r="H107" s="601"/>
      <c r="I107" s="601"/>
      <c r="J107" s="601"/>
      <c r="K107" s="601"/>
      <c r="L107" s="601"/>
      <c r="M107" s="186"/>
      <c r="N107" s="602"/>
    </row>
    <row r="108" spans="1:14" x14ac:dyDescent="0.2">
      <c r="A108" s="603"/>
      <c r="B108" s="552"/>
      <c r="C108" s="552"/>
      <c r="D108" s="552"/>
      <c r="E108" s="552"/>
      <c r="F108" s="552"/>
      <c r="G108" s="552"/>
      <c r="H108" s="552"/>
      <c r="I108" s="552"/>
      <c r="J108" s="552"/>
      <c r="N108" s="604"/>
    </row>
    <row r="109" spans="1:14" x14ac:dyDescent="0.2">
      <c r="A109" s="603"/>
      <c r="B109" s="552"/>
      <c r="C109" s="552"/>
      <c r="D109" s="552"/>
      <c r="E109" s="552"/>
      <c r="F109" s="552"/>
      <c r="G109" s="552"/>
      <c r="H109" s="552"/>
      <c r="I109" s="552"/>
      <c r="J109" s="552"/>
      <c r="N109" s="604"/>
    </row>
    <row r="110" spans="1:14" x14ac:dyDescent="0.2">
      <c r="A110" s="603"/>
      <c r="B110" s="552"/>
      <c r="C110" s="552"/>
      <c r="D110" s="552"/>
      <c r="E110" s="552"/>
      <c r="F110" s="552"/>
      <c r="G110" s="552"/>
      <c r="H110" s="552"/>
      <c r="I110" s="552"/>
      <c r="J110" s="552"/>
      <c r="N110" s="604"/>
    </row>
    <row r="111" spans="1:14" x14ac:dyDescent="0.2">
      <c r="A111" s="603"/>
      <c r="B111" s="552"/>
      <c r="C111" s="552"/>
      <c r="D111" s="552"/>
      <c r="E111" s="552"/>
      <c r="F111" s="552"/>
      <c r="G111" s="552"/>
      <c r="H111" s="552"/>
      <c r="I111" s="552"/>
      <c r="J111" s="552"/>
      <c r="N111" s="604"/>
    </row>
    <row r="112" spans="1:14" x14ac:dyDescent="0.2">
      <c r="A112" s="603"/>
      <c r="B112" s="552"/>
      <c r="C112" s="552"/>
      <c r="D112" s="552"/>
      <c r="E112" s="552"/>
      <c r="F112" s="552"/>
      <c r="G112" s="552"/>
      <c r="H112" s="552"/>
      <c r="I112" s="552"/>
      <c r="J112" s="552"/>
      <c r="N112" s="604"/>
    </row>
    <row r="113" spans="1:14" x14ac:dyDescent="0.2">
      <c r="A113" s="603"/>
      <c r="B113" s="552"/>
      <c r="C113" s="552"/>
      <c r="D113" s="552"/>
      <c r="E113" s="552"/>
      <c r="F113" s="552"/>
      <c r="G113" s="552"/>
      <c r="H113" s="552"/>
      <c r="I113" s="552"/>
      <c r="J113" s="552"/>
      <c r="N113" s="604"/>
    </row>
    <row r="114" spans="1:14" x14ac:dyDescent="0.2">
      <c r="A114" s="603"/>
      <c r="B114" s="552"/>
      <c r="C114" s="552"/>
      <c r="D114" s="552"/>
      <c r="E114" s="552"/>
      <c r="F114" s="552"/>
      <c r="G114" s="552"/>
      <c r="H114" s="552"/>
      <c r="I114" s="552"/>
      <c r="J114" s="552"/>
      <c r="N114" s="604"/>
    </row>
    <row r="115" spans="1:14" x14ac:dyDescent="0.2">
      <c r="A115" s="603"/>
      <c r="B115" s="552"/>
      <c r="C115" s="552"/>
      <c r="D115" s="552"/>
      <c r="E115" s="552"/>
      <c r="F115" s="552"/>
      <c r="G115" s="552"/>
      <c r="H115" s="552"/>
      <c r="I115" s="552"/>
      <c r="J115" s="552"/>
      <c r="N115" s="604"/>
    </row>
    <row r="116" spans="1:14" x14ac:dyDescent="0.2">
      <c r="A116" s="603"/>
      <c r="B116" s="552"/>
      <c r="C116" s="552"/>
      <c r="D116" s="552"/>
      <c r="E116" s="552"/>
      <c r="F116" s="552"/>
      <c r="G116" s="552"/>
      <c r="H116" s="552"/>
      <c r="I116" s="552"/>
      <c r="J116" s="552"/>
      <c r="N116" s="604"/>
    </row>
    <row r="117" spans="1:14" x14ac:dyDescent="0.2">
      <c r="A117" s="603"/>
      <c r="B117" s="552"/>
      <c r="C117" s="552"/>
      <c r="D117" s="552"/>
      <c r="E117" s="552"/>
      <c r="F117" s="552"/>
      <c r="G117" s="552"/>
      <c r="H117" s="552"/>
      <c r="I117" s="552"/>
      <c r="J117" s="552"/>
      <c r="N117" s="604"/>
    </row>
    <row r="118" spans="1:14" ht="12" thickBot="1" x14ac:dyDescent="0.25">
      <c r="A118" s="605"/>
      <c r="B118" s="606"/>
      <c r="C118" s="606"/>
      <c r="D118" s="606"/>
      <c r="E118" s="606"/>
      <c r="F118" s="606"/>
      <c r="G118" s="606"/>
      <c r="H118" s="606"/>
      <c r="I118" s="606"/>
      <c r="J118" s="606"/>
      <c r="K118" s="606"/>
      <c r="L118" s="606"/>
      <c r="M118" s="193"/>
      <c r="N118" s="607"/>
    </row>
    <row r="119" spans="1:14" x14ac:dyDescent="0.2">
      <c r="A119" s="1342"/>
      <c r="B119" s="1228"/>
      <c r="C119" s="1228"/>
      <c r="D119" s="1228"/>
      <c r="E119" s="1228"/>
      <c r="F119" s="1228"/>
      <c r="G119" s="1228"/>
      <c r="H119" s="1228"/>
      <c r="I119" s="1228"/>
      <c r="J119" s="1228"/>
      <c r="K119" s="1228"/>
      <c r="L119" s="1228"/>
      <c r="M119" s="1349"/>
      <c r="N119" s="1343"/>
    </row>
    <row r="120" spans="1:14" x14ac:dyDescent="0.2">
      <c r="A120" s="1344"/>
      <c r="B120" s="1229"/>
      <c r="C120" s="1229"/>
      <c r="D120" s="1229"/>
      <c r="E120" s="1229"/>
      <c r="F120" s="1229"/>
      <c r="G120" s="1229"/>
      <c r="H120" s="1229"/>
      <c r="I120" s="1229"/>
      <c r="J120" s="1229"/>
      <c r="K120" s="1229"/>
      <c r="L120" s="1229"/>
      <c r="M120" s="1353"/>
      <c r="N120" s="1345"/>
    </row>
    <row r="121" spans="1:14" x14ac:dyDescent="0.2">
      <c r="A121" s="1344"/>
      <c r="B121" s="1229"/>
      <c r="C121" s="1229"/>
      <c r="D121" s="1229"/>
      <c r="E121" s="1229"/>
      <c r="F121" s="1229"/>
      <c r="G121" s="1229"/>
      <c r="H121" s="1229"/>
      <c r="I121" s="1229"/>
      <c r="J121" s="1229"/>
      <c r="K121" s="1229"/>
      <c r="L121" s="1229"/>
      <c r="M121" s="1353"/>
      <c r="N121" s="1345"/>
    </row>
    <row r="122" spans="1:14" x14ac:dyDescent="0.2">
      <c r="A122" s="1344"/>
      <c r="B122" s="1229"/>
      <c r="C122" s="1229"/>
      <c r="D122" s="1229"/>
      <c r="E122" s="1229"/>
      <c r="F122" s="1229"/>
      <c r="G122" s="1229"/>
      <c r="H122" s="1229"/>
      <c r="I122" s="1229"/>
      <c r="J122" s="1229"/>
      <c r="K122" s="1229"/>
      <c r="L122" s="1229"/>
      <c r="M122" s="1353"/>
      <c r="N122" s="1345"/>
    </row>
    <row r="123" spans="1:14" x14ac:dyDescent="0.2">
      <c r="A123" s="1344"/>
      <c r="B123" s="1229"/>
      <c r="C123" s="1229"/>
      <c r="D123" s="1229"/>
      <c r="E123" s="1229"/>
      <c r="F123" s="1229"/>
      <c r="G123" s="1229"/>
      <c r="H123" s="1229"/>
      <c r="I123" s="1229"/>
      <c r="J123" s="1229"/>
      <c r="K123" s="1229"/>
      <c r="L123" s="1229"/>
      <c r="M123" s="1353"/>
      <c r="N123" s="1345"/>
    </row>
    <row r="124" spans="1:14" x14ac:dyDescent="0.2">
      <c r="A124" s="1344"/>
      <c r="B124" s="1229"/>
      <c r="C124" s="1229"/>
      <c r="D124" s="1229"/>
      <c r="E124" s="1229"/>
      <c r="F124" s="1229"/>
      <c r="G124" s="1229"/>
      <c r="H124" s="1229"/>
      <c r="I124" s="1229"/>
      <c r="J124" s="1229"/>
      <c r="K124" s="1229"/>
      <c r="L124" s="1229"/>
      <c r="M124" s="1353"/>
      <c r="N124" s="1345"/>
    </row>
    <row r="125" spans="1:14" x14ac:dyDescent="0.2">
      <c r="A125" s="1344"/>
      <c r="B125" s="1229"/>
      <c r="C125" s="1229"/>
      <c r="D125" s="1229"/>
      <c r="E125" s="1229"/>
      <c r="F125" s="1229"/>
      <c r="G125" s="1229"/>
      <c r="H125" s="1229"/>
      <c r="I125" s="1229"/>
      <c r="J125" s="1229"/>
      <c r="K125" s="1229"/>
      <c r="L125" s="1229"/>
      <c r="M125" s="1353"/>
      <c r="N125" s="1345"/>
    </row>
    <row r="126" spans="1:14" x14ac:dyDescent="0.2">
      <c r="A126" s="1344"/>
      <c r="B126" s="1229"/>
      <c r="C126" s="1229"/>
      <c r="D126" s="1229"/>
      <c r="E126" s="1229"/>
      <c r="F126" s="1229"/>
      <c r="G126" s="1229"/>
      <c r="H126" s="1229"/>
      <c r="I126" s="1229"/>
      <c r="J126" s="1229"/>
      <c r="K126" s="1229"/>
      <c r="L126" s="1229"/>
      <c r="M126" s="1353"/>
      <c r="N126" s="1345"/>
    </row>
    <row r="127" spans="1:14" x14ac:dyDescent="0.2">
      <c r="A127" s="1344"/>
      <c r="B127" s="1229"/>
      <c r="C127" s="1229"/>
      <c r="D127" s="1229"/>
      <c r="E127" s="1229"/>
      <c r="F127" s="1229"/>
      <c r="G127" s="1229"/>
      <c r="H127" s="1229"/>
      <c r="I127" s="1229"/>
      <c r="J127" s="1229"/>
      <c r="K127" s="1229"/>
      <c r="L127" s="1229"/>
      <c r="M127" s="1353"/>
      <c r="N127" s="1345"/>
    </row>
    <row r="128" spans="1:14" x14ac:dyDescent="0.2">
      <c r="A128" s="1344"/>
      <c r="B128" s="1229"/>
      <c r="C128" s="1229"/>
      <c r="D128" s="1229"/>
      <c r="E128" s="1229"/>
      <c r="F128" s="1229"/>
      <c r="G128" s="1229"/>
      <c r="H128" s="1229"/>
      <c r="I128" s="1229"/>
      <c r="J128" s="1229"/>
      <c r="K128" s="1229"/>
      <c r="L128" s="1229"/>
      <c r="M128" s="1353"/>
      <c r="N128" s="1345"/>
    </row>
    <row r="129" spans="1:14" x14ac:dyDescent="0.2">
      <c r="A129" s="1344"/>
      <c r="B129" s="1229"/>
      <c r="C129" s="1229"/>
      <c r="D129" s="1229"/>
      <c r="E129" s="1229"/>
      <c r="F129" s="1229"/>
      <c r="G129" s="1229"/>
      <c r="H129" s="1229"/>
      <c r="I129" s="1229"/>
      <c r="J129" s="1229"/>
      <c r="K129" s="1229"/>
      <c r="L129" s="1229"/>
      <c r="M129" s="1353"/>
      <c r="N129" s="1345"/>
    </row>
    <row r="130" spans="1:14" ht="12" thickBot="1" x14ac:dyDescent="0.25">
      <c r="A130" s="1346"/>
      <c r="B130" s="1230"/>
      <c r="C130" s="1230"/>
      <c r="D130" s="1230"/>
      <c r="E130" s="1230"/>
      <c r="F130" s="1230"/>
      <c r="G130" s="1230"/>
      <c r="H130" s="1230"/>
      <c r="I130" s="1230"/>
      <c r="J130" s="1230"/>
      <c r="K130" s="1230"/>
      <c r="L130" s="1230"/>
      <c r="M130" s="1360"/>
      <c r="N130" s="1347"/>
    </row>
    <row r="131" spans="1:14" x14ac:dyDescent="0.2">
      <c r="A131" s="600"/>
      <c r="B131" s="601"/>
      <c r="C131" s="601"/>
      <c r="D131" s="601"/>
      <c r="E131" s="601"/>
      <c r="F131" s="601"/>
      <c r="G131" s="601"/>
      <c r="H131" s="601"/>
      <c r="I131" s="601"/>
      <c r="J131" s="601"/>
      <c r="K131" s="601"/>
      <c r="L131" s="601"/>
      <c r="M131" s="186"/>
      <c r="N131" s="602"/>
    </row>
    <row r="132" spans="1:14" x14ac:dyDescent="0.2">
      <c r="A132" s="603"/>
      <c r="B132" s="552"/>
      <c r="C132" s="552"/>
      <c r="D132" s="552"/>
      <c r="E132" s="552"/>
      <c r="F132" s="552"/>
      <c r="G132" s="552"/>
      <c r="H132" s="552"/>
      <c r="I132" s="552"/>
      <c r="J132" s="552"/>
      <c r="N132" s="604"/>
    </row>
    <row r="133" spans="1:14" x14ac:dyDescent="0.2">
      <c r="A133" s="603"/>
      <c r="B133" s="552"/>
      <c r="C133" s="552"/>
      <c r="D133" s="552"/>
      <c r="E133" s="552"/>
      <c r="F133" s="552"/>
      <c r="G133" s="552"/>
      <c r="H133" s="552"/>
      <c r="I133" s="552"/>
      <c r="J133" s="552"/>
      <c r="N133" s="604"/>
    </row>
    <row r="134" spans="1:14" x14ac:dyDescent="0.2">
      <c r="A134" s="603"/>
      <c r="B134" s="552"/>
      <c r="C134" s="552"/>
      <c r="D134" s="552"/>
      <c r="E134" s="552"/>
      <c r="F134" s="552"/>
      <c r="G134" s="552"/>
      <c r="H134" s="552"/>
      <c r="I134" s="552"/>
      <c r="J134" s="552"/>
      <c r="N134" s="604"/>
    </row>
    <row r="135" spans="1:14" x14ac:dyDescent="0.2">
      <c r="A135" s="603"/>
      <c r="B135" s="552"/>
      <c r="C135" s="552"/>
      <c r="D135" s="552"/>
      <c r="E135" s="552"/>
      <c r="F135" s="552"/>
      <c r="G135" s="552"/>
      <c r="H135" s="552"/>
      <c r="I135" s="552"/>
      <c r="J135" s="552"/>
      <c r="N135" s="604"/>
    </row>
    <row r="136" spans="1:14" x14ac:dyDescent="0.2">
      <c r="A136" s="603"/>
      <c r="B136" s="552"/>
      <c r="C136" s="552"/>
      <c r="D136" s="552"/>
      <c r="E136" s="552"/>
      <c r="F136" s="552"/>
      <c r="G136" s="552"/>
      <c r="H136" s="552"/>
      <c r="I136" s="552"/>
      <c r="J136" s="552"/>
      <c r="N136" s="604"/>
    </row>
    <row r="137" spans="1:14" x14ac:dyDescent="0.2">
      <c r="A137" s="603"/>
      <c r="B137" s="552"/>
      <c r="C137" s="552"/>
      <c r="D137" s="552"/>
      <c r="E137" s="552"/>
      <c r="F137" s="552"/>
      <c r="G137" s="552"/>
      <c r="H137" s="552"/>
      <c r="I137" s="552"/>
      <c r="J137" s="552"/>
      <c r="N137" s="604"/>
    </row>
    <row r="138" spans="1:14" x14ac:dyDescent="0.2">
      <c r="A138" s="603"/>
      <c r="B138" s="552"/>
      <c r="C138" s="552"/>
      <c r="D138" s="552"/>
      <c r="E138" s="552"/>
      <c r="F138" s="552"/>
      <c r="G138" s="552"/>
      <c r="H138" s="552"/>
      <c r="I138" s="552"/>
      <c r="J138" s="552"/>
      <c r="N138" s="604"/>
    </row>
    <row r="139" spans="1:14" ht="12" thickBot="1" x14ac:dyDescent="0.25">
      <c r="A139" s="605"/>
      <c r="B139" s="606"/>
      <c r="C139" s="606"/>
      <c r="D139" s="606"/>
      <c r="E139" s="606"/>
      <c r="F139" s="606"/>
      <c r="G139" s="606"/>
      <c r="H139" s="606"/>
      <c r="I139" s="606"/>
      <c r="J139" s="606"/>
      <c r="K139" s="606"/>
      <c r="L139" s="606"/>
      <c r="M139" s="193"/>
      <c r="N139" s="607"/>
    </row>
    <row r="140" spans="1:14" x14ac:dyDescent="0.2">
      <c r="A140" s="600"/>
      <c r="B140" s="601"/>
      <c r="C140" s="601"/>
      <c r="D140" s="601"/>
      <c r="E140" s="601"/>
      <c r="F140" s="601"/>
      <c r="G140" s="601"/>
      <c r="H140" s="601"/>
      <c r="I140" s="601"/>
      <c r="J140" s="601"/>
      <c r="K140" s="601"/>
      <c r="L140" s="601"/>
      <c r="M140" s="186"/>
      <c r="N140" s="602"/>
    </row>
    <row r="141" spans="1:14" x14ac:dyDescent="0.2">
      <c r="A141" s="603"/>
      <c r="B141" s="552"/>
      <c r="C141" s="552"/>
      <c r="D141" s="552"/>
      <c r="E141" s="552"/>
      <c r="F141" s="552"/>
      <c r="G141" s="552"/>
      <c r="H141" s="552"/>
      <c r="I141" s="552"/>
      <c r="J141" s="552"/>
      <c r="N141" s="604"/>
    </row>
    <row r="142" spans="1:14" ht="12" thickBot="1" x14ac:dyDescent="0.25">
      <c r="A142" s="605"/>
      <c r="B142" s="606"/>
      <c r="C142" s="606"/>
      <c r="D142" s="606"/>
      <c r="E142" s="606"/>
      <c r="F142" s="606"/>
      <c r="G142" s="606"/>
      <c r="H142" s="606"/>
      <c r="I142" s="606"/>
      <c r="J142" s="606"/>
      <c r="K142" s="606"/>
      <c r="L142" s="606"/>
      <c r="M142" s="193"/>
      <c r="N142" s="607"/>
    </row>
    <row r="143" spans="1:14" x14ac:dyDescent="0.2">
      <c r="A143" s="600"/>
      <c r="B143" s="601"/>
      <c r="C143" s="601"/>
      <c r="D143" s="601"/>
      <c r="E143" s="601"/>
      <c r="F143" s="601"/>
      <c r="G143" s="601"/>
      <c r="H143" s="601"/>
      <c r="I143" s="601"/>
      <c r="J143" s="601"/>
      <c r="K143" s="601"/>
      <c r="L143" s="601"/>
      <c r="M143" s="186"/>
      <c r="N143" s="602"/>
    </row>
    <row r="144" spans="1:14" x14ac:dyDescent="0.2">
      <c r="A144" s="603"/>
      <c r="B144" s="552"/>
      <c r="C144" s="552"/>
      <c r="D144" s="552"/>
      <c r="E144" s="552"/>
      <c r="F144" s="552"/>
      <c r="G144" s="552"/>
      <c r="H144" s="552"/>
      <c r="I144" s="552"/>
      <c r="J144" s="552"/>
      <c r="N144" s="604"/>
    </row>
    <row r="145" spans="1:14" x14ac:dyDescent="0.2">
      <c r="A145" s="603"/>
      <c r="B145" s="552"/>
      <c r="C145" s="552"/>
      <c r="D145" s="552"/>
      <c r="E145" s="552"/>
      <c r="F145" s="552"/>
      <c r="G145" s="552"/>
      <c r="H145" s="552"/>
      <c r="I145" s="552"/>
      <c r="J145" s="552"/>
      <c r="N145" s="604"/>
    </row>
    <row r="146" spans="1:14" x14ac:dyDescent="0.2">
      <c r="A146" s="603"/>
      <c r="B146" s="552"/>
      <c r="C146" s="552"/>
      <c r="D146" s="552"/>
      <c r="E146" s="552"/>
      <c r="F146" s="552"/>
      <c r="G146" s="552"/>
      <c r="H146" s="552"/>
      <c r="I146" s="552"/>
      <c r="J146" s="552"/>
      <c r="N146" s="604"/>
    </row>
    <row r="147" spans="1:14" x14ac:dyDescent="0.2">
      <c r="A147" s="603"/>
      <c r="B147" s="552"/>
      <c r="C147" s="552"/>
      <c r="D147" s="552"/>
      <c r="E147" s="552"/>
      <c r="F147" s="552"/>
      <c r="G147" s="552"/>
      <c r="H147" s="552"/>
      <c r="I147" s="552"/>
      <c r="J147" s="552"/>
      <c r="N147" s="604"/>
    </row>
    <row r="148" spans="1:14" x14ac:dyDescent="0.2">
      <c r="A148" s="603"/>
      <c r="B148" s="552"/>
      <c r="C148" s="552"/>
      <c r="D148" s="552"/>
      <c r="E148" s="552"/>
      <c r="F148" s="552"/>
      <c r="G148" s="552"/>
      <c r="H148" s="552"/>
      <c r="I148" s="552"/>
      <c r="J148" s="552"/>
      <c r="N148" s="604"/>
    </row>
    <row r="149" spans="1:14" x14ac:dyDescent="0.2">
      <c r="A149" s="603"/>
      <c r="B149" s="552"/>
      <c r="C149" s="552"/>
      <c r="D149" s="552"/>
      <c r="E149" s="552"/>
      <c r="F149" s="552"/>
      <c r="G149" s="552"/>
      <c r="H149" s="552"/>
      <c r="I149" s="552"/>
      <c r="J149" s="552"/>
      <c r="N149" s="604"/>
    </row>
    <row r="150" spans="1:14" x14ac:dyDescent="0.2">
      <c r="A150" s="603"/>
      <c r="B150" s="552"/>
      <c r="C150" s="552"/>
      <c r="D150" s="552"/>
      <c r="E150" s="552"/>
      <c r="F150" s="552"/>
      <c r="G150" s="552"/>
      <c r="H150" s="552"/>
      <c r="I150" s="552"/>
      <c r="J150" s="552"/>
      <c r="N150" s="604"/>
    </row>
    <row r="151" spans="1:14" ht="12" thickBot="1" x14ac:dyDescent="0.25">
      <c r="A151" s="605"/>
      <c r="B151" s="606"/>
      <c r="C151" s="606"/>
      <c r="D151" s="606"/>
      <c r="E151" s="606"/>
      <c r="F151" s="606"/>
      <c r="G151" s="606"/>
      <c r="H151" s="606"/>
      <c r="I151" s="606"/>
      <c r="J151" s="606"/>
      <c r="K151" s="606"/>
      <c r="L151" s="606"/>
      <c r="M151" s="193"/>
      <c r="N151" s="607"/>
    </row>
    <row r="152" spans="1:14" x14ac:dyDescent="0.2">
      <c r="A152" s="603"/>
      <c r="B152" s="552"/>
      <c r="C152" s="552"/>
      <c r="D152" s="552"/>
      <c r="E152" s="552"/>
      <c r="F152" s="552"/>
      <c r="G152" s="552"/>
      <c r="H152" s="552"/>
      <c r="I152" s="552"/>
      <c r="J152" s="552"/>
      <c r="N152" s="604"/>
    </row>
    <row r="153" spans="1:14" x14ac:dyDescent="0.2">
      <c r="A153" s="603"/>
      <c r="B153" s="552"/>
      <c r="C153" s="552"/>
      <c r="D153" s="552"/>
      <c r="E153" s="552"/>
      <c r="F153" s="552"/>
      <c r="G153" s="552"/>
      <c r="H153" s="552"/>
      <c r="I153" s="552"/>
      <c r="J153" s="552"/>
      <c r="N153" s="604"/>
    </row>
    <row r="154" spans="1:14" ht="12" thickBot="1" x14ac:dyDescent="0.25">
      <c r="A154" s="605"/>
      <c r="B154" s="606"/>
      <c r="C154" s="606"/>
      <c r="D154" s="606"/>
      <c r="E154" s="606"/>
      <c r="F154" s="606"/>
      <c r="G154" s="606"/>
      <c r="H154" s="606"/>
      <c r="I154" s="606"/>
      <c r="J154" s="606"/>
      <c r="K154" s="606"/>
      <c r="L154" s="606"/>
      <c r="M154" s="193"/>
      <c r="N154" s="607"/>
    </row>
    <row r="155" spans="1:14" x14ac:dyDescent="0.2">
      <c r="A155" s="600"/>
      <c r="B155" s="601"/>
      <c r="C155" s="601"/>
      <c r="D155" s="601"/>
      <c r="E155" s="601"/>
      <c r="F155" s="601"/>
      <c r="G155" s="601"/>
      <c r="H155" s="601"/>
      <c r="I155" s="601"/>
      <c r="J155" s="601"/>
      <c r="K155" s="601"/>
      <c r="L155" s="601"/>
      <c r="M155" s="186"/>
      <c r="N155" s="602"/>
    </row>
    <row r="156" spans="1:14" x14ac:dyDescent="0.2">
      <c r="A156" s="603"/>
      <c r="B156" s="552"/>
      <c r="C156" s="552"/>
      <c r="D156" s="552"/>
      <c r="E156" s="552"/>
      <c r="F156" s="552"/>
      <c r="G156" s="552"/>
      <c r="H156" s="552"/>
      <c r="I156" s="552"/>
      <c r="J156" s="552"/>
      <c r="N156" s="604"/>
    </row>
    <row r="157" spans="1:14" x14ac:dyDescent="0.2">
      <c r="A157" s="603"/>
      <c r="B157" s="552"/>
      <c r="C157" s="552"/>
      <c r="D157" s="552"/>
      <c r="E157" s="552"/>
      <c r="F157" s="552"/>
      <c r="G157" s="552"/>
      <c r="H157" s="552"/>
      <c r="I157" s="552"/>
      <c r="J157" s="552"/>
      <c r="N157" s="604"/>
    </row>
    <row r="158" spans="1:14" x14ac:dyDescent="0.2">
      <c r="A158" s="603"/>
      <c r="B158" s="552"/>
      <c r="C158" s="552"/>
      <c r="D158" s="552"/>
      <c r="E158" s="552"/>
      <c r="F158" s="552"/>
      <c r="G158" s="552"/>
      <c r="H158" s="552"/>
      <c r="I158" s="552"/>
      <c r="J158" s="552"/>
      <c r="N158" s="604"/>
    </row>
    <row r="159" spans="1:14" x14ac:dyDescent="0.2">
      <c r="A159" s="603"/>
      <c r="B159" s="552"/>
      <c r="C159" s="552"/>
      <c r="D159" s="552"/>
      <c r="E159" s="552"/>
      <c r="F159" s="552"/>
      <c r="G159" s="552"/>
      <c r="H159" s="552"/>
      <c r="I159" s="552"/>
      <c r="J159" s="552"/>
      <c r="N159" s="604"/>
    </row>
    <row r="160" spans="1:14" x14ac:dyDescent="0.2">
      <c r="A160" s="603"/>
      <c r="B160" s="552"/>
      <c r="C160" s="552"/>
      <c r="D160" s="552"/>
      <c r="E160" s="552"/>
      <c r="F160" s="552"/>
      <c r="G160" s="552"/>
      <c r="H160" s="552"/>
      <c r="I160" s="552"/>
      <c r="J160" s="552"/>
      <c r="N160" s="604"/>
    </row>
    <row r="161" spans="1:14" x14ac:dyDescent="0.2">
      <c r="A161" s="603"/>
      <c r="B161" s="552"/>
      <c r="C161" s="552"/>
      <c r="D161" s="552"/>
      <c r="E161" s="552"/>
      <c r="F161" s="552"/>
      <c r="G161" s="552"/>
      <c r="H161" s="552"/>
      <c r="I161" s="552"/>
      <c r="J161" s="552"/>
      <c r="N161" s="604"/>
    </row>
    <row r="162" spans="1:14" x14ac:dyDescent="0.2">
      <c r="A162" s="603"/>
      <c r="B162" s="552"/>
      <c r="C162" s="552"/>
      <c r="D162" s="552"/>
      <c r="E162" s="552"/>
      <c r="F162" s="552"/>
      <c r="G162" s="552"/>
      <c r="H162" s="552"/>
      <c r="I162" s="552"/>
      <c r="J162" s="552"/>
      <c r="N162" s="604"/>
    </row>
    <row r="163" spans="1:14" x14ac:dyDescent="0.2">
      <c r="A163" s="603"/>
      <c r="B163" s="552"/>
      <c r="C163" s="552"/>
      <c r="D163" s="552"/>
      <c r="E163" s="552"/>
      <c r="F163" s="552"/>
      <c r="G163" s="552"/>
      <c r="H163" s="552"/>
      <c r="I163" s="552"/>
      <c r="J163" s="552"/>
      <c r="N163" s="604"/>
    </row>
    <row r="164" spans="1:14" x14ac:dyDescent="0.2">
      <c r="A164" s="603"/>
      <c r="B164" s="552"/>
      <c r="C164" s="552"/>
      <c r="D164" s="552"/>
      <c r="E164" s="552"/>
      <c r="F164" s="552"/>
      <c r="G164" s="552"/>
      <c r="H164" s="552"/>
      <c r="I164" s="552"/>
      <c r="J164" s="552"/>
      <c r="N164" s="604"/>
    </row>
    <row r="165" spans="1:14" x14ac:dyDescent="0.2">
      <c r="A165" s="603"/>
      <c r="B165" s="552"/>
      <c r="C165" s="552"/>
      <c r="D165" s="552"/>
      <c r="E165" s="552"/>
      <c r="F165" s="552"/>
      <c r="G165" s="552"/>
      <c r="H165" s="552"/>
      <c r="I165" s="552"/>
      <c r="J165" s="552"/>
      <c r="N165" s="604"/>
    </row>
    <row r="166" spans="1:14" ht="12" thickBot="1" x14ac:dyDescent="0.25">
      <c r="A166" s="605"/>
      <c r="B166" s="606"/>
      <c r="C166" s="606"/>
      <c r="D166" s="606"/>
      <c r="E166" s="606"/>
      <c r="F166" s="606"/>
      <c r="G166" s="606"/>
      <c r="H166" s="606"/>
      <c r="I166" s="606"/>
      <c r="J166" s="606"/>
      <c r="K166" s="606"/>
      <c r="L166" s="606"/>
      <c r="M166" s="193"/>
      <c r="N166" s="607"/>
    </row>
    <row r="167" spans="1:14" x14ac:dyDescent="0.2">
      <c r="A167" s="600"/>
      <c r="B167" s="601"/>
      <c r="C167" s="601"/>
      <c r="D167" s="601"/>
      <c r="E167" s="601"/>
      <c r="F167" s="601"/>
      <c r="G167" s="601"/>
      <c r="H167" s="601"/>
      <c r="I167" s="601"/>
      <c r="J167" s="601"/>
      <c r="K167" s="601"/>
      <c r="L167" s="601"/>
      <c r="M167" s="186"/>
      <c r="N167" s="602"/>
    </row>
    <row r="168" spans="1:14" x14ac:dyDescent="0.2">
      <c r="A168" s="603"/>
      <c r="B168" s="552"/>
      <c r="C168" s="552"/>
      <c r="D168" s="552"/>
      <c r="E168" s="552"/>
      <c r="F168" s="552"/>
      <c r="G168" s="552"/>
      <c r="H168" s="552"/>
      <c r="I168" s="552"/>
      <c r="J168" s="552"/>
      <c r="N168" s="604"/>
    </row>
    <row r="169" spans="1:14" x14ac:dyDescent="0.2">
      <c r="A169" s="603"/>
      <c r="B169" s="552"/>
      <c r="C169" s="552"/>
      <c r="D169" s="552"/>
      <c r="E169" s="552"/>
      <c r="F169" s="552"/>
      <c r="G169" s="552"/>
      <c r="H169" s="552"/>
      <c r="I169" s="552"/>
      <c r="J169" s="552"/>
      <c r="N169" s="604"/>
    </row>
    <row r="170" spans="1:14" x14ac:dyDescent="0.2">
      <c r="A170" s="603"/>
      <c r="B170" s="552"/>
      <c r="C170" s="552"/>
      <c r="D170" s="552"/>
      <c r="E170" s="552"/>
      <c r="F170" s="552"/>
      <c r="G170" s="552"/>
      <c r="H170" s="552"/>
      <c r="I170" s="552"/>
      <c r="J170" s="552"/>
      <c r="N170" s="604"/>
    </row>
    <row r="171" spans="1:14" x14ac:dyDescent="0.2">
      <c r="A171" s="603"/>
      <c r="B171" s="552"/>
      <c r="C171" s="552"/>
      <c r="D171" s="552"/>
      <c r="E171" s="552"/>
      <c r="F171" s="552"/>
      <c r="G171" s="552"/>
      <c r="H171" s="552"/>
      <c r="I171" s="552"/>
      <c r="J171" s="552"/>
      <c r="N171" s="604"/>
    </row>
    <row r="172" spans="1:14" ht="12" thickBot="1" x14ac:dyDescent="0.25">
      <c r="A172" s="603"/>
      <c r="B172" s="552"/>
      <c r="C172" s="552"/>
      <c r="D172" s="552"/>
      <c r="E172" s="552"/>
      <c r="F172" s="552"/>
      <c r="G172" s="552"/>
      <c r="H172" s="552"/>
      <c r="I172" s="552"/>
      <c r="J172" s="552"/>
      <c r="N172" s="604"/>
    </row>
    <row r="173" spans="1:14" x14ac:dyDescent="0.2">
      <c r="A173" s="600"/>
      <c r="B173" s="601"/>
      <c r="C173" s="601"/>
      <c r="D173" s="601"/>
      <c r="E173" s="601"/>
      <c r="F173" s="601"/>
      <c r="G173" s="601"/>
      <c r="H173" s="601"/>
      <c r="I173" s="601"/>
      <c r="J173" s="601"/>
      <c r="K173" s="601"/>
      <c r="L173" s="601"/>
      <c r="M173" s="186"/>
      <c r="N173" s="602"/>
    </row>
    <row r="174" spans="1:14" ht="12" thickBot="1" x14ac:dyDescent="0.25">
      <c r="A174" s="603"/>
      <c r="B174" s="552"/>
      <c r="C174" s="552"/>
      <c r="D174" s="552"/>
      <c r="E174" s="552"/>
      <c r="F174" s="552"/>
      <c r="G174" s="552"/>
      <c r="H174" s="552"/>
      <c r="I174" s="552"/>
      <c r="J174" s="552"/>
      <c r="N174" s="604"/>
    </row>
    <row r="175" spans="1:14" ht="45" x14ac:dyDescent="0.2">
      <c r="A175" s="600"/>
      <c r="B175" s="185" t="s">
        <v>24</v>
      </c>
      <c r="C175" s="185"/>
      <c r="D175" s="601"/>
      <c r="E175" s="601"/>
      <c r="F175" s="601"/>
      <c r="G175" s="601"/>
      <c r="H175" s="601"/>
      <c r="I175" s="601"/>
      <c r="J175" s="601"/>
      <c r="K175" s="601"/>
      <c r="L175" s="601"/>
      <c r="M175" s="186"/>
      <c r="N175" s="602"/>
    </row>
    <row r="176" spans="1:14" x14ac:dyDescent="0.2">
      <c r="A176" s="603"/>
      <c r="B176" s="552"/>
      <c r="C176" s="552"/>
      <c r="D176" s="552"/>
      <c r="E176" s="552"/>
      <c r="F176" s="552"/>
      <c r="G176" s="552"/>
      <c r="H176" s="552"/>
      <c r="I176" s="552"/>
      <c r="J176" s="552"/>
      <c r="N176" s="604"/>
    </row>
    <row r="177" spans="1:14" x14ac:dyDescent="0.2">
      <c r="A177" s="603"/>
      <c r="B177" s="552"/>
      <c r="C177" s="552"/>
      <c r="D177" s="552"/>
      <c r="E177" s="552"/>
      <c r="F177" s="552"/>
      <c r="G177" s="552"/>
      <c r="H177" s="552"/>
      <c r="I177" s="552"/>
      <c r="J177" s="552"/>
      <c r="N177" s="604"/>
    </row>
    <row r="178" spans="1:14" ht="12" thickBot="1" x14ac:dyDescent="0.25">
      <c r="A178" s="605"/>
      <c r="B178" s="606"/>
      <c r="C178" s="606"/>
      <c r="D178" s="606"/>
      <c r="E178" s="606"/>
      <c r="F178" s="606"/>
      <c r="G178" s="606"/>
      <c r="H178" s="606"/>
      <c r="I178" s="606"/>
      <c r="J178" s="606"/>
      <c r="K178" s="606"/>
      <c r="L178" s="606"/>
      <c r="M178" s="193"/>
      <c r="N178" s="607"/>
    </row>
    <row r="179" spans="1:14" x14ac:dyDescent="0.2">
      <c r="A179" s="600"/>
      <c r="B179" s="601"/>
      <c r="C179" s="601"/>
      <c r="D179" s="601"/>
      <c r="E179" s="601"/>
      <c r="F179" s="601"/>
      <c r="G179" s="601"/>
      <c r="H179" s="601"/>
      <c r="I179" s="601"/>
      <c r="J179" s="601"/>
      <c r="K179" s="601"/>
      <c r="L179" s="601"/>
      <c r="M179" s="186"/>
      <c r="N179" s="602"/>
    </row>
    <row r="180" spans="1:14" x14ac:dyDescent="0.2">
      <c r="A180" s="603"/>
      <c r="B180" s="552"/>
      <c r="C180" s="552"/>
      <c r="D180" s="552"/>
      <c r="E180" s="552"/>
      <c r="F180" s="552"/>
      <c r="G180" s="552"/>
      <c r="H180" s="552"/>
      <c r="I180" s="552"/>
      <c r="J180" s="552"/>
      <c r="N180" s="604"/>
    </row>
    <row r="181" spans="1:14" ht="12" thickBot="1" x14ac:dyDescent="0.25">
      <c r="A181" s="605"/>
      <c r="B181" s="606"/>
      <c r="C181" s="606"/>
      <c r="D181" s="606"/>
      <c r="E181" s="606"/>
      <c r="F181" s="606"/>
      <c r="G181" s="606"/>
      <c r="H181" s="606"/>
      <c r="I181" s="606"/>
      <c r="J181" s="606"/>
      <c r="K181" s="606"/>
      <c r="L181" s="606"/>
      <c r="M181" s="193"/>
      <c r="N181" s="607"/>
    </row>
    <row r="182" spans="1:14" x14ac:dyDescent="0.2">
      <c r="A182" s="600"/>
      <c r="B182" s="601"/>
      <c r="C182" s="601"/>
      <c r="D182" s="601"/>
      <c r="E182" s="601"/>
      <c r="F182" s="601"/>
      <c r="G182" s="601"/>
      <c r="H182" s="601"/>
      <c r="I182" s="601"/>
      <c r="J182" s="601"/>
      <c r="K182" s="601"/>
      <c r="L182" s="601"/>
      <c r="M182" s="186"/>
      <c r="N182" s="602"/>
    </row>
    <row r="183" spans="1:14" x14ac:dyDescent="0.2">
      <c r="A183" s="603"/>
      <c r="B183" s="552"/>
      <c r="C183" s="552"/>
      <c r="D183" s="552"/>
      <c r="E183" s="552"/>
      <c r="F183" s="552"/>
      <c r="G183" s="552"/>
      <c r="H183" s="552"/>
      <c r="I183" s="552"/>
      <c r="J183" s="552"/>
      <c r="N183" s="604"/>
    </row>
    <row r="184" spans="1:14" x14ac:dyDescent="0.2">
      <c r="A184" s="603"/>
      <c r="B184" s="552"/>
      <c r="C184" s="552"/>
      <c r="D184" s="552"/>
      <c r="E184" s="552"/>
      <c r="F184" s="552"/>
      <c r="G184" s="552"/>
      <c r="H184" s="552"/>
      <c r="I184" s="552"/>
      <c r="J184" s="552"/>
      <c r="N184" s="604"/>
    </row>
    <row r="185" spans="1:14" x14ac:dyDescent="0.2">
      <c r="A185" s="603"/>
      <c r="B185" s="552"/>
      <c r="C185" s="552"/>
      <c r="D185" s="552"/>
      <c r="E185" s="552"/>
      <c r="F185" s="552"/>
      <c r="G185" s="552"/>
      <c r="H185" s="552"/>
      <c r="I185" s="552"/>
      <c r="J185" s="552"/>
      <c r="N185" s="604"/>
    </row>
    <row r="186" spans="1:14" ht="12" thickBot="1" x14ac:dyDescent="0.25">
      <c r="A186" s="605"/>
      <c r="B186" s="606"/>
      <c r="C186" s="606"/>
      <c r="D186" s="606"/>
      <c r="E186" s="606"/>
      <c r="F186" s="606"/>
      <c r="G186" s="606"/>
      <c r="H186" s="606"/>
      <c r="I186" s="606"/>
      <c r="J186" s="606"/>
      <c r="K186" s="606"/>
      <c r="L186" s="606"/>
      <c r="M186" s="193"/>
      <c r="N186" s="607"/>
    </row>
    <row r="187" spans="1:14" x14ac:dyDescent="0.2">
      <c r="A187" s="603"/>
      <c r="B187" s="552"/>
      <c r="C187" s="552"/>
      <c r="D187" s="552"/>
      <c r="E187" s="552"/>
      <c r="F187" s="552"/>
      <c r="G187" s="552"/>
      <c r="H187" s="552"/>
      <c r="I187" s="552"/>
      <c r="J187" s="552"/>
      <c r="N187" s="604"/>
    </row>
    <row r="188" spans="1:14" x14ac:dyDescent="0.2">
      <c r="A188" s="603"/>
      <c r="B188" s="552"/>
      <c r="C188" s="552"/>
      <c r="D188" s="552"/>
      <c r="E188" s="552"/>
      <c r="F188" s="552"/>
      <c r="G188" s="552"/>
      <c r="H188" s="552"/>
      <c r="I188" s="552"/>
      <c r="J188" s="552"/>
      <c r="N188" s="604"/>
    </row>
    <row r="189" spans="1:14" x14ac:dyDescent="0.2">
      <c r="A189" s="603"/>
      <c r="B189" s="552"/>
      <c r="C189" s="552"/>
      <c r="D189" s="552"/>
      <c r="E189" s="552"/>
      <c r="F189" s="552"/>
      <c r="G189" s="552"/>
      <c r="H189" s="552"/>
      <c r="I189" s="552"/>
      <c r="J189" s="552"/>
      <c r="N189" s="604"/>
    </row>
    <row r="190" spans="1:14" ht="12" thickBot="1" x14ac:dyDescent="0.25">
      <c r="A190" s="605"/>
      <c r="B190" s="606"/>
      <c r="C190" s="606"/>
      <c r="D190" s="606"/>
      <c r="E190" s="606"/>
      <c r="F190" s="606"/>
      <c r="G190" s="606"/>
      <c r="H190" s="606"/>
      <c r="I190" s="606"/>
      <c r="J190" s="606"/>
      <c r="K190" s="606"/>
      <c r="L190" s="606"/>
      <c r="M190" s="193"/>
      <c r="N190" s="607"/>
    </row>
    <row r="191" spans="1:14" x14ac:dyDescent="0.2">
      <c r="A191" s="600"/>
      <c r="B191" s="601"/>
      <c r="C191" s="601"/>
      <c r="D191" s="601"/>
      <c r="E191" s="601"/>
      <c r="F191" s="601"/>
      <c r="G191" s="601"/>
      <c r="H191" s="601"/>
      <c r="I191" s="601"/>
      <c r="J191" s="601"/>
      <c r="K191" s="601"/>
      <c r="L191" s="601"/>
      <c r="M191" s="186"/>
      <c r="N191" s="602"/>
    </row>
    <row r="192" spans="1:14" x14ac:dyDescent="0.2">
      <c r="A192" s="603"/>
      <c r="B192" s="552"/>
      <c r="C192" s="552"/>
      <c r="D192" s="552"/>
      <c r="E192" s="552"/>
      <c r="F192" s="552"/>
      <c r="G192" s="552"/>
      <c r="H192" s="552"/>
      <c r="I192" s="552"/>
      <c r="J192" s="552"/>
      <c r="N192" s="604"/>
    </row>
    <row r="193" spans="1:14" x14ac:dyDescent="0.2">
      <c r="A193" s="603"/>
      <c r="B193" s="552"/>
      <c r="C193" s="552"/>
      <c r="D193" s="552"/>
      <c r="E193" s="552"/>
      <c r="F193" s="552"/>
      <c r="G193" s="552"/>
      <c r="H193" s="552"/>
      <c r="I193" s="552"/>
      <c r="J193" s="552"/>
      <c r="N193" s="604"/>
    </row>
    <row r="194" spans="1:14" x14ac:dyDescent="0.2">
      <c r="A194" s="603"/>
      <c r="B194" s="552"/>
      <c r="C194" s="552"/>
      <c r="D194" s="552"/>
      <c r="E194" s="552"/>
      <c r="F194" s="552"/>
      <c r="G194" s="552"/>
      <c r="H194" s="552"/>
      <c r="I194" s="552"/>
      <c r="J194" s="552"/>
      <c r="N194" s="604"/>
    </row>
    <row r="195" spans="1:14" x14ac:dyDescent="0.2">
      <c r="A195" s="603"/>
      <c r="B195" s="552"/>
      <c r="C195" s="552"/>
      <c r="D195" s="552"/>
      <c r="E195" s="552"/>
      <c r="F195" s="552"/>
      <c r="G195" s="552"/>
      <c r="H195" s="552"/>
      <c r="I195" s="552"/>
      <c r="J195" s="552"/>
      <c r="N195" s="604"/>
    </row>
    <row r="196" spans="1:14" x14ac:dyDescent="0.2">
      <c r="A196" s="603"/>
      <c r="B196" s="552"/>
      <c r="C196" s="552"/>
      <c r="D196" s="552"/>
      <c r="E196" s="552"/>
      <c r="F196" s="552"/>
      <c r="G196" s="552"/>
      <c r="H196" s="552"/>
      <c r="I196" s="552"/>
      <c r="J196" s="552"/>
      <c r="N196" s="604"/>
    </row>
    <row r="197" spans="1:14" x14ac:dyDescent="0.2">
      <c r="A197" s="603"/>
      <c r="B197" s="552"/>
      <c r="C197" s="552"/>
      <c r="D197" s="552"/>
      <c r="E197" s="552"/>
      <c r="F197" s="552"/>
      <c r="G197" s="552"/>
      <c r="H197" s="552"/>
      <c r="I197" s="552"/>
      <c r="J197" s="552"/>
      <c r="N197" s="604"/>
    </row>
    <row r="198" spans="1:14" x14ac:dyDescent="0.2">
      <c r="A198" s="603"/>
      <c r="B198" s="552"/>
      <c r="C198" s="552"/>
      <c r="D198" s="552"/>
      <c r="E198" s="552"/>
      <c r="F198" s="552"/>
      <c r="G198" s="552"/>
      <c r="H198" s="552"/>
      <c r="I198" s="552"/>
      <c r="J198" s="552"/>
      <c r="N198" s="604"/>
    </row>
    <row r="199" spans="1:14" x14ac:dyDescent="0.2">
      <c r="A199" s="603"/>
      <c r="B199" s="552"/>
      <c r="C199" s="552"/>
      <c r="D199" s="552"/>
      <c r="E199" s="552"/>
      <c r="F199" s="552"/>
      <c r="G199" s="552"/>
      <c r="H199" s="552"/>
      <c r="I199" s="552"/>
      <c r="J199" s="552"/>
      <c r="N199" s="604"/>
    </row>
    <row r="200" spans="1:14" x14ac:dyDescent="0.2">
      <c r="A200" s="603"/>
      <c r="B200" s="552"/>
      <c r="C200" s="552"/>
      <c r="D200" s="552"/>
      <c r="E200" s="552"/>
      <c r="F200" s="552"/>
      <c r="G200" s="552"/>
      <c r="H200" s="552"/>
      <c r="I200" s="552"/>
      <c r="J200" s="552"/>
      <c r="N200" s="604"/>
    </row>
    <row r="201" spans="1:14" x14ac:dyDescent="0.2">
      <c r="A201" s="603"/>
      <c r="B201" s="552"/>
      <c r="C201" s="552"/>
      <c r="D201" s="552"/>
      <c r="E201" s="552"/>
      <c r="F201" s="552"/>
      <c r="G201" s="552"/>
      <c r="H201" s="552"/>
      <c r="I201" s="552"/>
      <c r="J201" s="552"/>
      <c r="N201" s="604"/>
    </row>
    <row r="202" spans="1:14" ht="12" thickBot="1" x14ac:dyDescent="0.25">
      <c r="A202" s="605"/>
      <c r="B202" s="606"/>
      <c r="C202" s="606"/>
      <c r="D202" s="606"/>
      <c r="E202" s="606"/>
      <c r="F202" s="606"/>
      <c r="G202" s="606"/>
      <c r="H202" s="606"/>
      <c r="I202" s="606"/>
      <c r="J202" s="606"/>
      <c r="K202" s="606"/>
      <c r="L202" s="606"/>
      <c r="M202" s="193"/>
      <c r="N202" s="607"/>
    </row>
    <row r="203" spans="1:14" x14ac:dyDescent="0.2">
      <c r="E203" s="552"/>
      <c r="F203" s="552"/>
      <c r="G203" s="552"/>
      <c r="H203" s="552"/>
      <c r="I203" s="552"/>
      <c r="J203" s="552"/>
      <c r="N203" s="599"/>
    </row>
    <row r="204" spans="1:14" x14ac:dyDescent="0.2">
      <c r="E204" s="552"/>
      <c r="F204" s="552"/>
      <c r="G204" s="552"/>
      <c r="H204" s="552"/>
      <c r="I204" s="552"/>
      <c r="J204" s="552"/>
      <c r="N204" s="599"/>
    </row>
    <row r="205" spans="1:14" x14ac:dyDescent="0.2">
      <c r="E205" s="552"/>
      <c r="F205" s="552"/>
      <c r="G205" s="552"/>
      <c r="H205" s="552"/>
      <c r="I205" s="552"/>
      <c r="J205" s="552"/>
      <c r="N205" s="599"/>
    </row>
    <row r="206" spans="1:14" x14ac:dyDescent="0.2">
      <c r="E206" s="552"/>
      <c r="F206" s="552"/>
      <c r="G206" s="552"/>
      <c r="H206" s="552"/>
      <c r="I206" s="552"/>
      <c r="J206" s="552"/>
      <c r="N206" s="599"/>
    </row>
    <row r="207" spans="1:14" x14ac:dyDescent="0.2">
      <c r="E207" s="552"/>
      <c r="F207" s="552"/>
      <c r="G207" s="552"/>
      <c r="H207" s="552"/>
      <c r="I207" s="552"/>
      <c r="J207" s="552"/>
      <c r="N207" s="599"/>
    </row>
    <row r="208" spans="1:14" x14ac:dyDescent="0.2">
      <c r="E208" s="552"/>
      <c r="F208" s="552"/>
      <c r="G208" s="552"/>
      <c r="H208" s="552"/>
      <c r="I208" s="552"/>
      <c r="J208" s="552"/>
      <c r="N208" s="599"/>
    </row>
    <row r="209" spans="1:14" x14ac:dyDescent="0.2">
      <c r="E209" s="552"/>
      <c r="F209" s="552"/>
      <c r="G209" s="552"/>
      <c r="H209" s="552"/>
      <c r="I209" s="552"/>
      <c r="J209" s="552"/>
      <c r="N209" s="599"/>
    </row>
    <row r="210" spans="1:14" x14ac:dyDescent="0.2">
      <c r="E210" s="552"/>
      <c r="F210" s="552"/>
      <c r="G210" s="552"/>
      <c r="H210" s="552"/>
      <c r="I210" s="552"/>
      <c r="J210" s="552"/>
      <c r="N210" s="599"/>
    </row>
    <row r="211" spans="1:14" x14ac:dyDescent="0.2">
      <c r="E211" s="552"/>
      <c r="F211" s="552"/>
      <c r="G211" s="552"/>
      <c r="H211" s="552"/>
      <c r="I211" s="552"/>
      <c r="J211" s="552"/>
      <c r="N211" s="599"/>
    </row>
    <row r="212" spans="1:14" x14ac:dyDescent="0.2">
      <c r="E212" s="552"/>
      <c r="F212" s="552"/>
      <c r="G212" s="552"/>
      <c r="H212" s="552"/>
      <c r="I212" s="552"/>
      <c r="J212" s="552"/>
      <c r="N212" s="599"/>
    </row>
    <row r="213" spans="1:14" x14ac:dyDescent="0.2">
      <c r="E213" s="552"/>
      <c r="F213" s="552"/>
      <c r="G213" s="552"/>
      <c r="H213" s="552"/>
      <c r="I213" s="552"/>
      <c r="J213" s="552"/>
      <c r="N213" s="599"/>
    </row>
    <row r="214" spans="1:14" ht="12" thickBot="1" x14ac:dyDescent="0.25">
      <c r="E214" s="552"/>
      <c r="F214" s="552"/>
      <c r="G214" s="552"/>
      <c r="H214" s="552"/>
      <c r="I214" s="552"/>
      <c r="J214" s="552"/>
      <c r="N214" s="599"/>
    </row>
    <row r="215" spans="1:14" x14ac:dyDescent="0.2">
      <c r="A215" s="600"/>
      <c r="B215" s="601"/>
      <c r="C215" s="601"/>
      <c r="D215" s="601"/>
      <c r="E215" s="601"/>
      <c r="F215" s="601"/>
      <c r="G215" s="601"/>
      <c r="H215" s="601"/>
      <c r="I215" s="601"/>
      <c r="J215" s="601"/>
      <c r="K215" s="601"/>
      <c r="L215" s="601"/>
      <c r="M215" s="186"/>
      <c r="N215" s="602"/>
    </row>
    <row r="216" spans="1:14" x14ac:dyDescent="0.2">
      <c r="A216" s="603"/>
      <c r="B216" s="552"/>
      <c r="C216" s="552"/>
      <c r="D216" s="552"/>
      <c r="E216" s="552"/>
      <c r="F216" s="552"/>
      <c r="G216" s="552"/>
      <c r="H216" s="552"/>
      <c r="I216" s="552"/>
      <c r="J216" s="552"/>
      <c r="N216" s="604"/>
    </row>
    <row r="217" spans="1:14" x14ac:dyDescent="0.2">
      <c r="A217" s="603"/>
      <c r="B217" s="552"/>
      <c r="C217" s="552"/>
      <c r="D217" s="552"/>
      <c r="E217" s="552"/>
      <c r="F217" s="552"/>
      <c r="G217" s="552"/>
      <c r="H217" s="552"/>
      <c r="I217" s="552"/>
      <c r="J217" s="552"/>
      <c r="N217" s="604"/>
    </row>
    <row r="218" spans="1:14" x14ac:dyDescent="0.2">
      <c r="A218" s="603"/>
      <c r="B218" s="552"/>
      <c r="C218" s="552"/>
      <c r="D218" s="552"/>
      <c r="E218" s="552"/>
      <c r="F218" s="552"/>
      <c r="G218" s="552"/>
      <c r="H218" s="552"/>
      <c r="I218" s="552"/>
      <c r="J218" s="552"/>
      <c r="N218" s="604"/>
    </row>
    <row r="219" spans="1:14" x14ac:dyDescent="0.2">
      <c r="A219" s="603"/>
      <c r="B219" s="552"/>
      <c r="C219" s="552"/>
      <c r="D219" s="552"/>
      <c r="E219" s="552"/>
      <c r="F219" s="552"/>
      <c r="G219" s="552"/>
      <c r="H219" s="552"/>
      <c r="I219" s="552"/>
      <c r="J219" s="552"/>
      <c r="N219" s="604"/>
    </row>
    <row r="220" spans="1:14" x14ac:dyDescent="0.2">
      <c r="A220" s="603"/>
      <c r="B220" s="552"/>
      <c r="C220" s="552"/>
      <c r="D220" s="552"/>
      <c r="E220" s="552"/>
      <c r="F220" s="552"/>
      <c r="G220" s="552"/>
      <c r="H220" s="552"/>
      <c r="I220" s="552"/>
      <c r="J220" s="552"/>
      <c r="N220" s="604"/>
    </row>
    <row r="221" spans="1:14" x14ac:dyDescent="0.2">
      <c r="A221" s="603"/>
      <c r="B221" s="552"/>
      <c r="C221" s="552"/>
      <c r="D221" s="552"/>
      <c r="E221" s="552"/>
      <c r="F221" s="552"/>
      <c r="G221" s="552"/>
      <c r="H221" s="552"/>
      <c r="I221" s="552"/>
      <c r="J221" s="552"/>
      <c r="N221" s="604"/>
    </row>
    <row r="222" spans="1:14" x14ac:dyDescent="0.2">
      <c r="A222" s="603"/>
      <c r="B222" s="552"/>
      <c r="C222" s="552"/>
      <c r="D222" s="552"/>
      <c r="E222" s="552"/>
      <c r="F222" s="552"/>
      <c r="G222" s="552"/>
      <c r="H222" s="552"/>
      <c r="I222" s="552"/>
      <c r="J222" s="552"/>
      <c r="N222" s="604"/>
    </row>
    <row r="223" spans="1:14" ht="12" thickBot="1" x14ac:dyDescent="0.25">
      <c r="A223" s="605"/>
      <c r="B223" s="606"/>
      <c r="C223" s="606"/>
      <c r="D223" s="606"/>
      <c r="E223" s="606"/>
      <c r="F223" s="606"/>
      <c r="G223" s="606"/>
      <c r="H223" s="606"/>
      <c r="I223" s="606"/>
      <c r="J223" s="606"/>
      <c r="K223" s="606"/>
      <c r="L223" s="606"/>
      <c r="M223" s="193"/>
      <c r="N223" s="607"/>
    </row>
    <row r="224" spans="1:14" x14ac:dyDescent="0.2">
      <c r="A224" s="600"/>
      <c r="B224" s="601"/>
      <c r="C224" s="601"/>
      <c r="D224" s="601"/>
      <c r="E224" s="601"/>
      <c r="F224" s="601"/>
      <c r="G224" s="601"/>
      <c r="H224" s="601"/>
      <c r="I224" s="601"/>
      <c r="J224" s="601"/>
      <c r="K224" s="601"/>
      <c r="L224" s="601"/>
      <c r="M224" s="186"/>
      <c r="N224" s="602"/>
    </row>
    <row r="225" spans="1:14" x14ac:dyDescent="0.2">
      <c r="A225" s="603"/>
      <c r="B225" s="552"/>
      <c r="C225" s="552"/>
      <c r="D225" s="552"/>
      <c r="E225" s="552"/>
      <c r="F225" s="552"/>
      <c r="G225" s="552"/>
      <c r="H225" s="552"/>
      <c r="I225" s="552"/>
      <c r="J225" s="552"/>
      <c r="N225" s="604"/>
    </row>
    <row r="226" spans="1:14" x14ac:dyDescent="0.2">
      <c r="A226" s="603"/>
      <c r="B226" s="552"/>
      <c r="C226" s="552"/>
      <c r="D226" s="552"/>
      <c r="E226" s="552"/>
      <c r="F226" s="552"/>
      <c r="G226" s="552"/>
      <c r="H226" s="552"/>
      <c r="I226" s="552"/>
      <c r="J226" s="552"/>
      <c r="N226" s="604"/>
    </row>
    <row r="227" spans="1:14" x14ac:dyDescent="0.2">
      <c r="A227" s="603"/>
      <c r="B227" s="552"/>
      <c r="C227" s="552"/>
      <c r="D227" s="552"/>
      <c r="E227" s="552"/>
      <c r="F227" s="552"/>
      <c r="G227" s="552"/>
      <c r="H227" s="552"/>
      <c r="I227" s="552"/>
      <c r="J227" s="552"/>
      <c r="N227" s="604"/>
    </row>
    <row r="228" spans="1:14" x14ac:dyDescent="0.2">
      <c r="A228" s="603"/>
      <c r="B228" s="552"/>
      <c r="C228" s="552"/>
      <c r="D228" s="552"/>
      <c r="E228" s="552"/>
      <c r="F228" s="552"/>
      <c r="G228" s="552"/>
      <c r="H228" s="552"/>
      <c r="I228" s="552"/>
      <c r="J228" s="552"/>
      <c r="N228" s="604"/>
    </row>
    <row r="229" spans="1:14" x14ac:dyDescent="0.2">
      <c r="A229" s="603"/>
      <c r="B229" s="552"/>
      <c r="C229" s="552"/>
      <c r="D229" s="552"/>
      <c r="E229" s="552"/>
      <c r="F229" s="552"/>
      <c r="G229" s="552"/>
      <c r="H229" s="552"/>
      <c r="I229" s="552"/>
      <c r="J229" s="552"/>
      <c r="N229" s="604"/>
    </row>
    <row r="230" spans="1:14" x14ac:dyDescent="0.2">
      <c r="A230" s="603"/>
      <c r="B230" s="552"/>
      <c r="C230" s="552"/>
      <c r="D230" s="552"/>
      <c r="E230" s="552"/>
      <c r="F230" s="552"/>
      <c r="G230" s="552"/>
      <c r="H230" s="552"/>
      <c r="I230" s="552"/>
      <c r="J230" s="552"/>
      <c r="N230" s="604"/>
    </row>
    <row r="231" spans="1:14" x14ac:dyDescent="0.2">
      <c r="A231" s="603"/>
      <c r="B231" s="552"/>
      <c r="C231" s="552"/>
      <c r="D231" s="552"/>
      <c r="E231" s="552"/>
      <c r="F231" s="552"/>
      <c r="G231" s="552"/>
      <c r="H231" s="552"/>
      <c r="I231" s="552"/>
      <c r="J231" s="552"/>
      <c r="N231" s="604"/>
    </row>
    <row r="232" spans="1:14" x14ac:dyDescent="0.2">
      <c r="A232" s="603"/>
      <c r="B232" s="552"/>
      <c r="C232" s="552"/>
      <c r="D232" s="552"/>
      <c r="E232" s="552"/>
      <c r="F232" s="552"/>
      <c r="G232" s="552"/>
      <c r="H232" s="552"/>
      <c r="I232" s="552"/>
      <c r="J232" s="552"/>
      <c r="N232" s="604"/>
    </row>
    <row r="233" spans="1:14" x14ac:dyDescent="0.2">
      <c r="A233" s="603"/>
      <c r="B233" s="552"/>
      <c r="C233" s="552"/>
      <c r="D233" s="552"/>
      <c r="E233" s="552"/>
      <c r="F233" s="552"/>
      <c r="G233" s="552"/>
      <c r="H233" s="552"/>
      <c r="I233" s="552"/>
      <c r="J233" s="552"/>
      <c r="N233" s="604"/>
    </row>
    <row r="234" spans="1:14" x14ac:dyDescent="0.2">
      <c r="A234" s="603"/>
      <c r="B234" s="552"/>
      <c r="C234" s="552"/>
      <c r="D234" s="552"/>
      <c r="E234" s="552"/>
      <c r="F234" s="552"/>
      <c r="G234" s="552"/>
      <c r="H234" s="552"/>
      <c r="I234" s="552"/>
      <c r="J234" s="552"/>
      <c r="N234" s="604"/>
    </row>
    <row r="235" spans="1:14" ht="12" thickBot="1" x14ac:dyDescent="0.25">
      <c r="A235" s="605"/>
      <c r="B235" s="606"/>
      <c r="C235" s="606"/>
      <c r="D235" s="606"/>
      <c r="E235" s="606"/>
      <c r="F235" s="606"/>
      <c r="G235" s="606"/>
      <c r="H235" s="606"/>
      <c r="I235" s="606"/>
      <c r="J235" s="606"/>
      <c r="K235" s="606"/>
      <c r="L235" s="606"/>
      <c r="M235" s="193"/>
      <c r="N235" s="607"/>
    </row>
    <row r="236" spans="1:14" x14ac:dyDescent="0.2">
      <c r="E236" s="552"/>
      <c r="F236" s="552"/>
      <c r="G236" s="552"/>
      <c r="H236" s="552"/>
      <c r="I236" s="552"/>
      <c r="J236" s="552"/>
      <c r="N236" s="599"/>
    </row>
    <row r="237" spans="1:14" x14ac:dyDescent="0.2">
      <c r="E237" s="552"/>
      <c r="F237" s="552"/>
      <c r="G237" s="552"/>
      <c r="H237" s="552"/>
      <c r="I237" s="552"/>
      <c r="J237" s="552"/>
      <c r="N237" s="599"/>
    </row>
    <row r="238" spans="1:14" x14ac:dyDescent="0.2">
      <c r="E238" s="552"/>
      <c r="F238" s="552"/>
      <c r="G238" s="552"/>
      <c r="H238" s="552"/>
      <c r="I238" s="552"/>
      <c r="J238" s="552"/>
      <c r="N238" s="599"/>
    </row>
    <row r="239" spans="1:14" x14ac:dyDescent="0.2">
      <c r="E239" s="552"/>
      <c r="F239" s="552"/>
      <c r="G239" s="552"/>
      <c r="H239" s="552"/>
      <c r="I239" s="552"/>
      <c r="J239" s="552"/>
      <c r="N239" s="599"/>
    </row>
    <row r="240" spans="1:14" x14ac:dyDescent="0.2">
      <c r="E240" s="552"/>
      <c r="F240" s="552"/>
      <c r="G240" s="552"/>
      <c r="H240" s="552"/>
      <c r="I240" s="552"/>
      <c r="J240" s="552"/>
      <c r="N240" s="599"/>
    </row>
    <row r="241" spans="5:14" x14ac:dyDescent="0.2">
      <c r="E241" s="552"/>
      <c r="F241" s="552"/>
      <c r="G241" s="552"/>
      <c r="H241" s="552"/>
      <c r="I241" s="552"/>
      <c r="J241" s="552"/>
      <c r="N241" s="599"/>
    </row>
    <row r="242" spans="5:14" x14ac:dyDescent="0.2">
      <c r="E242" s="552"/>
      <c r="F242" s="552"/>
      <c r="G242" s="552"/>
      <c r="H242" s="552"/>
      <c r="I242" s="552"/>
      <c r="J242" s="552"/>
      <c r="N242" s="599"/>
    </row>
    <row r="243" spans="5:14" x14ac:dyDescent="0.2">
      <c r="E243" s="552"/>
      <c r="F243" s="552"/>
      <c r="G243" s="552"/>
      <c r="H243" s="552"/>
      <c r="I243" s="552"/>
      <c r="J243" s="552"/>
      <c r="N243" s="599"/>
    </row>
    <row r="244" spans="5:14" x14ac:dyDescent="0.2">
      <c r="E244" s="552"/>
      <c r="F244" s="552"/>
      <c r="G244" s="552"/>
      <c r="H244" s="552"/>
      <c r="I244" s="552"/>
      <c r="J244" s="552"/>
      <c r="N244" s="599"/>
    </row>
    <row r="245" spans="5:14" x14ac:dyDescent="0.2">
      <c r="E245" s="552"/>
      <c r="F245" s="552"/>
      <c r="G245" s="552"/>
      <c r="H245" s="552"/>
      <c r="I245" s="552"/>
      <c r="J245" s="552"/>
      <c r="N245" s="599"/>
    </row>
    <row r="246" spans="5:14" x14ac:dyDescent="0.2">
      <c r="E246" s="552"/>
      <c r="F246" s="552"/>
      <c r="G246" s="552"/>
      <c r="H246" s="552"/>
      <c r="I246" s="552"/>
      <c r="J246" s="552"/>
      <c r="N246" s="599"/>
    </row>
    <row r="247" spans="5:14" x14ac:dyDescent="0.2">
      <c r="E247" s="552"/>
      <c r="F247" s="552"/>
      <c r="G247" s="552"/>
      <c r="H247" s="552"/>
      <c r="I247" s="552"/>
      <c r="J247" s="552"/>
      <c r="N247" s="599"/>
    </row>
    <row r="248" spans="5:14" x14ac:dyDescent="0.2">
      <c r="E248" s="552"/>
      <c r="F248" s="552"/>
      <c r="G248" s="552"/>
      <c r="H248" s="552"/>
      <c r="I248" s="552"/>
      <c r="J248" s="552"/>
      <c r="N248" s="599"/>
    </row>
    <row r="249" spans="5:14" x14ac:dyDescent="0.2">
      <c r="E249" s="552"/>
      <c r="F249" s="552"/>
      <c r="G249" s="552"/>
      <c r="H249" s="552"/>
      <c r="I249" s="552"/>
      <c r="J249" s="552"/>
      <c r="N249" s="599"/>
    </row>
    <row r="250" spans="5:14" x14ac:dyDescent="0.2">
      <c r="E250" s="552"/>
      <c r="F250" s="552"/>
      <c r="G250" s="552"/>
      <c r="H250" s="552"/>
      <c r="I250" s="552"/>
      <c r="J250" s="552"/>
      <c r="N250" s="599"/>
    </row>
    <row r="251" spans="5:14" x14ac:dyDescent="0.2">
      <c r="E251" s="552"/>
      <c r="F251" s="552"/>
      <c r="G251" s="552"/>
      <c r="H251" s="552"/>
      <c r="I251" s="552"/>
      <c r="J251" s="552"/>
      <c r="N251" s="599"/>
    </row>
    <row r="252" spans="5:14" x14ac:dyDescent="0.2">
      <c r="E252" s="552"/>
      <c r="F252" s="552"/>
      <c r="G252" s="552"/>
      <c r="H252" s="552"/>
      <c r="I252" s="552"/>
      <c r="J252" s="552"/>
      <c r="N252" s="599"/>
    </row>
    <row r="253" spans="5:14" x14ac:dyDescent="0.2">
      <c r="E253" s="552"/>
      <c r="F253" s="552"/>
      <c r="G253" s="552"/>
      <c r="H253" s="552"/>
      <c r="I253" s="552"/>
      <c r="J253" s="552"/>
      <c r="N253" s="599"/>
    </row>
    <row r="254" spans="5:14" x14ac:dyDescent="0.2">
      <c r="E254" s="552"/>
      <c r="F254" s="552"/>
      <c r="G254" s="552"/>
      <c r="H254" s="552"/>
      <c r="I254" s="552"/>
      <c r="J254" s="552"/>
      <c r="N254" s="599"/>
    </row>
    <row r="255" spans="5:14" x14ac:dyDescent="0.2">
      <c r="E255" s="552"/>
      <c r="F255" s="552"/>
      <c r="G255" s="552"/>
      <c r="H255" s="552"/>
      <c r="I255" s="552"/>
      <c r="J255" s="552"/>
      <c r="N255" s="599"/>
    </row>
    <row r="256" spans="5:14" ht="12" thickBot="1" x14ac:dyDescent="0.25">
      <c r="E256" s="552"/>
      <c r="F256" s="552"/>
      <c r="G256" s="552"/>
      <c r="H256" s="552"/>
      <c r="I256" s="552"/>
      <c r="J256" s="552"/>
      <c r="N256" s="599"/>
    </row>
    <row r="257" spans="1:14" x14ac:dyDescent="0.2">
      <c r="A257" s="600"/>
      <c r="B257" s="601"/>
      <c r="C257" s="601"/>
      <c r="D257" s="601"/>
      <c r="E257" s="601"/>
      <c r="F257" s="601"/>
      <c r="G257" s="601"/>
      <c r="H257" s="601"/>
      <c r="I257" s="601"/>
      <c r="J257" s="601"/>
      <c r="K257" s="601"/>
      <c r="L257" s="601"/>
      <c r="M257" s="186"/>
      <c r="N257" s="602"/>
    </row>
    <row r="258" spans="1:14" x14ac:dyDescent="0.2">
      <c r="A258" s="603"/>
      <c r="B258" s="552"/>
      <c r="C258" s="552"/>
      <c r="D258" s="552"/>
      <c r="E258" s="552"/>
      <c r="F258" s="552"/>
      <c r="G258" s="552"/>
      <c r="H258" s="552"/>
      <c r="I258" s="552"/>
      <c r="J258" s="552"/>
      <c r="N258" s="604"/>
    </row>
    <row r="259" spans="1:14" x14ac:dyDescent="0.2">
      <c r="A259" s="603"/>
      <c r="B259" s="552"/>
      <c r="C259" s="552"/>
      <c r="D259" s="552"/>
      <c r="E259" s="552"/>
      <c r="F259" s="552"/>
      <c r="G259" s="552"/>
      <c r="H259" s="552"/>
      <c r="I259" s="552"/>
      <c r="J259" s="552"/>
      <c r="N259" s="604"/>
    </row>
    <row r="260" spans="1:14" x14ac:dyDescent="0.2">
      <c r="A260" s="603"/>
      <c r="B260" s="552"/>
      <c r="C260" s="552"/>
      <c r="D260" s="552"/>
      <c r="E260" s="552"/>
      <c r="F260" s="552"/>
      <c r="G260" s="552"/>
      <c r="H260" s="552"/>
      <c r="I260" s="552"/>
      <c r="J260" s="552"/>
      <c r="N260" s="604"/>
    </row>
    <row r="261" spans="1:14" x14ac:dyDescent="0.2">
      <c r="A261" s="603"/>
      <c r="B261" s="552"/>
      <c r="C261" s="552"/>
      <c r="D261" s="552"/>
      <c r="E261" s="552"/>
      <c r="F261" s="552"/>
      <c r="G261" s="552"/>
      <c r="H261" s="552"/>
      <c r="I261" s="552"/>
      <c r="J261" s="552"/>
      <c r="N261" s="604"/>
    </row>
    <row r="262" spans="1:14" x14ac:dyDescent="0.2">
      <c r="A262" s="603"/>
      <c r="B262" s="552"/>
      <c r="C262" s="552"/>
      <c r="D262" s="552"/>
      <c r="E262" s="552"/>
      <c r="F262" s="552"/>
      <c r="G262" s="552"/>
      <c r="H262" s="552"/>
      <c r="I262" s="552"/>
      <c r="J262" s="552"/>
      <c r="N262" s="604"/>
    </row>
    <row r="263" spans="1:14" x14ac:dyDescent="0.2">
      <c r="A263" s="603"/>
      <c r="B263" s="552"/>
      <c r="C263" s="552"/>
      <c r="D263" s="552"/>
      <c r="E263" s="552"/>
      <c r="F263" s="552"/>
      <c r="G263" s="552"/>
      <c r="H263" s="552"/>
      <c r="I263" s="552"/>
      <c r="J263" s="552"/>
      <c r="N263" s="604"/>
    </row>
    <row r="264" spans="1:14" x14ac:dyDescent="0.2">
      <c r="A264" s="603"/>
      <c r="B264" s="552"/>
      <c r="C264" s="552"/>
      <c r="D264" s="552"/>
      <c r="E264" s="552"/>
      <c r="F264" s="552"/>
      <c r="G264" s="552"/>
      <c r="H264" s="552"/>
      <c r="I264" s="552"/>
      <c r="J264" s="552"/>
      <c r="N264" s="604"/>
    </row>
    <row r="265" spans="1:14" ht="12" thickBot="1" x14ac:dyDescent="0.25">
      <c r="A265" s="605"/>
      <c r="B265" s="606"/>
      <c r="C265" s="606"/>
      <c r="D265" s="606"/>
      <c r="E265" s="606"/>
      <c r="F265" s="606"/>
      <c r="G265" s="606"/>
      <c r="H265" s="606"/>
      <c r="I265" s="606"/>
      <c r="J265" s="606"/>
      <c r="K265" s="606"/>
      <c r="L265" s="606"/>
      <c r="M265" s="193"/>
      <c r="N265" s="607"/>
    </row>
    <row r="266" spans="1:14" x14ac:dyDescent="0.2">
      <c r="A266" s="600"/>
      <c r="B266" s="601"/>
      <c r="C266" s="601"/>
      <c r="D266" s="601"/>
      <c r="E266" s="601"/>
      <c r="F266" s="601"/>
      <c r="G266" s="601"/>
      <c r="H266" s="601"/>
      <c r="I266" s="601"/>
      <c r="J266" s="601"/>
      <c r="K266" s="601"/>
      <c r="L266" s="601"/>
      <c r="M266" s="186"/>
      <c r="N266" s="602"/>
    </row>
    <row r="267" spans="1:14" x14ac:dyDescent="0.2">
      <c r="A267" s="603"/>
      <c r="B267" s="552"/>
      <c r="C267" s="552"/>
      <c r="D267" s="552"/>
      <c r="E267" s="552"/>
      <c r="F267" s="552"/>
      <c r="G267" s="552"/>
      <c r="H267" s="552"/>
      <c r="I267" s="552"/>
      <c r="J267" s="552"/>
      <c r="N267" s="604"/>
    </row>
    <row r="268" spans="1:14" x14ac:dyDescent="0.2">
      <c r="A268" s="603"/>
      <c r="B268" s="552"/>
      <c r="C268" s="552"/>
      <c r="D268" s="552"/>
      <c r="E268" s="552"/>
      <c r="F268" s="552"/>
      <c r="G268" s="552"/>
      <c r="H268" s="552"/>
      <c r="I268" s="552"/>
      <c r="J268" s="552"/>
      <c r="N268" s="604"/>
    </row>
    <row r="269" spans="1:14" x14ac:dyDescent="0.2">
      <c r="A269" s="603"/>
      <c r="B269" s="552"/>
      <c r="C269" s="552"/>
      <c r="D269" s="552"/>
      <c r="E269" s="552"/>
      <c r="F269" s="552"/>
      <c r="G269" s="552"/>
      <c r="H269" s="552"/>
      <c r="I269" s="552"/>
      <c r="J269" s="552"/>
      <c r="N269" s="604"/>
    </row>
    <row r="270" spans="1:14" x14ac:dyDescent="0.2">
      <c r="A270" s="603"/>
      <c r="B270" s="552"/>
      <c r="C270" s="552"/>
      <c r="D270" s="552"/>
      <c r="E270" s="552"/>
      <c r="F270" s="552"/>
      <c r="G270" s="552"/>
      <c r="H270" s="552"/>
      <c r="I270" s="552"/>
      <c r="J270" s="552"/>
      <c r="N270" s="604"/>
    </row>
    <row r="271" spans="1:14" x14ac:dyDescent="0.2">
      <c r="A271" s="603"/>
      <c r="B271" s="552"/>
      <c r="C271" s="552"/>
      <c r="D271" s="552"/>
      <c r="E271" s="552"/>
      <c r="F271" s="552"/>
      <c r="G271" s="552"/>
      <c r="H271" s="552"/>
      <c r="I271" s="552"/>
      <c r="J271" s="552"/>
      <c r="N271" s="604"/>
    </row>
    <row r="272" spans="1:14" x14ac:dyDescent="0.2">
      <c r="A272" s="603"/>
      <c r="B272" s="552"/>
      <c r="C272" s="552"/>
      <c r="D272" s="552"/>
      <c r="E272" s="552"/>
      <c r="F272" s="552"/>
      <c r="G272" s="552"/>
      <c r="H272" s="552"/>
      <c r="I272" s="552"/>
      <c r="J272" s="552"/>
      <c r="N272" s="604"/>
    </row>
    <row r="273" spans="1:14" x14ac:dyDescent="0.2">
      <c r="A273" s="603"/>
      <c r="B273" s="552"/>
      <c r="C273" s="552"/>
      <c r="D273" s="552"/>
      <c r="E273" s="552"/>
      <c r="F273" s="552"/>
      <c r="G273" s="552"/>
      <c r="H273" s="552"/>
      <c r="I273" s="552"/>
      <c r="J273" s="552"/>
      <c r="N273" s="604"/>
    </row>
    <row r="274" spans="1:14" ht="12" thickBot="1" x14ac:dyDescent="0.25">
      <c r="A274" s="605"/>
      <c r="B274" s="606"/>
      <c r="C274" s="606"/>
      <c r="D274" s="606"/>
      <c r="E274" s="606"/>
      <c r="F274" s="606"/>
      <c r="G274" s="606"/>
      <c r="H274" s="606"/>
      <c r="I274" s="606"/>
      <c r="J274" s="606"/>
      <c r="K274" s="606"/>
      <c r="L274" s="606"/>
      <c r="M274" s="193"/>
      <c r="N274" s="607"/>
    </row>
    <row r="275" spans="1:14" x14ac:dyDescent="0.2">
      <c r="E275" s="552"/>
      <c r="F275" s="552"/>
      <c r="G275" s="552"/>
      <c r="H275" s="552"/>
      <c r="I275" s="552"/>
      <c r="J275" s="552"/>
      <c r="N275" s="599"/>
    </row>
    <row r="276" spans="1:14" x14ac:dyDescent="0.2">
      <c r="E276" s="552"/>
      <c r="F276" s="552"/>
      <c r="G276" s="552"/>
      <c r="H276" s="552"/>
      <c r="I276" s="552"/>
      <c r="J276" s="552"/>
      <c r="N276" s="599"/>
    </row>
    <row r="277" spans="1:14" x14ac:dyDescent="0.2">
      <c r="E277" s="552"/>
      <c r="F277" s="552"/>
      <c r="G277" s="552"/>
      <c r="H277" s="552"/>
      <c r="I277" s="552"/>
      <c r="J277" s="552"/>
      <c r="N277" s="599"/>
    </row>
    <row r="278" spans="1:14" x14ac:dyDescent="0.2">
      <c r="E278" s="552"/>
      <c r="F278" s="552"/>
      <c r="G278" s="552"/>
      <c r="H278" s="552"/>
      <c r="I278" s="552"/>
      <c r="J278" s="552"/>
      <c r="N278" s="599"/>
    </row>
    <row r="279" spans="1:14" x14ac:dyDescent="0.2">
      <c r="E279" s="552"/>
      <c r="F279" s="552"/>
      <c r="G279" s="552"/>
      <c r="H279" s="552"/>
      <c r="I279" s="552"/>
      <c r="J279" s="552"/>
      <c r="N279" s="599"/>
    </row>
    <row r="280" spans="1:14" x14ac:dyDescent="0.2">
      <c r="E280" s="552"/>
      <c r="F280" s="552"/>
      <c r="G280" s="552"/>
      <c r="H280" s="552"/>
      <c r="I280" s="552"/>
      <c r="J280" s="552"/>
      <c r="N280" s="599"/>
    </row>
    <row r="281" spans="1:14" x14ac:dyDescent="0.2">
      <c r="E281" s="552"/>
      <c r="F281" s="552"/>
      <c r="G281" s="552"/>
      <c r="H281" s="552"/>
      <c r="I281" s="552"/>
      <c r="J281" s="552"/>
      <c r="N281" s="599"/>
    </row>
    <row r="282" spans="1:14" x14ac:dyDescent="0.2">
      <c r="E282" s="552"/>
      <c r="F282" s="552"/>
      <c r="G282" s="552"/>
      <c r="H282" s="552"/>
      <c r="I282" s="552"/>
      <c r="J282" s="552"/>
      <c r="N282" s="599"/>
    </row>
    <row r="283" spans="1:14" x14ac:dyDescent="0.2">
      <c r="E283" s="552"/>
      <c r="F283" s="552"/>
      <c r="G283" s="552"/>
      <c r="H283" s="552"/>
      <c r="I283" s="552"/>
      <c r="J283" s="552"/>
      <c r="N283" s="599"/>
    </row>
    <row r="284" spans="1:14" x14ac:dyDescent="0.2">
      <c r="E284" s="552"/>
      <c r="F284" s="552"/>
      <c r="G284" s="552"/>
      <c r="H284" s="552"/>
      <c r="I284" s="552"/>
      <c r="J284" s="552"/>
      <c r="N284" s="599"/>
    </row>
    <row r="285" spans="1:14" x14ac:dyDescent="0.2">
      <c r="E285" s="552"/>
      <c r="F285" s="552"/>
      <c r="G285" s="552"/>
      <c r="H285" s="552"/>
      <c r="I285" s="552"/>
      <c r="J285" s="552"/>
      <c r="N285" s="599"/>
    </row>
    <row r="286" spans="1:14" x14ac:dyDescent="0.2">
      <c r="E286" s="552"/>
      <c r="F286" s="552"/>
      <c r="G286" s="552"/>
      <c r="H286" s="552"/>
      <c r="I286" s="552"/>
      <c r="J286" s="552"/>
      <c r="N286" s="599"/>
    </row>
    <row r="287" spans="1:14" x14ac:dyDescent="0.2">
      <c r="E287" s="552"/>
      <c r="F287" s="552"/>
      <c r="G287" s="552"/>
      <c r="H287" s="552"/>
      <c r="I287" s="552"/>
      <c r="J287" s="552"/>
      <c r="N287" s="599"/>
    </row>
    <row r="288" spans="1:14" x14ac:dyDescent="0.2">
      <c r="E288" s="552"/>
      <c r="F288" s="552"/>
      <c r="G288" s="552"/>
      <c r="H288" s="552"/>
      <c r="I288" s="552"/>
      <c r="J288" s="552"/>
      <c r="N288" s="599"/>
    </row>
    <row r="289" spans="1:14" x14ac:dyDescent="0.2">
      <c r="E289" s="552"/>
      <c r="F289" s="552"/>
      <c r="G289" s="552"/>
      <c r="H289" s="552"/>
      <c r="I289" s="552"/>
      <c r="J289" s="552"/>
      <c r="N289" s="599"/>
    </row>
    <row r="290" spans="1:14" x14ac:dyDescent="0.2">
      <c r="E290" s="552"/>
      <c r="F290" s="552"/>
      <c r="G290" s="552"/>
      <c r="H290" s="552"/>
      <c r="I290" s="552"/>
      <c r="J290" s="552"/>
      <c r="N290" s="599"/>
    </row>
    <row r="291" spans="1:14" x14ac:dyDescent="0.2">
      <c r="E291" s="552"/>
      <c r="F291" s="552"/>
      <c r="G291" s="552"/>
      <c r="H291" s="552"/>
      <c r="I291" s="552"/>
      <c r="J291" s="552"/>
      <c r="N291" s="599"/>
    </row>
    <row r="292" spans="1:14" ht="12" thickBot="1" x14ac:dyDescent="0.25">
      <c r="E292" s="552"/>
      <c r="F292" s="552"/>
      <c r="G292" s="552"/>
      <c r="H292" s="552"/>
      <c r="I292" s="552"/>
      <c r="J292" s="552"/>
      <c r="N292" s="599"/>
    </row>
    <row r="293" spans="1:14" x14ac:dyDescent="0.2">
      <c r="A293" s="600"/>
      <c r="B293" s="601"/>
      <c r="C293" s="601"/>
      <c r="D293" s="601"/>
      <c r="E293" s="601"/>
      <c r="F293" s="601"/>
      <c r="G293" s="601"/>
      <c r="H293" s="601"/>
      <c r="I293" s="601"/>
      <c r="J293" s="601"/>
      <c r="K293" s="601"/>
      <c r="L293" s="601"/>
      <c r="M293" s="186"/>
      <c r="N293" s="602"/>
    </row>
    <row r="294" spans="1:14" x14ac:dyDescent="0.2">
      <c r="A294" s="603"/>
      <c r="B294" s="552"/>
      <c r="C294" s="552"/>
      <c r="D294" s="552"/>
      <c r="E294" s="552"/>
      <c r="F294" s="552"/>
      <c r="G294" s="552"/>
      <c r="H294" s="552"/>
      <c r="I294" s="552"/>
      <c r="J294" s="552"/>
      <c r="N294" s="604"/>
    </row>
    <row r="295" spans="1:14" x14ac:dyDescent="0.2">
      <c r="A295" s="603"/>
      <c r="B295" s="552"/>
      <c r="C295" s="552"/>
      <c r="D295" s="552"/>
      <c r="E295" s="552"/>
      <c r="F295" s="552"/>
      <c r="G295" s="552"/>
      <c r="H295" s="552"/>
      <c r="I295" s="552"/>
      <c r="J295" s="552"/>
      <c r="N295" s="604"/>
    </row>
    <row r="296" spans="1:14" x14ac:dyDescent="0.2">
      <c r="A296" s="603"/>
      <c r="B296" s="552"/>
      <c r="C296" s="552"/>
      <c r="D296" s="552"/>
      <c r="E296" s="552"/>
      <c r="F296" s="552"/>
      <c r="G296" s="552"/>
      <c r="H296" s="552"/>
      <c r="I296" s="552"/>
      <c r="J296" s="552"/>
      <c r="N296" s="604"/>
    </row>
    <row r="297" spans="1:14" x14ac:dyDescent="0.2">
      <c r="A297" s="603"/>
      <c r="B297" s="552"/>
      <c r="C297" s="552"/>
      <c r="D297" s="552"/>
      <c r="E297" s="552"/>
      <c r="F297" s="552"/>
      <c r="G297" s="552"/>
      <c r="H297" s="552"/>
      <c r="I297" s="552"/>
      <c r="J297" s="552"/>
      <c r="N297" s="604"/>
    </row>
    <row r="298" spans="1:14" x14ac:dyDescent="0.2">
      <c r="A298" s="603"/>
      <c r="B298" s="552"/>
      <c r="C298" s="552"/>
      <c r="D298" s="552"/>
      <c r="E298" s="552"/>
      <c r="F298" s="552"/>
      <c r="G298" s="552"/>
      <c r="H298" s="552"/>
      <c r="I298" s="552"/>
      <c r="J298" s="552"/>
      <c r="N298" s="604"/>
    </row>
    <row r="299" spans="1:14" x14ac:dyDescent="0.2">
      <c r="A299" s="603"/>
      <c r="B299" s="552"/>
      <c r="C299" s="552"/>
      <c r="D299" s="552"/>
      <c r="E299" s="552"/>
      <c r="F299" s="552"/>
      <c r="G299" s="552"/>
      <c r="H299" s="552"/>
      <c r="I299" s="552"/>
      <c r="J299" s="552"/>
      <c r="N299" s="604"/>
    </row>
    <row r="300" spans="1:14" x14ac:dyDescent="0.2">
      <c r="A300" s="603"/>
      <c r="B300" s="552"/>
      <c r="C300" s="552"/>
      <c r="D300" s="552"/>
      <c r="E300" s="552"/>
      <c r="F300" s="552"/>
      <c r="G300" s="552"/>
      <c r="H300" s="552"/>
      <c r="I300" s="552"/>
      <c r="J300" s="552"/>
      <c r="N300" s="604"/>
    </row>
    <row r="301" spans="1:14" ht="12" thickBot="1" x14ac:dyDescent="0.25">
      <c r="A301" s="605"/>
      <c r="B301" s="606"/>
      <c r="C301" s="606"/>
      <c r="D301" s="606"/>
      <c r="E301" s="606"/>
      <c r="F301" s="606"/>
      <c r="G301" s="606"/>
      <c r="H301" s="606"/>
      <c r="I301" s="606"/>
      <c r="J301" s="606"/>
      <c r="K301" s="606"/>
      <c r="L301" s="606"/>
      <c r="M301" s="193"/>
      <c r="N301" s="607"/>
    </row>
    <row r="302" spans="1:14" x14ac:dyDescent="0.2">
      <c r="A302" s="600"/>
      <c r="B302" s="601"/>
      <c r="C302" s="601"/>
      <c r="D302" s="601"/>
      <c r="E302" s="601"/>
      <c r="F302" s="601"/>
      <c r="G302" s="601"/>
      <c r="H302" s="601"/>
      <c r="I302" s="601"/>
      <c r="J302" s="601"/>
      <c r="K302" s="601"/>
      <c r="L302" s="601"/>
      <c r="M302" s="186"/>
      <c r="N302" s="602"/>
    </row>
    <row r="303" spans="1:14" x14ac:dyDescent="0.2">
      <c r="A303" s="603"/>
      <c r="B303" s="552"/>
      <c r="C303" s="552"/>
      <c r="D303" s="552"/>
      <c r="E303" s="552"/>
      <c r="F303" s="552"/>
      <c r="G303" s="552"/>
      <c r="H303" s="552"/>
      <c r="I303" s="552"/>
      <c r="J303" s="552"/>
      <c r="N303" s="604"/>
    </row>
    <row r="304" spans="1:14" x14ac:dyDescent="0.2">
      <c r="A304" s="603"/>
      <c r="B304" s="552"/>
      <c r="C304" s="552"/>
      <c r="D304" s="552"/>
      <c r="E304" s="552"/>
      <c r="F304" s="552"/>
      <c r="G304" s="552"/>
      <c r="H304" s="552"/>
      <c r="I304" s="552"/>
      <c r="J304" s="552"/>
      <c r="N304" s="604"/>
    </row>
    <row r="305" spans="1:14" x14ac:dyDescent="0.2">
      <c r="A305" s="603"/>
      <c r="B305" s="552"/>
      <c r="C305" s="552"/>
      <c r="D305" s="552"/>
      <c r="E305" s="552"/>
      <c r="F305" s="552"/>
      <c r="G305" s="552"/>
      <c r="H305" s="552"/>
      <c r="I305" s="552"/>
      <c r="J305" s="552"/>
      <c r="N305" s="604"/>
    </row>
    <row r="306" spans="1:14" x14ac:dyDescent="0.2">
      <c r="A306" s="603"/>
      <c r="B306" s="552"/>
      <c r="C306" s="552"/>
      <c r="D306" s="552"/>
      <c r="E306" s="552"/>
      <c r="F306" s="552"/>
      <c r="G306" s="552"/>
      <c r="H306" s="552"/>
      <c r="I306" s="552"/>
      <c r="J306" s="552"/>
      <c r="N306" s="604"/>
    </row>
    <row r="307" spans="1:14" x14ac:dyDescent="0.2">
      <c r="A307" s="603"/>
      <c r="B307" s="552"/>
      <c r="C307" s="552"/>
      <c r="D307" s="552"/>
      <c r="E307" s="552"/>
      <c r="F307" s="552"/>
      <c r="G307" s="552"/>
      <c r="H307" s="552"/>
      <c r="I307" s="552"/>
      <c r="J307" s="552"/>
      <c r="N307" s="604"/>
    </row>
    <row r="308" spans="1:14" x14ac:dyDescent="0.2">
      <c r="A308" s="603"/>
      <c r="B308" s="552"/>
      <c r="C308" s="552"/>
      <c r="D308" s="552"/>
      <c r="E308" s="552"/>
      <c r="F308" s="552"/>
      <c r="G308" s="552"/>
      <c r="H308" s="552"/>
      <c r="I308" s="552"/>
      <c r="J308" s="552"/>
      <c r="N308" s="604"/>
    </row>
    <row r="309" spans="1:14" x14ac:dyDescent="0.2">
      <c r="A309" s="603"/>
      <c r="B309" s="552"/>
      <c r="C309" s="552"/>
      <c r="D309" s="552"/>
      <c r="E309" s="552"/>
      <c r="F309" s="552"/>
      <c r="G309" s="552"/>
      <c r="H309" s="552"/>
      <c r="I309" s="552"/>
      <c r="J309" s="552"/>
      <c r="N309" s="604"/>
    </row>
    <row r="310" spans="1:14" ht="12" thickBot="1" x14ac:dyDescent="0.25">
      <c r="A310" s="605"/>
      <c r="B310" s="606"/>
      <c r="C310" s="606"/>
      <c r="D310" s="606"/>
      <c r="E310" s="606"/>
      <c r="F310" s="606"/>
      <c r="G310" s="606"/>
      <c r="H310" s="606"/>
      <c r="I310" s="606"/>
      <c r="J310" s="606"/>
      <c r="K310" s="606"/>
      <c r="L310" s="606"/>
      <c r="M310" s="193"/>
      <c r="N310" s="607"/>
    </row>
    <row r="311" spans="1:14" x14ac:dyDescent="0.2">
      <c r="E311" s="552"/>
      <c r="F311" s="552"/>
      <c r="G311" s="552"/>
      <c r="H311" s="552"/>
      <c r="I311" s="552"/>
      <c r="J311" s="552"/>
      <c r="N311" s="599"/>
    </row>
    <row r="312" spans="1:14" x14ac:dyDescent="0.2">
      <c r="E312" s="552"/>
      <c r="F312" s="552"/>
      <c r="G312" s="552"/>
      <c r="H312" s="552"/>
      <c r="I312" s="552"/>
      <c r="J312" s="552"/>
      <c r="N312" s="599"/>
    </row>
    <row r="313" spans="1:14" x14ac:dyDescent="0.2">
      <c r="E313" s="552"/>
      <c r="F313" s="552"/>
      <c r="G313" s="552"/>
      <c r="H313" s="552"/>
      <c r="I313" s="552"/>
      <c r="J313" s="552"/>
      <c r="N313" s="599"/>
    </row>
    <row r="314" spans="1:14" x14ac:dyDescent="0.2">
      <c r="E314" s="552"/>
      <c r="F314" s="552"/>
      <c r="G314" s="552"/>
      <c r="H314" s="552"/>
      <c r="I314" s="552"/>
      <c r="J314" s="552"/>
      <c r="N314" s="599"/>
    </row>
    <row r="315" spans="1:14" x14ac:dyDescent="0.2">
      <c r="E315" s="552"/>
      <c r="F315" s="552"/>
      <c r="G315" s="552"/>
      <c r="H315" s="552"/>
      <c r="I315" s="552"/>
      <c r="J315" s="552"/>
      <c r="N315" s="599"/>
    </row>
    <row r="316" spans="1:14" x14ac:dyDescent="0.2">
      <c r="E316" s="552"/>
      <c r="F316" s="552"/>
      <c r="G316" s="552"/>
      <c r="H316" s="552"/>
      <c r="I316" s="552"/>
      <c r="J316" s="552"/>
      <c r="N316" s="599"/>
    </row>
    <row r="317" spans="1:14" x14ac:dyDescent="0.2">
      <c r="E317" s="552"/>
      <c r="F317" s="552"/>
      <c r="G317" s="552"/>
      <c r="H317" s="552"/>
      <c r="I317" s="552"/>
      <c r="J317" s="552"/>
      <c r="N317" s="599"/>
    </row>
    <row r="318" spans="1:14" x14ac:dyDescent="0.2">
      <c r="E318" s="552"/>
      <c r="F318" s="552"/>
      <c r="G318" s="552"/>
      <c r="H318" s="552"/>
      <c r="I318" s="552"/>
      <c r="J318" s="552"/>
      <c r="N318" s="599"/>
    </row>
    <row r="319" spans="1:14" x14ac:dyDescent="0.2">
      <c r="E319" s="552"/>
      <c r="F319" s="552"/>
      <c r="G319" s="552"/>
      <c r="H319" s="552"/>
      <c r="I319" s="552"/>
      <c r="J319" s="552"/>
      <c r="N319" s="599"/>
    </row>
    <row r="320" spans="1:14" x14ac:dyDescent="0.2">
      <c r="E320" s="552"/>
      <c r="F320" s="552"/>
      <c r="G320" s="552"/>
      <c r="H320" s="552"/>
      <c r="I320" s="552"/>
      <c r="J320" s="552"/>
      <c r="N320" s="599"/>
    </row>
    <row r="321" spans="1:14" x14ac:dyDescent="0.2">
      <c r="E321" s="552"/>
      <c r="F321" s="552"/>
      <c r="G321" s="552"/>
      <c r="H321" s="552"/>
      <c r="I321" s="552"/>
      <c r="J321" s="552"/>
      <c r="N321" s="599"/>
    </row>
    <row r="322" spans="1:14" x14ac:dyDescent="0.2">
      <c r="E322" s="552"/>
      <c r="F322" s="552"/>
      <c r="G322" s="552"/>
      <c r="H322" s="552"/>
      <c r="I322" s="552"/>
      <c r="J322" s="552"/>
      <c r="N322" s="599"/>
    </row>
    <row r="323" spans="1:14" x14ac:dyDescent="0.2">
      <c r="E323" s="552"/>
      <c r="F323" s="552"/>
      <c r="G323" s="552"/>
      <c r="H323" s="552"/>
      <c r="I323" s="552"/>
      <c r="J323" s="552"/>
      <c r="N323" s="599"/>
    </row>
    <row r="324" spans="1:14" x14ac:dyDescent="0.2">
      <c r="E324" s="552"/>
      <c r="F324" s="552"/>
      <c r="G324" s="552"/>
      <c r="H324" s="552"/>
      <c r="I324" s="552"/>
      <c r="J324" s="552"/>
      <c r="N324" s="599"/>
    </row>
    <row r="325" spans="1:14" x14ac:dyDescent="0.2">
      <c r="E325" s="552"/>
      <c r="F325" s="552"/>
      <c r="G325" s="552"/>
      <c r="H325" s="552"/>
      <c r="I325" s="552"/>
      <c r="J325" s="552"/>
      <c r="N325" s="599"/>
    </row>
    <row r="326" spans="1:14" x14ac:dyDescent="0.2">
      <c r="E326" s="552"/>
      <c r="F326" s="552"/>
      <c r="G326" s="552"/>
      <c r="H326" s="552"/>
      <c r="I326" s="552"/>
      <c r="J326" s="552"/>
      <c r="N326" s="599"/>
    </row>
    <row r="327" spans="1:14" x14ac:dyDescent="0.2">
      <c r="E327" s="552"/>
      <c r="F327" s="552"/>
      <c r="G327" s="552"/>
      <c r="H327" s="552"/>
      <c r="I327" s="552"/>
      <c r="J327" s="552"/>
      <c r="N327" s="599"/>
    </row>
    <row r="328" spans="1:14" ht="12" thickBot="1" x14ac:dyDescent="0.25">
      <c r="E328" s="552"/>
      <c r="F328" s="552"/>
      <c r="G328" s="552"/>
      <c r="H328" s="552"/>
      <c r="I328" s="552"/>
      <c r="J328" s="552"/>
      <c r="N328" s="599"/>
    </row>
    <row r="329" spans="1:14" x14ac:dyDescent="0.2">
      <c r="A329" s="600"/>
      <c r="B329" s="601"/>
      <c r="C329" s="601"/>
      <c r="D329" s="601"/>
      <c r="E329" s="601"/>
      <c r="F329" s="601"/>
      <c r="G329" s="601"/>
      <c r="H329" s="601"/>
      <c r="I329" s="601"/>
      <c r="J329" s="601"/>
      <c r="K329" s="601"/>
      <c r="L329" s="601"/>
      <c r="M329" s="186"/>
      <c r="N329" s="602"/>
    </row>
    <row r="330" spans="1:14" x14ac:dyDescent="0.2">
      <c r="A330" s="603"/>
      <c r="B330" s="552"/>
      <c r="C330" s="552"/>
      <c r="D330" s="552"/>
      <c r="E330" s="552"/>
      <c r="F330" s="552"/>
      <c r="G330" s="552"/>
      <c r="H330" s="552"/>
      <c r="I330" s="552"/>
      <c r="J330" s="552"/>
      <c r="N330" s="604"/>
    </row>
    <row r="331" spans="1:14" x14ac:dyDescent="0.2">
      <c r="A331" s="603"/>
      <c r="B331" s="552"/>
      <c r="C331" s="552"/>
      <c r="D331" s="552"/>
      <c r="E331" s="552"/>
      <c r="F331" s="552"/>
      <c r="G331" s="552"/>
      <c r="H331" s="552"/>
      <c r="I331" s="552"/>
      <c r="J331" s="552"/>
      <c r="N331" s="604"/>
    </row>
    <row r="332" spans="1:14" x14ac:dyDescent="0.2">
      <c r="A332" s="603"/>
      <c r="B332" s="552"/>
      <c r="C332" s="552"/>
      <c r="D332" s="552"/>
      <c r="E332" s="552"/>
      <c r="F332" s="552"/>
      <c r="G332" s="552"/>
      <c r="H332" s="552"/>
      <c r="I332" s="552"/>
      <c r="J332" s="552"/>
      <c r="N332" s="604"/>
    </row>
    <row r="333" spans="1:14" x14ac:dyDescent="0.2">
      <c r="A333" s="603"/>
      <c r="B333" s="552"/>
      <c r="C333" s="552"/>
      <c r="D333" s="552"/>
      <c r="E333" s="552"/>
      <c r="F333" s="552"/>
      <c r="G333" s="552"/>
      <c r="H333" s="552"/>
      <c r="I333" s="552"/>
      <c r="J333" s="552"/>
      <c r="N333" s="604"/>
    </row>
    <row r="334" spans="1:14" x14ac:dyDescent="0.2">
      <c r="A334" s="603"/>
      <c r="B334" s="552"/>
      <c r="C334" s="552"/>
      <c r="D334" s="552"/>
      <c r="E334" s="552"/>
      <c r="F334" s="552"/>
      <c r="G334" s="552"/>
      <c r="H334" s="552"/>
      <c r="I334" s="552"/>
      <c r="J334" s="552"/>
      <c r="N334" s="604"/>
    </row>
    <row r="335" spans="1:14" x14ac:dyDescent="0.2">
      <c r="A335" s="603"/>
      <c r="B335" s="552"/>
      <c r="C335" s="552"/>
      <c r="D335" s="552"/>
      <c r="E335" s="552"/>
      <c r="F335" s="552"/>
      <c r="G335" s="552"/>
      <c r="H335" s="552"/>
      <c r="I335" s="552"/>
      <c r="J335" s="552"/>
      <c r="N335" s="604"/>
    </row>
    <row r="336" spans="1:14" x14ac:dyDescent="0.2">
      <c r="A336" s="603"/>
      <c r="B336" s="552"/>
      <c r="C336" s="552"/>
      <c r="D336" s="552"/>
      <c r="E336" s="552"/>
      <c r="F336" s="552"/>
      <c r="G336" s="552"/>
      <c r="H336" s="552"/>
      <c r="I336" s="552"/>
      <c r="J336" s="552"/>
      <c r="N336" s="604"/>
    </row>
    <row r="337" spans="1:14" ht="12" thickBot="1" x14ac:dyDescent="0.25">
      <c r="A337" s="605"/>
      <c r="B337" s="606"/>
      <c r="C337" s="606"/>
      <c r="D337" s="606"/>
      <c r="E337" s="606"/>
      <c r="F337" s="606"/>
      <c r="G337" s="606"/>
      <c r="H337" s="606"/>
      <c r="I337" s="606"/>
      <c r="J337" s="606"/>
      <c r="K337" s="606"/>
      <c r="L337" s="606"/>
      <c r="M337" s="193"/>
      <c r="N337" s="607"/>
    </row>
    <row r="338" spans="1:14" x14ac:dyDescent="0.2">
      <c r="A338" s="600"/>
      <c r="B338" s="601"/>
      <c r="C338" s="601"/>
      <c r="D338" s="601"/>
      <c r="E338" s="601"/>
      <c r="F338" s="601"/>
      <c r="G338" s="601"/>
      <c r="H338" s="601"/>
      <c r="I338" s="601"/>
      <c r="J338" s="601"/>
      <c r="K338" s="601"/>
      <c r="L338" s="601"/>
      <c r="M338" s="186"/>
      <c r="N338" s="602"/>
    </row>
    <row r="339" spans="1:14" x14ac:dyDescent="0.2">
      <c r="A339" s="603"/>
      <c r="B339" s="552"/>
      <c r="C339" s="552"/>
      <c r="D339" s="552"/>
      <c r="E339" s="552"/>
      <c r="F339" s="552"/>
      <c r="G339" s="552"/>
      <c r="H339" s="552"/>
      <c r="I339" s="552"/>
      <c r="J339" s="552"/>
      <c r="N339" s="604"/>
    </row>
    <row r="340" spans="1:14" x14ac:dyDescent="0.2">
      <c r="A340" s="603"/>
      <c r="B340" s="552"/>
      <c r="C340" s="552"/>
      <c r="D340" s="552"/>
      <c r="E340" s="552"/>
      <c r="F340" s="552"/>
      <c r="G340" s="552"/>
      <c r="H340" s="552"/>
      <c r="I340" s="552"/>
      <c r="J340" s="552"/>
      <c r="N340" s="604"/>
    </row>
    <row r="341" spans="1:14" x14ac:dyDescent="0.2">
      <c r="A341" s="603"/>
      <c r="B341" s="552"/>
      <c r="C341" s="552"/>
      <c r="D341" s="552"/>
      <c r="E341" s="552"/>
      <c r="F341" s="552"/>
      <c r="G341" s="552"/>
      <c r="H341" s="552"/>
      <c r="I341" s="552"/>
      <c r="J341" s="552"/>
      <c r="N341" s="604"/>
    </row>
    <row r="342" spans="1:14" x14ac:dyDescent="0.2">
      <c r="A342" s="603"/>
      <c r="B342" s="552"/>
      <c r="C342" s="552"/>
      <c r="D342" s="552"/>
      <c r="E342" s="552"/>
      <c r="F342" s="552"/>
      <c r="G342" s="552"/>
      <c r="H342" s="552"/>
      <c r="I342" s="552"/>
      <c r="J342" s="552"/>
      <c r="N342" s="604"/>
    </row>
    <row r="343" spans="1:14" x14ac:dyDescent="0.2">
      <c r="A343" s="603"/>
      <c r="B343" s="552"/>
      <c r="C343" s="552"/>
      <c r="D343" s="552"/>
      <c r="E343" s="552"/>
      <c r="F343" s="552"/>
      <c r="G343" s="552"/>
      <c r="H343" s="552"/>
      <c r="I343" s="552"/>
      <c r="J343" s="552"/>
      <c r="N343" s="604"/>
    </row>
    <row r="344" spans="1:14" x14ac:dyDescent="0.2">
      <c r="A344" s="603"/>
      <c r="B344" s="552"/>
      <c r="C344" s="552"/>
      <c r="D344" s="552"/>
      <c r="E344" s="552"/>
      <c r="F344" s="552"/>
      <c r="G344" s="552"/>
      <c r="H344" s="552"/>
      <c r="I344" s="552"/>
      <c r="J344" s="552"/>
      <c r="N344" s="604"/>
    </row>
    <row r="345" spans="1:14" x14ac:dyDescent="0.2">
      <c r="A345" s="603"/>
      <c r="B345" s="552"/>
      <c r="C345" s="552"/>
      <c r="D345" s="552"/>
      <c r="E345" s="552"/>
      <c r="F345" s="552"/>
      <c r="G345" s="552"/>
      <c r="H345" s="552"/>
      <c r="I345" s="552"/>
      <c r="J345" s="552"/>
      <c r="N345" s="604"/>
    </row>
    <row r="346" spans="1:14" ht="12" thickBot="1" x14ac:dyDescent="0.25">
      <c r="A346" s="605"/>
      <c r="B346" s="606"/>
      <c r="C346" s="606"/>
      <c r="D346" s="606"/>
      <c r="E346" s="606"/>
      <c r="F346" s="606"/>
      <c r="G346" s="606"/>
      <c r="H346" s="606"/>
      <c r="I346" s="606"/>
      <c r="J346" s="606"/>
      <c r="K346" s="606"/>
      <c r="L346" s="606"/>
      <c r="M346" s="193"/>
      <c r="N346" s="607"/>
    </row>
    <row r="347" spans="1:14" x14ac:dyDescent="0.2">
      <c r="E347" s="552"/>
      <c r="F347" s="552"/>
      <c r="G347" s="552"/>
      <c r="H347" s="552"/>
      <c r="I347" s="552"/>
      <c r="J347" s="552"/>
      <c r="N347" s="599"/>
    </row>
    <row r="348" spans="1:14" x14ac:dyDescent="0.2">
      <c r="E348" s="552"/>
      <c r="F348" s="552"/>
      <c r="G348" s="552"/>
      <c r="H348" s="552"/>
      <c r="I348" s="552"/>
      <c r="J348" s="552"/>
      <c r="N348" s="599"/>
    </row>
    <row r="349" spans="1:14" x14ac:dyDescent="0.2">
      <c r="E349" s="552"/>
      <c r="F349" s="552"/>
      <c r="G349" s="552"/>
      <c r="H349" s="552"/>
      <c r="I349" s="552"/>
      <c r="J349" s="552"/>
      <c r="N349" s="599"/>
    </row>
    <row r="350" spans="1:14" x14ac:dyDescent="0.2">
      <c r="E350" s="552"/>
      <c r="F350" s="552"/>
      <c r="G350" s="552"/>
      <c r="H350" s="552"/>
      <c r="I350" s="552"/>
      <c r="J350" s="552"/>
      <c r="N350" s="599"/>
    </row>
    <row r="351" spans="1:14" x14ac:dyDescent="0.2">
      <c r="E351" s="552"/>
      <c r="F351" s="552"/>
      <c r="G351" s="552"/>
      <c r="H351" s="552"/>
      <c r="I351" s="552"/>
      <c r="J351" s="552"/>
      <c r="N351" s="599"/>
    </row>
    <row r="352" spans="1:14" x14ac:dyDescent="0.2">
      <c r="E352" s="552"/>
      <c r="F352" s="552"/>
      <c r="G352" s="552"/>
      <c r="H352" s="552"/>
      <c r="I352" s="552"/>
      <c r="J352" s="552"/>
      <c r="N352" s="599"/>
    </row>
    <row r="353" spans="1:14" x14ac:dyDescent="0.2">
      <c r="E353" s="552"/>
      <c r="F353" s="552"/>
      <c r="G353" s="552"/>
      <c r="H353" s="552"/>
      <c r="I353" s="552"/>
      <c r="J353" s="552"/>
      <c r="N353" s="599"/>
    </row>
    <row r="354" spans="1:14" x14ac:dyDescent="0.2">
      <c r="E354" s="552"/>
      <c r="F354" s="552"/>
      <c r="G354" s="552"/>
      <c r="H354" s="552"/>
      <c r="I354" s="552"/>
      <c r="J354" s="552"/>
      <c r="N354" s="599"/>
    </row>
    <row r="355" spans="1:14" x14ac:dyDescent="0.2">
      <c r="E355" s="552"/>
      <c r="F355" s="552"/>
      <c r="G355" s="552"/>
      <c r="H355" s="552"/>
      <c r="I355" s="552"/>
      <c r="J355" s="552"/>
      <c r="N355" s="599"/>
    </row>
    <row r="356" spans="1:14" x14ac:dyDescent="0.2">
      <c r="E356" s="552"/>
      <c r="F356" s="552"/>
      <c r="G356" s="552"/>
      <c r="H356" s="552"/>
      <c r="I356" s="552"/>
      <c r="J356" s="552"/>
      <c r="N356" s="599"/>
    </row>
    <row r="357" spans="1:14" x14ac:dyDescent="0.2">
      <c r="E357" s="552"/>
      <c r="F357" s="552"/>
      <c r="G357" s="552"/>
      <c r="H357" s="552"/>
      <c r="I357" s="552"/>
      <c r="J357" s="552"/>
      <c r="N357" s="599"/>
    </row>
    <row r="358" spans="1:14" x14ac:dyDescent="0.2">
      <c r="E358" s="552"/>
      <c r="F358" s="552"/>
      <c r="G358" s="552"/>
      <c r="H358" s="552"/>
      <c r="I358" s="552"/>
      <c r="J358" s="552"/>
      <c r="N358" s="599"/>
    </row>
    <row r="359" spans="1:14" x14ac:dyDescent="0.2">
      <c r="E359" s="552"/>
      <c r="F359" s="552"/>
      <c r="G359" s="552"/>
      <c r="H359" s="552"/>
      <c r="I359" s="552"/>
      <c r="J359" s="552"/>
      <c r="N359" s="599"/>
    </row>
    <row r="360" spans="1:14" x14ac:dyDescent="0.2">
      <c r="E360" s="552"/>
      <c r="F360" s="552"/>
      <c r="G360" s="552"/>
      <c r="H360" s="552"/>
      <c r="I360" s="552"/>
      <c r="J360" s="552"/>
      <c r="N360" s="599"/>
    </row>
    <row r="361" spans="1:14" x14ac:dyDescent="0.2">
      <c r="E361" s="552"/>
      <c r="F361" s="552"/>
      <c r="G361" s="552"/>
      <c r="H361" s="552"/>
      <c r="I361" s="552"/>
      <c r="J361" s="552"/>
      <c r="N361" s="599"/>
    </row>
    <row r="362" spans="1:14" x14ac:dyDescent="0.2">
      <c r="E362" s="552"/>
      <c r="F362" s="552"/>
      <c r="G362" s="552"/>
      <c r="H362" s="552"/>
      <c r="I362" s="552"/>
      <c r="J362" s="552"/>
      <c r="N362" s="599"/>
    </row>
    <row r="363" spans="1:14" x14ac:dyDescent="0.2">
      <c r="E363" s="552"/>
      <c r="F363" s="552"/>
      <c r="G363" s="552"/>
      <c r="H363" s="552"/>
      <c r="I363" s="552"/>
      <c r="J363" s="552"/>
      <c r="N363" s="599"/>
    </row>
    <row r="364" spans="1:14" x14ac:dyDescent="0.2">
      <c r="E364" s="552"/>
      <c r="F364" s="552"/>
      <c r="G364" s="552"/>
      <c r="H364" s="552"/>
      <c r="I364" s="552"/>
      <c r="J364" s="552"/>
      <c r="N364" s="599"/>
    </row>
    <row r="365" spans="1:14" ht="12" thickBot="1" x14ac:dyDescent="0.25">
      <c r="E365" s="552"/>
      <c r="F365" s="552"/>
      <c r="G365" s="552"/>
      <c r="H365" s="552"/>
      <c r="I365" s="552"/>
      <c r="J365" s="552"/>
      <c r="N365" s="599"/>
    </row>
    <row r="366" spans="1:14" x14ac:dyDescent="0.2">
      <c r="A366" s="600"/>
      <c r="B366" s="601"/>
      <c r="C366" s="601"/>
      <c r="D366" s="601"/>
      <c r="E366" s="601"/>
      <c r="F366" s="601"/>
      <c r="G366" s="601"/>
      <c r="H366" s="601"/>
      <c r="I366" s="601"/>
      <c r="J366" s="601"/>
      <c r="K366" s="601"/>
      <c r="L366" s="601"/>
      <c r="M366" s="186"/>
      <c r="N366" s="602"/>
    </row>
    <row r="367" spans="1:14" x14ac:dyDescent="0.2">
      <c r="A367" s="603"/>
      <c r="B367" s="552"/>
      <c r="C367" s="552"/>
      <c r="D367" s="552"/>
      <c r="E367" s="552"/>
      <c r="F367" s="552"/>
      <c r="G367" s="552"/>
      <c r="H367" s="552"/>
      <c r="I367" s="552"/>
      <c r="J367" s="552"/>
      <c r="N367" s="604"/>
    </row>
    <row r="368" spans="1:14" x14ac:dyDescent="0.2">
      <c r="A368" s="603"/>
      <c r="B368" s="552"/>
      <c r="C368" s="552"/>
      <c r="D368" s="552"/>
      <c r="E368" s="552"/>
      <c r="F368" s="552"/>
      <c r="G368" s="552"/>
      <c r="H368" s="552"/>
      <c r="I368" s="552"/>
      <c r="J368" s="552"/>
      <c r="N368" s="604"/>
    </row>
    <row r="369" spans="1:14" x14ac:dyDescent="0.2">
      <c r="A369" s="603"/>
      <c r="B369" s="552"/>
      <c r="C369" s="552"/>
      <c r="D369" s="552"/>
      <c r="E369" s="552"/>
      <c r="F369" s="552"/>
      <c r="G369" s="552"/>
      <c r="H369" s="552"/>
      <c r="I369" s="552"/>
      <c r="J369" s="552"/>
      <c r="N369" s="604"/>
    </row>
    <row r="370" spans="1:14" x14ac:dyDescent="0.2">
      <c r="A370" s="603"/>
      <c r="B370" s="552"/>
      <c r="C370" s="552"/>
      <c r="D370" s="552"/>
      <c r="E370" s="552"/>
      <c r="F370" s="552"/>
      <c r="G370" s="552"/>
      <c r="H370" s="552"/>
      <c r="I370" s="552"/>
      <c r="J370" s="552"/>
      <c r="N370" s="604"/>
    </row>
    <row r="371" spans="1:14" x14ac:dyDescent="0.2">
      <c r="A371" s="603"/>
      <c r="B371" s="552"/>
      <c r="C371" s="552"/>
      <c r="D371" s="552"/>
      <c r="E371" s="552"/>
      <c r="F371" s="552"/>
      <c r="G371" s="552"/>
      <c r="H371" s="552"/>
      <c r="I371" s="552"/>
      <c r="J371" s="552"/>
      <c r="N371" s="604"/>
    </row>
    <row r="372" spans="1:14" x14ac:dyDescent="0.2">
      <c r="A372" s="603"/>
      <c r="B372" s="552"/>
      <c r="C372" s="552"/>
      <c r="D372" s="552"/>
      <c r="E372" s="552"/>
      <c r="F372" s="552"/>
      <c r="G372" s="552"/>
      <c r="H372" s="552"/>
      <c r="I372" s="552"/>
      <c r="J372" s="552"/>
      <c r="N372" s="604"/>
    </row>
    <row r="373" spans="1:14" x14ac:dyDescent="0.2">
      <c r="A373" s="603"/>
      <c r="B373" s="552"/>
      <c r="C373" s="552"/>
      <c r="D373" s="552"/>
      <c r="E373" s="552"/>
      <c r="F373" s="552"/>
      <c r="G373" s="552"/>
      <c r="H373" s="552"/>
      <c r="I373" s="552"/>
      <c r="J373" s="552"/>
      <c r="N373" s="604"/>
    </row>
    <row r="374" spans="1:14" ht="12" thickBot="1" x14ac:dyDescent="0.25">
      <c r="A374" s="605"/>
      <c r="B374" s="606"/>
      <c r="C374" s="606"/>
      <c r="D374" s="606"/>
      <c r="E374" s="606"/>
      <c r="F374" s="606"/>
      <c r="G374" s="606"/>
      <c r="H374" s="606"/>
      <c r="I374" s="606"/>
      <c r="J374" s="606"/>
      <c r="K374" s="606"/>
      <c r="L374" s="606"/>
      <c r="M374" s="193"/>
      <c r="N374" s="607"/>
    </row>
    <row r="375" spans="1:14" x14ac:dyDescent="0.2">
      <c r="E375" s="552"/>
      <c r="F375" s="552"/>
      <c r="G375" s="552"/>
      <c r="H375" s="552"/>
      <c r="I375" s="552"/>
      <c r="J375" s="552"/>
      <c r="N375" s="599"/>
    </row>
    <row r="376" spans="1:14" x14ac:dyDescent="0.2">
      <c r="E376" s="552"/>
      <c r="F376" s="552"/>
      <c r="G376" s="552"/>
      <c r="H376" s="552"/>
      <c r="I376" s="552"/>
      <c r="J376" s="552"/>
      <c r="N376" s="599"/>
    </row>
    <row r="377" spans="1:14" x14ac:dyDescent="0.2">
      <c r="E377" s="552"/>
      <c r="F377" s="552"/>
      <c r="G377" s="552"/>
      <c r="H377" s="552"/>
      <c r="I377" s="552"/>
      <c r="J377" s="552"/>
      <c r="N377" s="599"/>
    </row>
    <row r="378" spans="1:14" x14ac:dyDescent="0.2">
      <c r="E378" s="552"/>
      <c r="F378" s="552"/>
      <c r="G378" s="552"/>
      <c r="H378" s="552"/>
      <c r="I378" s="552"/>
      <c r="J378" s="552"/>
      <c r="N378" s="599"/>
    </row>
    <row r="379" spans="1:14" x14ac:dyDescent="0.2">
      <c r="E379" s="552"/>
      <c r="F379" s="552"/>
      <c r="G379" s="552"/>
      <c r="H379" s="552"/>
      <c r="I379" s="552"/>
      <c r="J379" s="552"/>
      <c r="N379" s="599"/>
    </row>
    <row r="380" spans="1:14" x14ac:dyDescent="0.2">
      <c r="E380" s="552"/>
      <c r="F380" s="552"/>
      <c r="G380" s="552"/>
      <c r="H380" s="552"/>
      <c r="I380" s="552"/>
      <c r="J380" s="552"/>
      <c r="N380" s="599"/>
    </row>
    <row r="381" spans="1:14" x14ac:dyDescent="0.2">
      <c r="E381" s="552"/>
      <c r="F381" s="552"/>
      <c r="G381" s="552"/>
      <c r="H381" s="552"/>
      <c r="I381" s="552"/>
      <c r="J381" s="552"/>
      <c r="N381" s="599"/>
    </row>
    <row r="382" spans="1:14" x14ac:dyDescent="0.2">
      <c r="E382" s="552"/>
      <c r="F382" s="552"/>
      <c r="G382" s="552"/>
      <c r="H382" s="552"/>
      <c r="I382" s="552"/>
      <c r="J382" s="552"/>
      <c r="N382" s="599"/>
    </row>
    <row r="383" spans="1:14" ht="12" thickBot="1" x14ac:dyDescent="0.25">
      <c r="E383" s="552"/>
      <c r="F383" s="552"/>
      <c r="G383" s="552"/>
      <c r="H383" s="552"/>
      <c r="I383" s="552"/>
      <c r="J383" s="552"/>
      <c r="N383" s="599"/>
    </row>
    <row r="384" spans="1:14" x14ac:dyDescent="0.2">
      <c r="A384" s="600"/>
      <c r="B384" s="601"/>
      <c r="C384" s="601"/>
      <c r="D384" s="601"/>
      <c r="E384" s="601"/>
      <c r="F384" s="601"/>
      <c r="G384" s="601"/>
      <c r="H384" s="601"/>
      <c r="I384" s="601"/>
      <c r="J384" s="601"/>
      <c r="K384" s="601"/>
      <c r="L384" s="601"/>
      <c r="M384" s="186"/>
      <c r="N384" s="602"/>
    </row>
    <row r="385" spans="1:14" x14ac:dyDescent="0.2">
      <c r="A385" s="603"/>
      <c r="B385" s="552"/>
      <c r="C385" s="552"/>
      <c r="D385" s="552"/>
      <c r="E385" s="552"/>
      <c r="F385" s="552"/>
      <c r="G385" s="552"/>
      <c r="H385" s="552"/>
      <c r="I385" s="552"/>
      <c r="J385" s="552"/>
      <c r="N385" s="604"/>
    </row>
    <row r="386" spans="1:14" x14ac:dyDescent="0.2">
      <c r="A386" s="603"/>
      <c r="B386" s="552"/>
      <c r="C386" s="552"/>
      <c r="D386" s="552"/>
      <c r="E386" s="552"/>
      <c r="F386" s="552"/>
      <c r="G386" s="552"/>
      <c r="H386" s="552"/>
      <c r="I386" s="552"/>
      <c r="J386" s="552"/>
      <c r="N386" s="604"/>
    </row>
    <row r="387" spans="1:14" x14ac:dyDescent="0.2">
      <c r="A387" s="603"/>
      <c r="B387" s="552"/>
      <c r="C387" s="552"/>
      <c r="D387" s="552"/>
      <c r="E387" s="552"/>
      <c r="F387" s="552"/>
      <c r="G387" s="552"/>
      <c r="H387" s="552"/>
      <c r="I387" s="552"/>
      <c r="J387" s="552"/>
      <c r="N387" s="604"/>
    </row>
    <row r="388" spans="1:14" x14ac:dyDescent="0.2">
      <c r="A388" s="603"/>
      <c r="B388" s="552"/>
      <c r="C388" s="552"/>
      <c r="D388" s="552"/>
      <c r="E388" s="552"/>
      <c r="F388" s="552"/>
      <c r="G388" s="552"/>
      <c r="H388" s="552"/>
      <c r="I388" s="552"/>
      <c r="J388" s="552"/>
      <c r="N388" s="604"/>
    </row>
    <row r="389" spans="1:14" x14ac:dyDescent="0.2">
      <c r="A389" s="603"/>
      <c r="B389" s="552"/>
      <c r="C389" s="552"/>
      <c r="D389" s="552"/>
      <c r="E389" s="552"/>
      <c r="F389" s="552"/>
      <c r="G389" s="552"/>
      <c r="H389" s="552"/>
      <c r="I389" s="552"/>
      <c r="J389" s="552"/>
      <c r="N389" s="604"/>
    </row>
    <row r="390" spans="1:14" x14ac:dyDescent="0.2">
      <c r="A390" s="603"/>
      <c r="B390" s="552"/>
      <c r="C390" s="552"/>
      <c r="D390" s="552"/>
      <c r="E390" s="552"/>
      <c r="F390" s="552"/>
      <c r="G390" s="552"/>
      <c r="H390" s="552"/>
      <c r="I390" s="552"/>
      <c r="J390" s="552"/>
      <c r="N390" s="604"/>
    </row>
    <row r="391" spans="1:14" x14ac:dyDescent="0.2">
      <c r="A391" s="603"/>
      <c r="B391" s="552"/>
      <c r="C391" s="552"/>
      <c r="D391" s="552"/>
      <c r="E391" s="552"/>
      <c r="F391" s="552"/>
      <c r="G391" s="552"/>
      <c r="H391" s="552"/>
      <c r="I391" s="552"/>
      <c r="J391" s="552"/>
      <c r="N391" s="604"/>
    </row>
    <row r="392" spans="1:14" ht="12" thickBot="1" x14ac:dyDescent="0.25">
      <c r="A392" s="605"/>
      <c r="B392" s="606"/>
      <c r="C392" s="606"/>
      <c r="D392" s="606"/>
      <c r="E392" s="606"/>
      <c r="F392" s="606"/>
      <c r="G392" s="606"/>
      <c r="H392" s="606"/>
      <c r="I392" s="606"/>
      <c r="J392" s="606"/>
      <c r="K392" s="606"/>
      <c r="L392" s="606"/>
      <c r="M392" s="193"/>
      <c r="N392" s="607"/>
    </row>
    <row r="393" spans="1:14" x14ac:dyDescent="0.2">
      <c r="E393" s="552"/>
      <c r="F393" s="552"/>
      <c r="G393" s="552"/>
      <c r="H393" s="552"/>
      <c r="I393" s="552"/>
      <c r="J393" s="552"/>
      <c r="N393" s="599"/>
    </row>
    <row r="394" spans="1:14" x14ac:dyDescent="0.2">
      <c r="E394" s="552"/>
      <c r="F394" s="552"/>
      <c r="G394" s="552"/>
      <c r="H394" s="552"/>
      <c r="I394" s="552"/>
      <c r="J394" s="552"/>
      <c r="N394" s="599"/>
    </row>
    <row r="395" spans="1:14" x14ac:dyDescent="0.2">
      <c r="E395" s="552"/>
      <c r="F395" s="552"/>
      <c r="G395" s="552"/>
      <c r="H395" s="552"/>
      <c r="I395" s="552"/>
      <c r="J395" s="552"/>
      <c r="N395" s="599"/>
    </row>
    <row r="396" spans="1:14" x14ac:dyDescent="0.2">
      <c r="E396" s="552"/>
      <c r="F396" s="552"/>
      <c r="G396" s="552"/>
      <c r="H396" s="552"/>
      <c r="I396" s="552"/>
      <c r="J396" s="552"/>
      <c r="N396" s="599"/>
    </row>
    <row r="397" spans="1:14" x14ac:dyDescent="0.2">
      <c r="E397" s="552"/>
      <c r="F397" s="552"/>
      <c r="G397" s="552"/>
      <c r="H397" s="552"/>
      <c r="I397" s="552"/>
      <c r="J397" s="552"/>
      <c r="N397" s="599"/>
    </row>
    <row r="398" spans="1:14" x14ac:dyDescent="0.2">
      <c r="E398" s="552"/>
      <c r="F398" s="552"/>
      <c r="G398" s="552"/>
      <c r="H398" s="552"/>
      <c r="I398" s="552"/>
      <c r="J398" s="552"/>
      <c r="N398" s="599"/>
    </row>
    <row r="399" spans="1:14" x14ac:dyDescent="0.2">
      <c r="E399" s="552"/>
      <c r="F399" s="552"/>
      <c r="G399" s="552"/>
      <c r="H399" s="552"/>
      <c r="I399" s="552"/>
      <c r="J399" s="552"/>
      <c r="N399" s="599"/>
    </row>
    <row r="400" spans="1:14" x14ac:dyDescent="0.2">
      <c r="E400" s="552"/>
      <c r="F400" s="552"/>
      <c r="G400" s="552"/>
      <c r="H400" s="552"/>
      <c r="I400" s="552"/>
      <c r="J400" s="552"/>
      <c r="N400" s="599"/>
    </row>
    <row r="401" spans="5:14" x14ac:dyDescent="0.2">
      <c r="E401" s="552"/>
      <c r="F401" s="552"/>
      <c r="G401" s="552"/>
      <c r="H401" s="552"/>
      <c r="I401" s="552"/>
      <c r="J401" s="552"/>
      <c r="N401" s="599"/>
    </row>
    <row r="402" spans="5:14" x14ac:dyDescent="0.2">
      <c r="E402" s="552"/>
      <c r="F402" s="552"/>
      <c r="G402" s="552"/>
      <c r="H402" s="552"/>
      <c r="I402" s="552"/>
      <c r="J402" s="552"/>
      <c r="N402" s="599"/>
    </row>
    <row r="403" spans="5:14" x14ac:dyDescent="0.2">
      <c r="E403" s="552"/>
      <c r="F403" s="552"/>
      <c r="G403" s="552"/>
      <c r="H403" s="552"/>
      <c r="I403" s="552"/>
      <c r="J403" s="552"/>
      <c r="N403" s="599"/>
    </row>
    <row r="404" spans="5:14" x14ac:dyDescent="0.2">
      <c r="E404" s="552"/>
      <c r="F404" s="552"/>
      <c r="G404" s="552"/>
      <c r="H404" s="552"/>
      <c r="I404" s="552"/>
      <c r="J404" s="552"/>
      <c r="N404" s="599"/>
    </row>
    <row r="405" spans="5:14" x14ac:dyDescent="0.2">
      <c r="E405" s="552"/>
      <c r="F405" s="552"/>
      <c r="G405" s="552"/>
      <c r="H405" s="552"/>
      <c r="I405" s="552"/>
      <c r="J405" s="552"/>
      <c r="N405" s="599"/>
    </row>
    <row r="406" spans="5:14" x14ac:dyDescent="0.2">
      <c r="E406" s="552"/>
      <c r="F406" s="552"/>
      <c r="G406" s="552"/>
      <c r="H406" s="552"/>
      <c r="I406" s="552"/>
      <c r="J406" s="552"/>
      <c r="N406" s="599"/>
    </row>
    <row r="407" spans="5:14" x14ac:dyDescent="0.2">
      <c r="E407" s="552"/>
      <c r="F407" s="552"/>
      <c r="G407" s="552"/>
      <c r="H407" s="552"/>
      <c r="I407" s="552"/>
      <c r="J407" s="552"/>
      <c r="N407" s="599"/>
    </row>
    <row r="408" spans="5:14" x14ac:dyDescent="0.2">
      <c r="E408" s="552"/>
      <c r="F408" s="552"/>
      <c r="G408" s="552"/>
      <c r="H408" s="552"/>
      <c r="I408" s="552"/>
      <c r="J408" s="552"/>
      <c r="N408" s="599"/>
    </row>
    <row r="409" spans="5:14" x14ac:dyDescent="0.2">
      <c r="E409" s="552"/>
      <c r="F409" s="552"/>
      <c r="G409" s="552"/>
      <c r="H409" s="552"/>
      <c r="I409" s="552"/>
      <c r="J409" s="552"/>
      <c r="N409" s="599"/>
    </row>
    <row r="410" spans="5:14" x14ac:dyDescent="0.2">
      <c r="E410" s="552"/>
      <c r="F410" s="552"/>
      <c r="G410" s="552"/>
      <c r="H410" s="552"/>
      <c r="I410" s="552"/>
      <c r="J410" s="552"/>
      <c r="N410" s="599"/>
    </row>
    <row r="411" spans="5:14" x14ac:dyDescent="0.2">
      <c r="E411" s="552"/>
      <c r="F411" s="552"/>
      <c r="G411" s="552"/>
      <c r="H411" s="552"/>
      <c r="I411" s="552"/>
      <c r="J411" s="552"/>
      <c r="N411" s="599"/>
    </row>
    <row r="412" spans="5:14" x14ac:dyDescent="0.2">
      <c r="E412" s="552"/>
      <c r="F412" s="552"/>
      <c r="G412" s="552"/>
      <c r="H412" s="552"/>
      <c r="I412" s="552"/>
      <c r="J412" s="552"/>
      <c r="N412" s="599"/>
    </row>
    <row r="413" spans="5:14" x14ac:dyDescent="0.2">
      <c r="E413" s="552"/>
      <c r="F413" s="552"/>
      <c r="G413" s="552"/>
      <c r="H413" s="552"/>
      <c r="I413" s="552"/>
      <c r="J413" s="552"/>
      <c r="N413" s="599"/>
    </row>
    <row r="414" spans="5:14" x14ac:dyDescent="0.2">
      <c r="E414" s="552"/>
      <c r="F414" s="552"/>
      <c r="G414" s="552"/>
      <c r="H414" s="552"/>
      <c r="I414" s="552"/>
      <c r="J414" s="552"/>
      <c r="N414" s="599"/>
    </row>
    <row r="415" spans="5:14" x14ac:dyDescent="0.2">
      <c r="E415" s="552"/>
      <c r="F415" s="552"/>
      <c r="G415" s="552"/>
      <c r="H415" s="552"/>
      <c r="I415" s="552"/>
      <c r="J415" s="552"/>
      <c r="N415" s="599"/>
    </row>
    <row r="416" spans="5:14" x14ac:dyDescent="0.2">
      <c r="E416" s="552"/>
      <c r="F416" s="552"/>
      <c r="G416" s="552"/>
      <c r="H416" s="552"/>
      <c r="I416" s="552"/>
      <c r="J416" s="552"/>
      <c r="N416" s="599"/>
    </row>
    <row r="417" spans="1:14" x14ac:dyDescent="0.2">
      <c r="E417" s="552"/>
      <c r="F417" s="552"/>
      <c r="G417" s="552"/>
      <c r="H417" s="552"/>
      <c r="I417" s="552"/>
      <c r="J417" s="552"/>
      <c r="N417" s="599"/>
    </row>
    <row r="418" spans="1:14" x14ac:dyDescent="0.2">
      <c r="E418" s="552"/>
      <c r="F418" s="552"/>
      <c r="G418" s="552"/>
      <c r="H418" s="552"/>
      <c r="I418" s="552"/>
      <c r="J418" s="552"/>
      <c r="N418" s="599"/>
    </row>
    <row r="419" spans="1:14" ht="12" thickBot="1" x14ac:dyDescent="0.25">
      <c r="E419" s="552"/>
      <c r="F419" s="552"/>
      <c r="G419" s="552"/>
      <c r="H419" s="552"/>
      <c r="I419" s="552"/>
      <c r="J419" s="552"/>
      <c r="N419" s="599"/>
    </row>
    <row r="420" spans="1:14" x14ac:dyDescent="0.2">
      <c r="A420" s="600"/>
      <c r="B420" s="601"/>
      <c r="C420" s="601"/>
      <c r="D420" s="601"/>
      <c r="E420" s="601"/>
      <c r="F420" s="601"/>
      <c r="G420" s="601"/>
      <c r="H420" s="601"/>
      <c r="I420" s="601"/>
      <c r="J420" s="601"/>
      <c r="K420" s="601"/>
      <c r="L420" s="601"/>
      <c r="M420" s="186"/>
      <c r="N420" s="602"/>
    </row>
    <row r="421" spans="1:14" x14ac:dyDescent="0.2">
      <c r="A421" s="603"/>
      <c r="B421" s="552"/>
      <c r="C421" s="552"/>
      <c r="D421" s="552"/>
      <c r="E421" s="552"/>
      <c r="F421" s="552"/>
      <c r="G421" s="552"/>
      <c r="H421" s="552"/>
      <c r="I421" s="552"/>
      <c r="J421" s="552"/>
      <c r="N421" s="604"/>
    </row>
    <row r="422" spans="1:14" x14ac:dyDescent="0.2">
      <c r="A422" s="603"/>
      <c r="B422" s="552"/>
      <c r="C422" s="552"/>
      <c r="D422" s="552"/>
      <c r="E422" s="552"/>
      <c r="F422" s="552"/>
      <c r="G422" s="552"/>
      <c r="H422" s="552"/>
      <c r="I422" s="552"/>
      <c r="J422" s="552"/>
      <c r="N422" s="604"/>
    </row>
    <row r="423" spans="1:14" x14ac:dyDescent="0.2">
      <c r="A423" s="603"/>
      <c r="B423" s="552"/>
      <c r="C423" s="552"/>
      <c r="D423" s="552"/>
      <c r="E423" s="552"/>
      <c r="F423" s="552"/>
      <c r="G423" s="552"/>
      <c r="H423" s="552"/>
      <c r="I423" s="552"/>
      <c r="J423" s="552"/>
      <c r="N423" s="604"/>
    </row>
    <row r="424" spans="1:14" x14ac:dyDescent="0.2">
      <c r="A424" s="603"/>
      <c r="B424" s="552"/>
      <c r="C424" s="552"/>
      <c r="D424" s="552"/>
      <c r="E424" s="552"/>
      <c r="F424" s="552"/>
      <c r="G424" s="552"/>
      <c r="H424" s="552"/>
      <c r="I424" s="552"/>
      <c r="J424" s="552"/>
      <c r="N424" s="604"/>
    </row>
    <row r="425" spans="1:14" x14ac:dyDescent="0.2">
      <c r="A425" s="603"/>
      <c r="B425" s="552"/>
      <c r="C425" s="552"/>
      <c r="D425" s="552"/>
      <c r="E425" s="552"/>
      <c r="F425" s="552"/>
      <c r="G425" s="552"/>
      <c r="H425" s="552"/>
      <c r="I425" s="552"/>
      <c r="J425" s="552"/>
      <c r="N425" s="604"/>
    </row>
    <row r="426" spans="1:14" x14ac:dyDescent="0.2">
      <c r="A426" s="603"/>
      <c r="B426" s="552"/>
      <c r="C426" s="552"/>
      <c r="D426" s="552"/>
      <c r="E426" s="552"/>
      <c r="F426" s="552"/>
      <c r="G426" s="552"/>
      <c r="H426" s="552"/>
      <c r="I426" s="552"/>
      <c r="J426" s="552"/>
      <c r="N426" s="604"/>
    </row>
    <row r="427" spans="1:14" x14ac:dyDescent="0.2">
      <c r="A427" s="603"/>
      <c r="B427" s="552"/>
      <c r="C427" s="552"/>
      <c r="D427" s="552"/>
      <c r="E427" s="552"/>
      <c r="F427" s="552"/>
      <c r="G427" s="552"/>
      <c r="H427" s="552"/>
      <c r="I427" s="552"/>
      <c r="J427" s="552"/>
      <c r="N427" s="604"/>
    </row>
    <row r="428" spans="1:14" x14ac:dyDescent="0.2">
      <c r="A428" s="603"/>
      <c r="B428" s="552"/>
      <c r="C428" s="552"/>
      <c r="D428" s="552"/>
      <c r="E428" s="552"/>
      <c r="F428" s="552"/>
      <c r="G428" s="552"/>
      <c r="H428" s="552"/>
      <c r="I428" s="552"/>
      <c r="J428" s="552"/>
      <c r="N428" s="604"/>
    </row>
    <row r="429" spans="1:14" x14ac:dyDescent="0.2">
      <c r="A429" s="603"/>
      <c r="B429" s="552"/>
      <c r="C429" s="552"/>
      <c r="D429" s="552"/>
      <c r="E429" s="552"/>
      <c r="F429" s="552"/>
      <c r="G429" s="552"/>
      <c r="H429" s="552"/>
      <c r="I429" s="552"/>
      <c r="J429" s="552"/>
      <c r="N429" s="604"/>
    </row>
    <row r="430" spans="1:14" x14ac:dyDescent="0.2">
      <c r="A430" s="603"/>
      <c r="B430" s="552"/>
      <c r="C430" s="552"/>
      <c r="D430" s="552"/>
      <c r="E430" s="552"/>
      <c r="F430" s="552"/>
      <c r="G430" s="552"/>
      <c r="H430" s="552"/>
      <c r="I430" s="552"/>
      <c r="J430" s="552"/>
      <c r="N430" s="604"/>
    </row>
    <row r="431" spans="1:14" x14ac:dyDescent="0.2">
      <c r="A431" s="603"/>
      <c r="B431" s="552"/>
      <c r="C431" s="552"/>
      <c r="D431" s="552"/>
      <c r="E431" s="552"/>
      <c r="F431" s="552"/>
      <c r="G431" s="552"/>
      <c r="H431" s="552"/>
      <c r="I431" s="552"/>
      <c r="J431" s="552"/>
      <c r="N431" s="604"/>
    </row>
    <row r="432" spans="1:14" x14ac:dyDescent="0.2">
      <c r="A432" s="603"/>
      <c r="B432" s="552"/>
      <c r="C432" s="552"/>
      <c r="D432" s="552"/>
      <c r="E432" s="552"/>
      <c r="F432" s="552"/>
      <c r="G432" s="552"/>
      <c r="H432" s="552"/>
      <c r="I432" s="552"/>
      <c r="J432" s="552"/>
      <c r="N432" s="604"/>
    </row>
    <row r="433" spans="1:14" ht="12" thickBot="1" x14ac:dyDescent="0.25">
      <c r="A433" s="605"/>
      <c r="B433" s="606"/>
      <c r="C433" s="606"/>
      <c r="D433" s="606"/>
      <c r="E433" s="606"/>
      <c r="F433" s="606"/>
      <c r="G433" s="606"/>
      <c r="H433" s="606"/>
      <c r="I433" s="606"/>
      <c r="J433" s="606"/>
      <c r="K433" s="606"/>
      <c r="L433" s="606"/>
      <c r="M433" s="193"/>
      <c r="N433" s="607"/>
    </row>
    <row r="434" spans="1:14" x14ac:dyDescent="0.2">
      <c r="A434" s="600"/>
      <c r="B434" s="601"/>
      <c r="C434" s="601"/>
      <c r="D434" s="601"/>
      <c r="E434" s="601"/>
      <c r="F434" s="601"/>
      <c r="G434" s="601"/>
      <c r="H434" s="601"/>
      <c r="I434" s="601"/>
      <c r="J434" s="601"/>
      <c r="K434" s="601"/>
      <c r="L434" s="601"/>
      <c r="M434" s="186"/>
      <c r="N434" s="602"/>
    </row>
    <row r="435" spans="1:14" x14ac:dyDescent="0.2">
      <c r="A435" s="603"/>
      <c r="B435" s="552"/>
      <c r="C435" s="552"/>
      <c r="D435" s="552"/>
      <c r="E435" s="552"/>
      <c r="F435" s="552"/>
      <c r="G435" s="552"/>
      <c r="H435" s="552"/>
      <c r="I435" s="552"/>
      <c r="J435" s="552"/>
      <c r="N435" s="604"/>
    </row>
    <row r="436" spans="1:14" x14ac:dyDescent="0.2">
      <c r="A436" s="603"/>
      <c r="B436" s="552"/>
      <c r="C436" s="552"/>
      <c r="D436" s="552"/>
      <c r="E436" s="552"/>
      <c r="F436" s="552"/>
      <c r="G436" s="552"/>
      <c r="H436" s="552"/>
      <c r="I436" s="552"/>
      <c r="J436" s="552"/>
      <c r="N436" s="604"/>
    </row>
    <row r="437" spans="1:14" x14ac:dyDescent="0.2">
      <c r="A437" s="603"/>
      <c r="B437" s="552"/>
      <c r="C437" s="552"/>
      <c r="D437" s="552"/>
      <c r="E437" s="552"/>
      <c r="F437" s="552"/>
      <c r="G437" s="552"/>
      <c r="H437" s="552"/>
      <c r="I437" s="552"/>
      <c r="J437" s="552"/>
      <c r="N437" s="604"/>
    </row>
    <row r="438" spans="1:14" x14ac:dyDescent="0.2">
      <c r="A438" s="603"/>
      <c r="B438" s="552"/>
      <c r="C438" s="552"/>
      <c r="D438" s="552"/>
      <c r="E438" s="552"/>
      <c r="F438" s="552"/>
      <c r="G438" s="552"/>
      <c r="H438" s="552"/>
      <c r="I438" s="552"/>
      <c r="J438" s="552"/>
      <c r="N438" s="604"/>
    </row>
    <row r="439" spans="1:14" x14ac:dyDescent="0.2">
      <c r="A439" s="603"/>
      <c r="B439" s="552"/>
      <c r="C439" s="552"/>
      <c r="D439" s="552"/>
      <c r="E439" s="552"/>
      <c r="F439" s="552"/>
      <c r="G439" s="552"/>
      <c r="H439" s="552"/>
      <c r="I439" s="552"/>
      <c r="J439" s="552"/>
      <c r="N439" s="604"/>
    </row>
    <row r="440" spans="1:14" x14ac:dyDescent="0.2">
      <c r="A440" s="603"/>
      <c r="B440" s="552"/>
      <c r="C440" s="552"/>
      <c r="D440" s="552"/>
      <c r="E440" s="552"/>
      <c r="F440" s="552"/>
      <c r="G440" s="552"/>
      <c r="H440" s="552"/>
      <c r="I440" s="552"/>
      <c r="J440" s="552"/>
      <c r="N440" s="604"/>
    </row>
    <row r="441" spans="1:14" x14ac:dyDescent="0.2">
      <c r="A441" s="603"/>
      <c r="B441" s="552"/>
      <c r="C441" s="552"/>
      <c r="D441" s="552"/>
      <c r="E441" s="552"/>
      <c r="F441" s="552"/>
      <c r="G441" s="552"/>
      <c r="H441" s="552"/>
      <c r="I441" s="552"/>
      <c r="J441" s="552"/>
      <c r="N441" s="604"/>
    </row>
    <row r="442" spans="1:14" x14ac:dyDescent="0.2">
      <c r="A442" s="603"/>
      <c r="B442" s="552"/>
      <c r="C442" s="552"/>
      <c r="D442" s="552"/>
      <c r="E442" s="552"/>
      <c r="F442" s="552"/>
      <c r="G442" s="552"/>
      <c r="H442" s="552"/>
      <c r="I442" s="552"/>
      <c r="J442" s="552"/>
      <c r="N442" s="604"/>
    </row>
    <row r="443" spans="1:14" x14ac:dyDescent="0.2">
      <c r="A443" s="603"/>
      <c r="B443" s="552"/>
      <c r="C443" s="552"/>
      <c r="D443" s="552"/>
      <c r="E443" s="552"/>
      <c r="F443" s="552"/>
      <c r="G443" s="552"/>
      <c r="H443" s="552"/>
      <c r="I443" s="552"/>
      <c r="J443" s="552"/>
      <c r="N443" s="604"/>
    </row>
    <row r="444" spans="1:14" x14ac:dyDescent="0.2">
      <c r="A444" s="603"/>
      <c r="B444" s="552"/>
      <c r="C444" s="552"/>
      <c r="D444" s="552"/>
      <c r="E444" s="552"/>
      <c r="F444" s="552"/>
      <c r="G444" s="552"/>
      <c r="H444" s="552"/>
      <c r="I444" s="552"/>
      <c r="J444" s="552"/>
      <c r="N444" s="604"/>
    </row>
    <row r="445" spans="1:14" x14ac:dyDescent="0.2">
      <c r="A445" s="603"/>
      <c r="B445" s="552"/>
      <c r="C445" s="552"/>
      <c r="D445" s="552"/>
      <c r="E445" s="552"/>
      <c r="F445" s="552"/>
      <c r="G445" s="552"/>
      <c r="H445" s="552"/>
      <c r="I445" s="552"/>
      <c r="J445" s="552"/>
      <c r="N445" s="604"/>
    </row>
    <row r="446" spans="1:14" x14ac:dyDescent="0.2">
      <c r="A446" s="603"/>
      <c r="B446" s="552"/>
      <c r="C446" s="552"/>
      <c r="D446" s="552"/>
      <c r="E446" s="552"/>
      <c r="F446" s="552"/>
      <c r="G446" s="552"/>
      <c r="H446" s="552"/>
      <c r="I446" s="552"/>
      <c r="J446" s="552"/>
      <c r="N446" s="604"/>
    </row>
    <row r="447" spans="1:14" ht="12" thickBot="1" x14ac:dyDescent="0.25">
      <c r="A447" s="605"/>
      <c r="B447" s="606"/>
      <c r="C447" s="606"/>
      <c r="D447" s="606"/>
      <c r="E447" s="606"/>
      <c r="F447" s="606"/>
      <c r="G447" s="606"/>
      <c r="H447" s="606"/>
      <c r="I447" s="606"/>
      <c r="J447" s="606"/>
      <c r="K447" s="606"/>
      <c r="L447" s="606"/>
      <c r="M447" s="193"/>
      <c r="N447" s="607"/>
    </row>
    <row r="448" spans="1:14" x14ac:dyDescent="0.2">
      <c r="E448" s="552"/>
      <c r="F448" s="552"/>
      <c r="G448" s="552"/>
      <c r="H448" s="552"/>
      <c r="I448" s="552"/>
      <c r="J448" s="552"/>
      <c r="N448" s="599"/>
    </row>
    <row r="449" spans="1:14" x14ac:dyDescent="0.2">
      <c r="E449" s="552"/>
      <c r="F449" s="552"/>
      <c r="G449" s="552"/>
      <c r="H449" s="552"/>
      <c r="I449" s="552"/>
      <c r="J449" s="552"/>
      <c r="N449" s="599"/>
    </row>
    <row r="450" spans="1:14" x14ac:dyDescent="0.2">
      <c r="E450" s="552"/>
      <c r="F450" s="552"/>
      <c r="G450" s="552"/>
      <c r="H450" s="552"/>
      <c r="I450" s="552"/>
      <c r="J450" s="552"/>
      <c r="N450" s="599"/>
    </row>
    <row r="451" spans="1:14" x14ac:dyDescent="0.2">
      <c r="E451" s="552"/>
      <c r="F451" s="552"/>
      <c r="G451" s="552"/>
      <c r="H451" s="552"/>
      <c r="I451" s="552"/>
      <c r="J451" s="552"/>
      <c r="N451" s="599"/>
    </row>
    <row r="452" spans="1:14" x14ac:dyDescent="0.2">
      <c r="E452" s="552"/>
      <c r="F452" s="552"/>
      <c r="G452" s="552"/>
      <c r="H452" s="552"/>
      <c r="I452" s="552"/>
      <c r="J452" s="552"/>
      <c r="N452" s="599"/>
    </row>
    <row r="453" spans="1:14" x14ac:dyDescent="0.2">
      <c r="E453" s="552"/>
      <c r="F453" s="552"/>
      <c r="G453" s="552"/>
      <c r="H453" s="552"/>
      <c r="I453" s="552"/>
      <c r="J453" s="552"/>
      <c r="N453" s="599"/>
    </row>
    <row r="454" spans="1:14" x14ac:dyDescent="0.2">
      <c r="E454" s="552"/>
      <c r="F454" s="552"/>
      <c r="G454" s="552"/>
      <c r="H454" s="552"/>
      <c r="I454" s="552"/>
      <c r="J454" s="552"/>
      <c r="N454" s="599"/>
    </row>
    <row r="455" spans="1:14" x14ac:dyDescent="0.2">
      <c r="E455" s="552"/>
      <c r="F455" s="552"/>
      <c r="G455" s="552"/>
      <c r="H455" s="552"/>
      <c r="I455" s="552"/>
      <c r="J455" s="552"/>
      <c r="N455" s="599"/>
    </row>
    <row r="456" spans="1:14" ht="12" thickBot="1" x14ac:dyDescent="0.25">
      <c r="E456" s="552"/>
      <c r="F456" s="552"/>
      <c r="G456" s="552"/>
      <c r="H456" s="552"/>
      <c r="I456" s="552"/>
      <c r="J456" s="552"/>
      <c r="N456" s="599"/>
    </row>
    <row r="457" spans="1:14" x14ac:dyDescent="0.2">
      <c r="A457" s="600"/>
      <c r="B457" s="601"/>
      <c r="C457" s="601"/>
      <c r="D457" s="601"/>
      <c r="E457" s="601"/>
      <c r="F457" s="601"/>
      <c r="G457" s="601"/>
      <c r="H457" s="601"/>
      <c r="I457" s="601"/>
      <c r="J457" s="601"/>
      <c r="K457" s="601"/>
      <c r="L457" s="601"/>
      <c r="M457" s="186"/>
      <c r="N457" s="602"/>
    </row>
    <row r="458" spans="1:14" x14ac:dyDescent="0.2">
      <c r="A458" s="603"/>
      <c r="B458" s="552"/>
      <c r="C458" s="552"/>
      <c r="D458" s="552"/>
      <c r="E458" s="552"/>
      <c r="F458" s="552"/>
      <c r="G458" s="552"/>
      <c r="H458" s="552"/>
      <c r="I458" s="552"/>
      <c r="J458" s="552"/>
      <c r="N458" s="604"/>
    </row>
    <row r="459" spans="1:14" x14ac:dyDescent="0.2">
      <c r="A459" s="603"/>
      <c r="B459" s="552"/>
      <c r="C459" s="552"/>
      <c r="D459" s="552"/>
      <c r="E459" s="552"/>
      <c r="F459" s="552"/>
      <c r="G459" s="552"/>
      <c r="H459" s="552"/>
      <c r="I459" s="552"/>
      <c r="J459" s="552"/>
      <c r="N459" s="604"/>
    </row>
    <row r="460" spans="1:14" x14ac:dyDescent="0.2">
      <c r="A460" s="603"/>
      <c r="B460" s="552"/>
      <c r="C460" s="552"/>
      <c r="D460" s="552"/>
      <c r="E460" s="552"/>
      <c r="F460" s="552"/>
      <c r="G460" s="552"/>
      <c r="H460" s="552"/>
      <c r="I460" s="552"/>
      <c r="J460" s="552"/>
      <c r="N460" s="604"/>
    </row>
    <row r="461" spans="1:14" x14ac:dyDescent="0.2">
      <c r="A461" s="603"/>
      <c r="B461" s="552"/>
      <c r="C461" s="552"/>
      <c r="D461" s="552"/>
      <c r="E461" s="552"/>
      <c r="F461" s="552"/>
      <c r="G461" s="552"/>
      <c r="H461" s="552"/>
      <c r="I461" s="552"/>
      <c r="J461" s="552"/>
      <c r="N461" s="604"/>
    </row>
    <row r="462" spans="1:14" x14ac:dyDescent="0.2">
      <c r="A462" s="603"/>
      <c r="B462" s="552"/>
      <c r="C462" s="552"/>
      <c r="D462" s="552"/>
      <c r="E462" s="552"/>
      <c r="F462" s="552"/>
      <c r="G462" s="552"/>
      <c r="H462" s="552"/>
      <c r="I462" s="552"/>
      <c r="J462" s="552"/>
      <c r="N462" s="604"/>
    </row>
    <row r="463" spans="1:14" x14ac:dyDescent="0.2">
      <c r="A463" s="603"/>
      <c r="B463" s="552"/>
      <c r="C463" s="552"/>
      <c r="D463" s="552"/>
      <c r="E463" s="552"/>
      <c r="F463" s="552"/>
      <c r="G463" s="552"/>
      <c r="H463" s="552"/>
      <c r="I463" s="552"/>
      <c r="J463" s="552"/>
      <c r="N463" s="604"/>
    </row>
    <row r="464" spans="1:14" x14ac:dyDescent="0.2">
      <c r="A464" s="603"/>
      <c r="B464" s="552"/>
      <c r="C464" s="552"/>
      <c r="D464" s="552"/>
      <c r="E464" s="552"/>
      <c r="F464" s="552"/>
      <c r="G464" s="552"/>
      <c r="H464" s="552"/>
      <c r="I464" s="552"/>
      <c r="J464" s="552"/>
      <c r="N464" s="604"/>
    </row>
    <row r="465" spans="1:14" ht="12" thickBot="1" x14ac:dyDescent="0.25">
      <c r="A465" s="605"/>
      <c r="B465" s="606"/>
      <c r="C465" s="606"/>
      <c r="D465" s="606"/>
      <c r="E465" s="606"/>
      <c r="F465" s="606"/>
      <c r="G465" s="606"/>
      <c r="H465" s="606"/>
      <c r="I465" s="606"/>
      <c r="J465" s="606"/>
      <c r="K465" s="606"/>
      <c r="L465" s="606"/>
      <c r="M465" s="193"/>
      <c r="N465" s="607"/>
    </row>
    <row r="466" spans="1:14" x14ac:dyDescent="0.2">
      <c r="E466" s="552"/>
      <c r="F466" s="552"/>
      <c r="G466" s="552"/>
      <c r="H466" s="552"/>
      <c r="I466" s="552"/>
      <c r="J466" s="552"/>
      <c r="N466" s="599"/>
    </row>
    <row r="467" spans="1:14" x14ac:dyDescent="0.2">
      <c r="E467" s="552"/>
      <c r="F467" s="552"/>
      <c r="G467" s="552"/>
      <c r="H467" s="552"/>
      <c r="I467" s="552"/>
      <c r="J467" s="552"/>
      <c r="N467" s="599"/>
    </row>
    <row r="468" spans="1:14" x14ac:dyDescent="0.2">
      <c r="E468" s="552"/>
      <c r="F468" s="552"/>
      <c r="G468" s="552"/>
      <c r="H468" s="552"/>
      <c r="I468" s="552"/>
      <c r="J468" s="552"/>
      <c r="N468" s="599"/>
    </row>
    <row r="469" spans="1:14" x14ac:dyDescent="0.2">
      <c r="E469" s="552"/>
      <c r="F469" s="552"/>
      <c r="G469" s="552"/>
      <c r="H469" s="552"/>
      <c r="I469" s="552"/>
      <c r="J469" s="552"/>
      <c r="N469" s="599"/>
    </row>
    <row r="470" spans="1:14" x14ac:dyDescent="0.2">
      <c r="E470" s="552"/>
      <c r="F470" s="552"/>
      <c r="G470" s="552"/>
      <c r="H470" s="552"/>
      <c r="I470" s="552"/>
      <c r="J470" s="552"/>
      <c r="N470" s="599"/>
    </row>
    <row r="471" spans="1:14" x14ac:dyDescent="0.2">
      <c r="E471" s="552"/>
      <c r="F471" s="552"/>
      <c r="G471" s="552"/>
      <c r="H471" s="552"/>
      <c r="I471" s="552"/>
      <c r="J471" s="552"/>
      <c r="N471" s="599"/>
    </row>
    <row r="472" spans="1:14" x14ac:dyDescent="0.2">
      <c r="E472" s="552"/>
      <c r="F472" s="552"/>
      <c r="G472" s="552"/>
      <c r="H472" s="552"/>
      <c r="I472" s="552"/>
      <c r="J472" s="552"/>
      <c r="N472" s="599"/>
    </row>
    <row r="473" spans="1:14" x14ac:dyDescent="0.2">
      <c r="E473" s="552"/>
      <c r="F473" s="552"/>
      <c r="G473" s="552"/>
      <c r="H473" s="552"/>
      <c r="I473" s="552"/>
      <c r="J473" s="552"/>
      <c r="N473" s="599"/>
    </row>
    <row r="474" spans="1:14" x14ac:dyDescent="0.2">
      <c r="E474" s="552"/>
      <c r="F474" s="552"/>
      <c r="G474" s="552"/>
      <c r="H474" s="552"/>
      <c r="I474" s="552"/>
      <c r="J474" s="552"/>
      <c r="N474" s="599"/>
    </row>
    <row r="475" spans="1:14" x14ac:dyDescent="0.2">
      <c r="E475" s="552"/>
      <c r="F475" s="552"/>
      <c r="G475" s="552"/>
      <c r="H475" s="552"/>
      <c r="I475" s="552"/>
      <c r="J475" s="552"/>
      <c r="N475" s="599"/>
    </row>
    <row r="476" spans="1:14" x14ac:dyDescent="0.2">
      <c r="E476" s="552"/>
      <c r="F476" s="552"/>
      <c r="G476" s="552"/>
      <c r="H476" s="552"/>
      <c r="I476" s="552"/>
      <c r="J476" s="552"/>
      <c r="N476" s="599"/>
    </row>
    <row r="477" spans="1:14" x14ac:dyDescent="0.2">
      <c r="E477" s="552"/>
      <c r="F477" s="552"/>
      <c r="G477" s="552"/>
      <c r="H477" s="552"/>
      <c r="I477" s="552"/>
      <c r="J477" s="552"/>
      <c r="N477" s="599"/>
    </row>
    <row r="478" spans="1:14" x14ac:dyDescent="0.2">
      <c r="E478" s="552"/>
      <c r="F478" s="552"/>
      <c r="G478" s="552"/>
      <c r="H478" s="552"/>
      <c r="I478" s="552"/>
      <c r="J478" s="552"/>
      <c r="N478" s="599"/>
    </row>
    <row r="479" spans="1:14" x14ac:dyDescent="0.2">
      <c r="E479" s="552"/>
      <c r="F479" s="552"/>
      <c r="G479" s="552"/>
      <c r="H479" s="552"/>
      <c r="I479" s="552"/>
      <c r="J479" s="552"/>
      <c r="N479" s="599"/>
    </row>
    <row r="480" spans="1:14" x14ac:dyDescent="0.2">
      <c r="E480" s="552"/>
      <c r="F480" s="552"/>
      <c r="G480" s="552"/>
      <c r="H480" s="552"/>
      <c r="I480" s="552"/>
      <c r="J480" s="552"/>
      <c r="N480" s="599"/>
    </row>
    <row r="481" spans="5:14" x14ac:dyDescent="0.2">
      <c r="E481" s="552"/>
      <c r="F481" s="552"/>
      <c r="G481" s="552"/>
      <c r="H481" s="552"/>
      <c r="I481" s="552"/>
      <c r="J481" s="552"/>
      <c r="N481" s="599"/>
    </row>
    <row r="482" spans="5:14" x14ac:dyDescent="0.2">
      <c r="E482" s="552"/>
      <c r="F482" s="552"/>
      <c r="G482" s="552"/>
      <c r="H482" s="552"/>
      <c r="I482" s="552"/>
      <c r="J482" s="552"/>
      <c r="N482" s="599"/>
    </row>
    <row r="483" spans="5:14" x14ac:dyDescent="0.2">
      <c r="E483" s="552"/>
      <c r="F483" s="552"/>
      <c r="G483" s="552"/>
      <c r="H483" s="552"/>
      <c r="I483" s="552"/>
      <c r="J483" s="552"/>
      <c r="N483" s="599"/>
    </row>
    <row r="484" spans="5:14" x14ac:dyDescent="0.2">
      <c r="E484" s="552"/>
      <c r="F484" s="552"/>
      <c r="G484" s="552"/>
      <c r="H484" s="552"/>
      <c r="I484" s="552"/>
      <c r="J484" s="552"/>
      <c r="N484" s="599"/>
    </row>
    <row r="485" spans="5:14" x14ac:dyDescent="0.2">
      <c r="E485" s="552"/>
      <c r="F485" s="552"/>
      <c r="G485" s="552"/>
      <c r="H485" s="552"/>
      <c r="I485" s="552"/>
      <c r="J485" s="552"/>
      <c r="N485" s="599"/>
    </row>
    <row r="486" spans="5:14" x14ac:dyDescent="0.2">
      <c r="E486" s="552"/>
      <c r="F486" s="552"/>
      <c r="G486" s="552"/>
      <c r="H486" s="552"/>
      <c r="I486" s="552"/>
      <c r="J486" s="552"/>
      <c r="N486" s="599"/>
    </row>
    <row r="487" spans="5:14" x14ac:dyDescent="0.2">
      <c r="E487" s="552"/>
      <c r="F487" s="552"/>
      <c r="G487" s="552"/>
      <c r="H487" s="552"/>
      <c r="I487" s="552"/>
      <c r="J487" s="552"/>
      <c r="N487" s="599"/>
    </row>
    <row r="488" spans="5:14" x14ac:dyDescent="0.2">
      <c r="E488" s="552"/>
      <c r="F488" s="552"/>
      <c r="G488" s="552"/>
      <c r="H488" s="552"/>
      <c r="I488" s="552"/>
      <c r="J488" s="552"/>
      <c r="N488" s="599"/>
    </row>
    <row r="489" spans="5:14" x14ac:dyDescent="0.2">
      <c r="E489" s="552"/>
      <c r="F489" s="552"/>
      <c r="G489" s="552"/>
      <c r="H489" s="552"/>
      <c r="I489" s="552"/>
      <c r="J489" s="552"/>
      <c r="N489" s="599"/>
    </row>
    <row r="490" spans="5:14" x14ac:dyDescent="0.2">
      <c r="E490" s="552"/>
      <c r="F490" s="552"/>
      <c r="G490" s="552"/>
      <c r="H490" s="552"/>
      <c r="I490" s="552"/>
      <c r="J490" s="552"/>
      <c r="N490" s="599"/>
    </row>
    <row r="491" spans="5:14" x14ac:dyDescent="0.2">
      <c r="E491" s="552"/>
      <c r="F491" s="552"/>
      <c r="G491" s="552"/>
      <c r="H491" s="552"/>
      <c r="I491" s="552"/>
      <c r="J491" s="552"/>
      <c r="N491" s="599"/>
    </row>
    <row r="492" spans="5:14" x14ac:dyDescent="0.2">
      <c r="E492" s="552"/>
      <c r="F492" s="552"/>
      <c r="G492" s="552"/>
      <c r="H492" s="552"/>
      <c r="I492" s="552"/>
      <c r="J492" s="552"/>
      <c r="N492" s="599"/>
    </row>
    <row r="493" spans="5:14" x14ac:dyDescent="0.2">
      <c r="E493" s="552"/>
      <c r="F493" s="552"/>
      <c r="G493" s="552"/>
      <c r="H493" s="552"/>
      <c r="I493" s="552"/>
      <c r="J493" s="552"/>
      <c r="N493" s="599"/>
    </row>
    <row r="494" spans="5:14" x14ac:dyDescent="0.2">
      <c r="E494" s="552"/>
      <c r="F494" s="552"/>
      <c r="G494" s="552"/>
      <c r="H494" s="552"/>
      <c r="I494" s="552"/>
      <c r="J494" s="552"/>
      <c r="N494" s="599"/>
    </row>
    <row r="495" spans="5:14" x14ac:dyDescent="0.2">
      <c r="E495" s="552"/>
      <c r="F495" s="552"/>
      <c r="G495" s="552"/>
      <c r="H495" s="552"/>
      <c r="I495" s="552"/>
      <c r="J495" s="552"/>
      <c r="N495" s="599"/>
    </row>
    <row r="496" spans="5:14" x14ac:dyDescent="0.2">
      <c r="E496" s="552"/>
      <c r="F496" s="552"/>
      <c r="G496" s="552"/>
      <c r="H496" s="552"/>
      <c r="I496" s="552"/>
      <c r="J496" s="552"/>
      <c r="N496" s="599"/>
    </row>
    <row r="497" spans="5:14" x14ac:dyDescent="0.2">
      <c r="E497" s="552"/>
      <c r="F497" s="552"/>
      <c r="G497" s="552"/>
      <c r="H497" s="552"/>
      <c r="I497" s="552"/>
      <c r="J497" s="552"/>
      <c r="N497" s="599"/>
    </row>
    <row r="498" spans="5:14" x14ac:dyDescent="0.2">
      <c r="E498" s="552"/>
      <c r="F498" s="552"/>
      <c r="G498" s="552"/>
      <c r="H498" s="552"/>
      <c r="I498" s="552"/>
      <c r="J498" s="552"/>
      <c r="N498" s="599"/>
    </row>
    <row r="499" spans="5:14" x14ac:dyDescent="0.2">
      <c r="E499" s="552"/>
      <c r="F499" s="552"/>
      <c r="G499" s="552"/>
      <c r="H499" s="552"/>
      <c r="I499" s="552"/>
      <c r="J499" s="552"/>
      <c r="N499" s="599"/>
    </row>
    <row r="500" spans="5:14" x14ac:dyDescent="0.2">
      <c r="E500" s="552"/>
      <c r="F500" s="552"/>
      <c r="G500" s="552"/>
      <c r="H500" s="552"/>
      <c r="I500" s="552"/>
      <c r="J500" s="552"/>
      <c r="N500" s="599"/>
    </row>
    <row r="501" spans="5:14" x14ac:dyDescent="0.2">
      <c r="E501" s="552"/>
      <c r="F501" s="552"/>
      <c r="G501" s="552"/>
      <c r="H501" s="552"/>
      <c r="I501" s="552"/>
      <c r="J501" s="552"/>
      <c r="N501" s="599"/>
    </row>
    <row r="502" spans="5:14" x14ac:dyDescent="0.2">
      <c r="E502" s="552"/>
      <c r="F502" s="552"/>
      <c r="G502" s="552"/>
      <c r="H502" s="552"/>
      <c r="I502" s="552"/>
      <c r="J502" s="552"/>
      <c r="N502" s="599"/>
    </row>
    <row r="503" spans="5:14" x14ac:dyDescent="0.2">
      <c r="E503" s="552"/>
      <c r="F503" s="552"/>
      <c r="G503" s="552"/>
      <c r="H503" s="552"/>
      <c r="I503" s="552"/>
      <c r="J503" s="552"/>
      <c r="N503" s="599"/>
    </row>
    <row r="504" spans="5:14" x14ac:dyDescent="0.2">
      <c r="E504" s="552"/>
      <c r="F504" s="552"/>
      <c r="G504" s="552"/>
      <c r="H504" s="552"/>
      <c r="I504" s="552"/>
      <c r="J504" s="552"/>
      <c r="N504" s="599"/>
    </row>
    <row r="505" spans="5:14" x14ac:dyDescent="0.2">
      <c r="E505" s="552"/>
      <c r="F505" s="552"/>
      <c r="G505" s="552"/>
      <c r="H505" s="552"/>
      <c r="I505" s="552"/>
      <c r="J505" s="552"/>
      <c r="N505" s="599"/>
    </row>
    <row r="506" spans="5:14" x14ac:dyDescent="0.2">
      <c r="E506" s="552"/>
      <c r="F506" s="550">
        <v>415162</v>
      </c>
      <c r="G506" s="552"/>
      <c r="H506" s="552"/>
      <c r="I506" s="552"/>
      <c r="J506" s="552"/>
      <c r="N506" s="599"/>
    </row>
    <row r="507" spans="5:14" x14ac:dyDescent="0.2">
      <c r="E507" s="552"/>
      <c r="F507" s="552"/>
      <c r="G507" s="552"/>
      <c r="H507" s="552"/>
      <c r="I507" s="552"/>
      <c r="J507" s="552"/>
      <c r="N507" s="599"/>
    </row>
    <row r="508" spans="5:14" x14ac:dyDescent="0.2">
      <c r="E508" s="552"/>
      <c r="F508" s="552"/>
      <c r="G508" s="552"/>
      <c r="H508" s="552"/>
      <c r="I508" s="552"/>
      <c r="J508" s="552"/>
      <c r="N508" s="599"/>
    </row>
    <row r="509" spans="5:14" x14ac:dyDescent="0.2">
      <c r="E509" s="552"/>
      <c r="F509" s="552"/>
      <c r="G509" s="552"/>
      <c r="H509" s="552"/>
      <c r="I509" s="552"/>
      <c r="J509" s="552"/>
      <c r="N509" s="599"/>
    </row>
    <row r="510" spans="5:14" x14ac:dyDescent="0.2">
      <c r="E510" s="552"/>
      <c r="F510" s="552"/>
      <c r="G510" s="552"/>
      <c r="H510" s="552"/>
      <c r="I510" s="552"/>
      <c r="J510" s="552"/>
      <c r="N510" s="599"/>
    </row>
    <row r="511" spans="5:14" x14ac:dyDescent="0.2">
      <c r="E511" s="552"/>
      <c r="F511" s="552"/>
      <c r="G511" s="552"/>
      <c r="H511" s="552"/>
      <c r="I511" s="552"/>
      <c r="J511" s="552"/>
      <c r="N511" s="599"/>
    </row>
    <row r="512" spans="5:14" x14ac:dyDescent="0.2">
      <c r="E512" s="552"/>
      <c r="F512" s="552"/>
      <c r="G512" s="552"/>
      <c r="H512" s="552"/>
      <c r="I512" s="552"/>
      <c r="J512" s="552"/>
      <c r="N512" s="599"/>
    </row>
    <row r="513" spans="5:14" x14ac:dyDescent="0.2">
      <c r="E513" s="552"/>
      <c r="F513" s="552"/>
      <c r="G513" s="552"/>
      <c r="H513" s="552"/>
      <c r="I513" s="552"/>
      <c r="J513" s="552"/>
      <c r="N513" s="599"/>
    </row>
    <row r="514" spans="5:14" x14ac:dyDescent="0.2">
      <c r="E514" s="552"/>
      <c r="F514" s="552"/>
      <c r="G514" s="552"/>
      <c r="H514" s="552"/>
      <c r="I514" s="552"/>
      <c r="J514" s="552"/>
      <c r="N514" s="599"/>
    </row>
    <row r="515" spans="5:14" x14ac:dyDescent="0.2">
      <c r="E515" s="552"/>
      <c r="F515" s="552"/>
      <c r="G515" s="552"/>
      <c r="H515" s="552"/>
      <c r="I515" s="552"/>
      <c r="J515" s="552"/>
      <c r="N515" s="599"/>
    </row>
    <row r="516" spans="5:14" x14ac:dyDescent="0.2">
      <c r="E516" s="552"/>
      <c r="F516" s="552"/>
      <c r="G516" s="552"/>
      <c r="H516" s="552"/>
      <c r="I516" s="552"/>
      <c r="J516" s="552"/>
      <c r="N516" s="599"/>
    </row>
    <row r="517" spans="5:14" x14ac:dyDescent="0.2">
      <c r="E517" s="552"/>
      <c r="F517" s="552"/>
      <c r="G517" s="552"/>
      <c r="H517" s="552"/>
      <c r="I517" s="552"/>
      <c r="J517" s="552"/>
      <c r="N517" s="599"/>
    </row>
    <row r="518" spans="5:14" x14ac:dyDescent="0.2">
      <c r="E518" s="552"/>
      <c r="F518" s="552"/>
      <c r="G518" s="552"/>
      <c r="H518" s="552"/>
      <c r="I518" s="552"/>
      <c r="J518" s="552"/>
      <c r="N518" s="599"/>
    </row>
    <row r="519" spans="5:14" x14ac:dyDescent="0.2">
      <c r="E519" s="552"/>
      <c r="F519" s="552"/>
      <c r="G519" s="552"/>
      <c r="H519" s="552"/>
      <c r="I519" s="552"/>
      <c r="J519" s="552"/>
      <c r="N519" s="599"/>
    </row>
    <row r="520" spans="5:14" x14ac:dyDescent="0.2">
      <c r="E520" s="552"/>
      <c r="F520" s="552"/>
      <c r="G520" s="552"/>
      <c r="H520" s="552"/>
      <c r="I520" s="552"/>
      <c r="J520" s="552"/>
      <c r="N520" s="599"/>
    </row>
    <row r="521" spans="5:14" x14ac:dyDescent="0.2">
      <c r="E521" s="552"/>
      <c r="F521" s="552"/>
      <c r="G521" s="552"/>
      <c r="H521" s="552"/>
      <c r="I521" s="552"/>
      <c r="J521" s="552"/>
      <c r="N521" s="599"/>
    </row>
    <row r="522" spans="5:14" x14ac:dyDescent="0.2">
      <c r="E522" s="552"/>
      <c r="F522" s="552"/>
      <c r="G522" s="552"/>
      <c r="H522" s="552"/>
      <c r="I522" s="552"/>
      <c r="J522" s="552"/>
      <c r="N522" s="599"/>
    </row>
    <row r="523" spans="5:14" x14ac:dyDescent="0.2">
      <c r="E523" s="552"/>
      <c r="F523" s="552"/>
      <c r="G523" s="552"/>
      <c r="H523" s="552"/>
      <c r="I523" s="552"/>
      <c r="J523" s="552"/>
      <c r="N523" s="599"/>
    </row>
    <row r="524" spans="5:14" x14ac:dyDescent="0.2">
      <c r="E524" s="552"/>
      <c r="F524" s="552"/>
      <c r="G524" s="552"/>
      <c r="H524" s="552"/>
      <c r="I524" s="552"/>
      <c r="J524" s="552"/>
      <c r="N524" s="599"/>
    </row>
    <row r="525" spans="5:14" x14ac:dyDescent="0.2">
      <c r="E525" s="552"/>
      <c r="F525" s="552"/>
      <c r="G525" s="552"/>
      <c r="H525" s="552"/>
      <c r="I525" s="552"/>
      <c r="J525" s="552"/>
      <c r="N525" s="599"/>
    </row>
    <row r="526" spans="5:14" x14ac:dyDescent="0.2">
      <c r="E526" s="552"/>
      <c r="F526" s="552"/>
      <c r="G526" s="552"/>
      <c r="H526" s="552"/>
      <c r="I526" s="552"/>
      <c r="J526" s="552"/>
      <c r="N526" s="599"/>
    </row>
    <row r="527" spans="5:14" x14ac:dyDescent="0.2">
      <c r="E527" s="552"/>
      <c r="F527" s="552"/>
      <c r="G527" s="552"/>
      <c r="H527" s="552"/>
      <c r="I527" s="552"/>
      <c r="J527" s="552"/>
      <c r="N527" s="599"/>
    </row>
    <row r="538" spans="1:14" ht="12" thickBot="1" x14ac:dyDescent="0.25"/>
    <row r="539" spans="1:14" x14ac:dyDescent="0.2">
      <c r="A539" s="600"/>
      <c r="B539" s="601"/>
      <c r="C539" s="601"/>
      <c r="D539" s="601"/>
      <c r="E539" s="601"/>
      <c r="F539" s="601"/>
      <c r="G539" s="601"/>
      <c r="H539" s="601"/>
      <c r="I539" s="601"/>
      <c r="J539" s="939"/>
      <c r="K539" s="601"/>
      <c r="L539" s="601"/>
      <c r="M539" s="186"/>
      <c r="N539" s="602"/>
    </row>
    <row r="540" spans="1:14" x14ac:dyDescent="0.2">
      <c r="A540" s="603"/>
      <c r="B540" s="552"/>
      <c r="C540" s="552"/>
      <c r="D540" s="552"/>
      <c r="E540" s="552"/>
      <c r="F540" s="552"/>
      <c r="G540" s="552"/>
      <c r="H540" s="552"/>
      <c r="I540" s="552"/>
      <c r="N540" s="604"/>
    </row>
    <row r="541" spans="1:14" x14ac:dyDescent="0.2">
      <c r="A541" s="603"/>
      <c r="B541" s="552"/>
      <c r="C541" s="552"/>
      <c r="D541" s="552"/>
      <c r="E541" s="552"/>
      <c r="F541" s="552"/>
      <c r="G541" s="552"/>
      <c r="H541" s="552"/>
      <c r="I541" s="552"/>
      <c r="N541" s="604"/>
    </row>
    <row r="542" spans="1:14" x14ac:dyDescent="0.2">
      <c r="A542" s="603"/>
      <c r="B542" s="552"/>
      <c r="C542" s="552"/>
      <c r="D542" s="552"/>
      <c r="E542" s="552"/>
      <c r="F542" s="552"/>
      <c r="G542" s="552"/>
      <c r="H542" s="552"/>
      <c r="I542" s="552"/>
      <c r="N542" s="604"/>
    </row>
    <row r="543" spans="1:14" x14ac:dyDescent="0.2">
      <c r="A543" s="603"/>
      <c r="B543" s="552"/>
      <c r="C543" s="552"/>
      <c r="D543" s="552"/>
      <c r="E543" s="552"/>
      <c r="F543" s="552"/>
      <c r="G543" s="552"/>
      <c r="H543" s="552"/>
      <c r="I543" s="552"/>
      <c r="N543" s="604"/>
    </row>
    <row r="544" spans="1:14" x14ac:dyDescent="0.2">
      <c r="A544" s="603"/>
      <c r="B544" s="552"/>
      <c r="C544" s="552"/>
      <c r="D544" s="552"/>
      <c r="E544" s="552"/>
      <c r="F544" s="552"/>
      <c r="G544" s="552"/>
      <c r="H544" s="552"/>
      <c r="I544" s="552"/>
      <c r="N544" s="604"/>
    </row>
    <row r="545" spans="1:14" x14ac:dyDescent="0.2">
      <c r="A545" s="603"/>
      <c r="B545" s="552"/>
      <c r="C545" s="552"/>
      <c r="D545" s="552"/>
      <c r="E545" s="552"/>
      <c r="F545" s="552"/>
      <c r="G545" s="552"/>
      <c r="H545" s="552"/>
      <c r="I545" s="552"/>
      <c r="N545" s="604"/>
    </row>
    <row r="546" spans="1:14" ht="12" thickBot="1" x14ac:dyDescent="0.25">
      <c r="A546" s="605"/>
      <c r="B546" s="606"/>
      <c r="C546" s="606"/>
      <c r="D546" s="606"/>
      <c r="E546" s="606"/>
      <c r="F546" s="606"/>
      <c r="G546" s="606"/>
      <c r="H546" s="606"/>
      <c r="I546" s="606"/>
      <c r="J546" s="940"/>
      <c r="K546" s="606"/>
      <c r="L546" s="606"/>
      <c r="M546" s="193"/>
      <c r="N546" s="607"/>
    </row>
    <row r="547" spans="1:14" x14ac:dyDescent="0.2">
      <c r="A547" s="600"/>
      <c r="B547" s="601"/>
      <c r="C547" s="601"/>
      <c r="D547" s="601"/>
      <c r="E547" s="601"/>
      <c r="F547" s="601"/>
      <c r="G547" s="601"/>
      <c r="H547" s="601"/>
      <c r="I547" s="601"/>
      <c r="J547" s="939"/>
      <c r="K547" s="601"/>
      <c r="L547" s="601"/>
      <c r="M547" s="186"/>
      <c r="N547" s="602"/>
    </row>
    <row r="548" spans="1:14" x14ac:dyDescent="0.2">
      <c r="A548" s="603"/>
      <c r="B548" s="552"/>
      <c r="C548" s="552"/>
      <c r="D548" s="552"/>
      <c r="E548" s="552"/>
      <c r="F548" s="552"/>
      <c r="G548" s="552"/>
      <c r="H548" s="552"/>
      <c r="I548" s="552"/>
      <c r="N548" s="604"/>
    </row>
    <row r="549" spans="1:14" x14ac:dyDescent="0.2">
      <c r="A549" s="603"/>
      <c r="B549" s="552"/>
      <c r="C549" s="552"/>
      <c r="D549" s="552"/>
      <c r="E549" s="552"/>
      <c r="F549" s="552"/>
      <c r="G549" s="552"/>
      <c r="H549" s="552"/>
      <c r="I549" s="552"/>
      <c r="N549" s="604"/>
    </row>
    <row r="550" spans="1:14" ht="12" thickBot="1" x14ac:dyDescent="0.25">
      <c r="A550" s="605"/>
      <c r="B550" s="606"/>
      <c r="C550" s="606"/>
      <c r="D550" s="606"/>
      <c r="E550" s="606"/>
      <c r="F550" s="606"/>
      <c r="G550" s="606"/>
      <c r="H550" s="606"/>
      <c r="I550" s="606"/>
      <c r="J550" s="940"/>
      <c r="K550" s="606"/>
      <c r="L550" s="606"/>
      <c r="M550" s="193"/>
      <c r="N550" s="607"/>
    </row>
  </sheetData>
  <mergeCells count="55">
    <mergeCell ref="M1:N1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M7:M8"/>
    <mergeCell ref="I5:M5"/>
    <mergeCell ref="N5:N8"/>
    <mergeCell ref="J6:J8"/>
    <mergeCell ref="K6:M6"/>
    <mergeCell ref="C66:C70"/>
    <mergeCell ref="C75:C76"/>
    <mergeCell ref="G6:H6"/>
    <mergeCell ref="C32:C35"/>
    <mergeCell ref="C37:C38"/>
    <mergeCell ref="G7:G8"/>
    <mergeCell ref="H7:H8"/>
    <mergeCell ref="N60:N63"/>
    <mergeCell ref="L7:L8"/>
    <mergeCell ref="A39:N39"/>
    <mergeCell ref="A13:A20"/>
    <mergeCell ref="N13:N20"/>
    <mergeCell ref="C14:C17"/>
    <mergeCell ref="C19:C20"/>
    <mergeCell ref="A21:A29"/>
    <mergeCell ref="N21:N29"/>
    <mergeCell ref="C23:C26"/>
    <mergeCell ref="C28:C29"/>
    <mergeCell ref="A30:A38"/>
    <mergeCell ref="N30:N38"/>
    <mergeCell ref="C62:C63"/>
    <mergeCell ref="A40:A42"/>
    <mergeCell ref="A9:B9"/>
    <mergeCell ref="A77:A80"/>
    <mergeCell ref="C78:C80"/>
    <mergeCell ref="N77:N80"/>
    <mergeCell ref="M72:M76"/>
    <mergeCell ref="M51:M55"/>
    <mergeCell ref="N43:N55"/>
    <mergeCell ref="A64:A76"/>
    <mergeCell ref="N64:N76"/>
    <mergeCell ref="C44:C49"/>
    <mergeCell ref="C54:C55"/>
    <mergeCell ref="A43:A55"/>
    <mergeCell ref="A56:A59"/>
    <mergeCell ref="C72:C74"/>
    <mergeCell ref="N56:N59"/>
    <mergeCell ref="C58:C59"/>
    <mergeCell ref="A60:A63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5" firstPageNumber="37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3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G813"/>
  <sheetViews>
    <sheetView showGridLines="0" view="pageBreakPreview" zoomScale="95" zoomScaleNormal="100" zoomScaleSheetLayoutView="95" workbookViewId="0">
      <pane xSplit="8" ySplit="9" topLeftCell="I10" activePane="bottomRight" state="frozen"/>
      <selection activeCell="A5" sqref="A5:N5"/>
      <selection pane="topRight" activeCell="A5" sqref="A5:N5"/>
      <selection pane="bottomLeft" activeCell="A5" sqref="A5:N5"/>
      <selection pane="bottomRight" activeCell="O1" sqref="O1"/>
    </sheetView>
  </sheetViews>
  <sheetFormatPr defaultRowHeight="12.75" x14ac:dyDescent="0.2"/>
  <cols>
    <col min="1" max="1" width="3.42578125" style="547" customWidth="1"/>
    <col min="2" max="2" width="50.7109375" style="421" customWidth="1"/>
    <col min="3" max="3" width="12.28515625" style="422" customWidth="1"/>
    <col min="4" max="4" width="12.7109375" style="421" customWidth="1"/>
    <col min="5" max="5" width="13.85546875" style="421" customWidth="1"/>
    <col min="6" max="6" width="13.7109375" style="421" customWidth="1"/>
    <col min="7" max="7" width="13.28515625" style="421" customWidth="1"/>
    <col min="8" max="8" width="12.42578125" style="421" customWidth="1"/>
    <col min="9" max="9" width="14.42578125" style="421" customWidth="1"/>
    <col min="10" max="10" width="10.5703125" style="421" customWidth="1"/>
    <col min="11" max="11" width="12.42578125" style="421" customWidth="1"/>
    <col min="12" max="12" width="11.85546875" style="421" customWidth="1"/>
    <col min="13" max="13" width="13" style="421" customWidth="1"/>
    <col min="14" max="14" width="18" style="644" customWidth="1"/>
    <col min="15" max="16384" width="9.140625" style="421"/>
  </cols>
  <sheetData>
    <row r="1" spans="1:59" ht="19.5" customHeight="1" x14ac:dyDescent="0.3">
      <c r="I1" s="5"/>
      <c r="J1" s="5"/>
      <c r="K1" s="5"/>
      <c r="L1" s="5"/>
      <c r="M1" s="3029" t="s">
        <v>353</v>
      </c>
      <c r="N1" s="3029"/>
    </row>
    <row r="2" spans="1:59" ht="7.5" customHeight="1" x14ac:dyDescent="0.2">
      <c r="D2" s="610"/>
      <c r="I2" s="128"/>
      <c r="N2" s="123"/>
    </row>
    <row r="3" spans="1:59" ht="5.25" customHeight="1" thickBot="1" x14ac:dyDescent="0.25">
      <c r="D3" s="610"/>
      <c r="I3" s="128"/>
      <c r="N3" s="123"/>
    </row>
    <row r="4" spans="1:59" s="611" customFormat="1" ht="44.25" customHeight="1" thickBot="1" x14ac:dyDescent="0.35">
      <c r="A4" s="3458" t="s">
        <v>237</v>
      </c>
      <c r="B4" s="3204"/>
      <c r="C4" s="3204"/>
      <c r="D4" s="3204"/>
      <c r="E4" s="3204"/>
      <c r="F4" s="3204"/>
      <c r="G4" s="3204"/>
      <c r="H4" s="3204"/>
      <c r="I4" s="3204"/>
      <c r="J4" s="3204"/>
      <c r="K4" s="3204"/>
      <c r="L4" s="3204"/>
      <c r="M4" s="3204"/>
      <c r="N4" s="3205"/>
    </row>
    <row r="5" spans="1:59" s="132" customFormat="1" ht="38.25" customHeight="1" x14ac:dyDescent="0.2">
      <c r="A5" s="3459" t="s">
        <v>25</v>
      </c>
      <c r="B5" s="3462" t="s">
        <v>26</v>
      </c>
      <c r="C5" s="3465" t="s">
        <v>157</v>
      </c>
      <c r="D5" s="3026" t="s">
        <v>338</v>
      </c>
      <c r="E5" s="3027"/>
      <c r="F5" s="3027"/>
      <c r="G5" s="3027"/>
      <c r="H5" s="3028"/>
      <c r="I5" s="3026" t="s">
        <v>316</v>
      </c>
      <c r="J5" s="3027"/>
      <c r="K5" s="3027"/>
      <c r="L5" s="3027"/>
      <c r="M5" s="3028"/>
      <c r="N5" s="3060" t="s">
        <v>28</v>
      </c>
    </row>
    <row r="6" spans="1:59" s="125" customFormat="1" ht="41.25" customHeight="1" x14ac:dyDescent="0.2">
      <c r="A6" s="3460"/>
      <c r="B6" s="3463"/>
      <c r="C6" s="3466"/>
      <c r="D6" s="3011" t="s">
        <v>0</v>
      </c>
      <c r="E6" s="3014" t="s">
        <v>188</v>
      </c>
      <c r="F6" s="3017" t="s">
        <v>332</v>
      </c>
      <c r="G6" s="3020" t="s">
        <v>292</v>
      </c>
      <c r="H6" s="3021"/>
      <c r="I6" s="3002" t="s">
        <v>302</v>
      </c>
      <c r="J6" s="3064" t="s">
        <v>339</v>
      </c>
      <c r="K6" s="3424" t="s">
        <v>321</v>
      </c>
      <c r="L6" s="3425"/>
      <c r="M6" s="3426"/>
      <c r="N6" s="3061"/>
    </row>
    <row r="7" spans="1:59" s="125" customFormat="1" ht="27" customHeight="1" x14ac:dyDescent="0.2">
      <c r="A7" s="3460"/>
      <c r="B7" s="3463"/>
      <c r="C7" s="3466"/>
      <c r="D7" s="3012"/>
      <c r="E7" s="3015"/>
      <c r="F7" s="3018"/>
      <c r="G7" s="3022" t="s">
        <v>301</v>
      </c>
      <c r="H7" s="3024" t="s">
        <v>251</v>
      </c>
      <c r="I7" s="3003"/>
      <c r="J7" s="3065"/>
      <c r="K7" s="3022" t="s">
        <v>304</v>
      </c>
      <c r="L7" s="3468" t="s">
        <v>340</v>
      </c>
      <c r="M7" s="3422" t="s">
        <v>341</v>
      </c>
      <c r="N7" s="3062"/>
    </row>
    <row r="8" spans="1:59" s="125" customFormat="1" ht="87.75" customHeight="1" thickBot="1" x14ac:dyDescent="0.25">
      <c r="A8" s="3461"/>
      <c r="B8" s="3464"/>
      <c r="C8" s="3467"/>
      <c r="D8" s="3013"/>
      <c r="E8" s="3016"/>
      <c r="F8" s="3019"/>
      <c r="G8" s="3023"/>
      <c r="H8" s="3025"/>
      <c r="I8" s="3004"/>
      <c r="J8" s="3066"/>
      <c r="K8" s="3023"/>
      <c r="L8" s="3469"/>
      <c r="M8" s="3423"/>
      <c r="N8" s="3063"/>
    </row>
    <row r="9" spans="1:59" s="874" customFormat="1" ht="15" customHeight="1" thickBot="1" x14ac:dyDescent="0.25">
      <c r="A9" s="3396">
        <v>1</v>
      </c>
      <c r="B9" s="3397"/>
      <c r="C9" s="1543">
        <v>2</v>
      </c>
      <c r="D9" s="1538">
        <v>3</v>
      </c>
      <c r="E9" s="1539">
        <v>4</v>
      </c>
      <c r="F9" s="1539">
        <v>5</v>
      </c>
      <c r="G9" s="1539">
        <v>6</v>
      </c>
      <c r="H9" s="1646">
        <v>7</v>
      </c>
      <c r="I9" s="1538">
        <v>8</v>
      </c>
      <c r="J9" s="1647">
        <v>9</v>
      </c>
      <c r="K9" s="1647">
        <v>10</v>
      </c>
      <c r="L9" s="1648">
        <v>11</v>
      </c>
      <c r="M9" s="1649">
        <v>12</v>
      </c>
      <c r="N9" s="1541">
        <v>13</v>
      </c>
    </row>
    <row r="10" spans="1:59" s="212" customFormat="1" ht="18" customHeight="1" thickBot="1" x14ac:dyDescent="0.25">
      <c r="A10" s="1544"/>
      <c r="B10" s="139" t="s">
        <v>189</v>
      </c>
      <c r="C10" s="204"/>
      <c r="D10" s="20">
        <f t="shared" ref="D10:H10" si="0">D11+D12</f>
        <v>165096833</v>
      </c>
      <c r="E10" s="19">
        <f t="shared" si="0"/>
        <v>51769676</v>
      </c>
      <c r="F10" s="19">
        <f t="shared" si="0"/>
        <v>24370661</v>
      </c>
      <c r="G10" s="19">
        <f t="shared" si="0"/>
        <v>42994020</v>
      </c>
      <c r="H10" s="19">
        <f t="shared" si="0"/>
        <v>45883659</v>
      </c>
      <c r="I10" s="20">
        <f t="shared" ref="I10" si="1">I11+I12</f>
        <v>85119122.230000004</v>
      </c>
      <c r="J10" s="94">
        <f t="shared" ref="J10:J23" si="2">I10/D10*100</f>
        <v>51.557089668703703</v>
      </c>
      <c r="K10" s="19">
        <f>K11+K12</f>
        <v>8978785.2299999986</v>
      </c>
      <c r="L10" s="94">
        <f t="shared" ref="L10:L23" si="3">K10/G10*100</f>
        <v>20.88380018895651</v>
      </c>
      <c r="M10" s="22">
        <f>+K10-G10*0.5</f>
        <v>-12518224.770000001</v>
      </c>
      <c r="N10" s="1545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</row>
    <row r="11" spans="1:59" s="212" customFormat="1" ht="15.75" customHeight="1" thickTop="1" x14ac:dyDescent="0.2">
      <c r="A11" s="649"/>
      <c r="B11" s="207" t="s">
        <v>190</v>
      </c>
      <c r="C11" s="208"/>
      <c r="D11" s="28">
        <f t="shared" ref="D11:H11" si="4">D25+D47+D69+D83</f>
        <v>140144060</v>
      </c>
      <c r="E11" s="27">
        <f t="shared" si="4"/>
        <v>50354944</v>
      </c>
      <c r="F11" s="27">
        <f t="shared" si="4"/>
        <v>18774864</v>
      </c>
      <c r="G11" s="27">
        <f t="shared" si="4"/>
        <v>25170903</v>
      </c>
      <c r="H11" s="27">
        <f t="shared" si="4"/>
        <v>45764532</v>
      </c>
      <c r="I11" s="28">
        <f t="shared" ref="I11" si="5">I25+I47+I69+I83</f>
        <v>78035611.790000007</v>
      </c>
      <c r="J11" s="95">
        <f t="shared" si="2"/>
        <v>55.682425491312301</v>
      </c>
      <c r="K11" s="27">
        <f>K25+K47+K69+K83</f>
        <v>8905803.7899999991</v>
      </c>
      <c r="L11" s="95">
        <f t="shared" si="3"/>
        <v>35.381344046337944</v>
      </c>
      <c r="M11" s="30">
        <f t="shared" ref="M11:M74" si="6">+K11-G11*0.5</f>
        <v>-3679647.7100000009</v>
      </c>
      <c r="N11" s="1545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</row>
    <row r="12" spans="1:59" s="212" customFormat="1" ht="15.75" customHeight="1" thickBot="1" x14ac:dyDescent="0.25">
      <c r="A12" s="649"/>
      <c r="B12" s="654" t="s">
        <v>191</v>
      </c>
      <c r="C12" s="655"/>
      <c r="D12" s="1546">
        <f t="shared" ref="D12:H12" si="7">D36+D58+D76+D94</f>
        <v>24952773</v>
      </c>
      <c r="E12" s="97">
        <f t="shared" si="7"/>
        <v>1414732</v>
      </c>
      <c r="F12" s="97">
        <f t="shared" si="7"/>
        <v>5595797</v>
      </c>
      <c r="G12" s="97">
        <f t="shared" si="7"/>
        <v>17823117</v>
      </c>
      <c r="H12" s="97">
        <f t="shared" si="7"/>
        <v>119127</v>
      </c>
      <c r="I12" s="1546">
        <f t="shared" ref="I12" si="8">I36+I58+I76+I94</f>
        <v>7083510.4400000004</v>
      </c>
      <c r="J12" s="99">
        <f t="shared" si="2"/>
        <v>28.387668336501122</v>
      </c>
      <c r="K12" s="97">
        <f>K36+K58+K76+K94</f>
        <v>72981.440000000002</v>
      </c>
      <c r="L12" s="99">
        <f t="shared" si="3"/>
        <v>0.40947629979649469</v>
      </c>
      <c r="M12" s="1547">
        <f t="shared" si="6"/>
        <v>-8838577.0600000005</v>
      </c>
      <c r="N12" s="1545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</row>
    <row r="13" spans="1:59" s="1549" customFormat="1" ht="13.5" customHeight="1" x14ac:dyDescent="0.2">
      <c r="A13" s="3419"/>
      <c r="B13" s="217" t="s">
        <v>3</v>
      </c>
      <c r="C13" s="218"/>
      <c r="D13" s="560">
        <f>+D14+D17</f>
        <v>165096833</v>
      </c>
      <c r="E13" s="562">
        <f t="shared" ref="E13:H13" si="9">+E14+E17</f>
        <v>51769676</v>
      </c>
      <c r="F13" s="562">
        <f t="shared" si="9"/>
        <v>24370661</v>
      </c>
      <c r="G13" s="562">
        <f t="shared" si="9"/>
        <v>42994020</v>
      </c>
      <c r="H13" s="562">
        <f t="shared" si="9"/>
        <v>45883659</v>
      </c>
      <c r="I13" s="616">
        <f t="shared" ref="I13" si="10">+I14+I17</f>
        <v>85119122.230000004</v>
      </c>
      <c r="J13" s="1548">
        <f t="shared" si="2"/>
        <v>51.557089668703703</v>
      </c>
      <c r="K13" s="564">
        <f>+K14+K17</f>
        <v>8978785.2299999986</v>
      </c>
      <c r="L13" s="1548">
        <f t="shared" si="3"/>
        <v>20.88380018895651</v>
      </c>
      <c r="M13" s="563">
        <f t="shared" si="6"/>
        <v>-12518224.770000001</v>
      </c>
      <c r="N13" s="3408" t="s">
        <v>89</v>
      </c>
    </row>
    <row r="14" spans="1:59" s="571" customFormat="1" ht="14.25" customHeight="1" x14ac:dyDescent="0.2">
      <c r="A14" s="3420"/>
      <c r="B14" s="565" t="s">
        <v>4</v>
      </c>
      <c r="C14" s="3384" t="s">
        <v>89</v>
      </c>
      <c r="D14" s="566">
        <f t="shared" ref="D14:H14" si="11">+D15+D16</f>
        <v>6829585</v>
      </c>
      <c r="E14" s="568">
        <f t="shared" si="11"/>
        <v>425138</v>
      </c>
      <c r="F14" s="568">
        <f t="shared" si="11"/>
        <v>1546508</v>
      </c>
      <c r="G14" s="568">
        <f t="shared" si="11"/>
        <v>4601879</v>
      </c>
      <c r="H14" s="568">
        <f t="shared" si="11"/>
        <v>249859</v>
      </c>
      <c r="I14" s="617">
        <f t="shared" ref="I14" si="12">+I15+I16</f>
        <v>2036307.37</v>
      </c>
      <c r="J14" s="1550">
        <f>I14/D14*100</f>
        <v>29.815975202007149</v>
      </c>
      <c r="K14" s="570">
        <f>+K15+K16</f>
        <v>64661.369999999995</v>
      </c>
      <c r="L14" s="1550">
        <f>K14/G14*100</f>
        <v>1.4051080004493817</v>
      </c>
      <c r="M14" s="569">
        <f>+K14-G14*0.5</f>
        <v>-2236278.13</v>
      </c>
      <c r="N14" s="3409"/>
      <c r="O14" s="130"/>
      <c r="P14" s="130"/>
      <c r="Q14" s="130"/>
      <c r="R14" s="130"/>
      <c r="S14" s="130"/>
    </row>
    <row r="15" spans="1:59" s="1552" customFormat="1" ht="13.5" customHeight="1" x14ac:dyDescent="0.2">
      <c r="A15" s="3420"/>
      <c r="B15" s="572" t="s">
        <v>5</v>
      </c>
      <c r="C15" s="3384"/>
      <c r="D15" s="573">
        <f t="shared" ref="D15:H15" si="13">D96</f>
        <v>5750000</v>
      </c>
      <c r="E15" s="575">
        <f t="shared" si="13"/>
        <v>9225</v>
      </c>
      <c r="F15" s="575">
        <f t="shared" si="13"/>
        <v>1343620</v>
      </c>
      <c r="G15" s="575">
        <f t="shared" si="13"/>
        <v>4397155</v>
      </c>
      <c r="H15" s="575">
        <f t="shared" si="13"/>
        <v>0</v>
      </c>
      <c r="I15" s="618">
        <f t="shared" ref="I15:K15" si="14">I96</f>
        <v>1371090.12</v>
      </c>
      <c r="J15" s="1551">
        <f t="shared" si="2"/>
        <v>23.845045565217394</v>
      </c>
      <c r="K15" s="577">
        <f t="shared" si="14"/>
        <v>18245.12</v>
      </c>
      <c r="L15" s="1551">
        <f t="shared" si="3"/>
        <v>0.41493010821769982</v>
      </c>
      <c r="M15" s="576">
        <f t="shared" si="6"/>
        <v>-2180332.38</v>
      </c>
      <c r="N15" s="3409"/>
    </row>
    <row r="16" spans="1:59" s="1552" customFormat="1" ht="12.75" customHeight="1" x14ac:dyDescent="0.2">
      <c r="A16" s="3420"/>
      <c r="B16" s="248" t="s">
        <v>8</v>
      </c>
      <c r="C16" s="3384"/>
      <c r="D16" s="573">
        <f t="shared" ref="D16:H16" si="15">D27+D38+D49+D60+D85</f>
        <v>1079585</v>
      </c>
      <c r="E16" s="575">
        <f t="shared" si="15"/>
        <v>415913</v>
      </c>
      <c r="F16" s="575">
        <f t="shared" si="15"/>
        <v>202888</v>
      </c>
      <c r="G16" s="575">
        <f t="shared" si="15"/>
        <v>204724</v>
      </c>
      <c r="H16" s="575">
        <f t="shared" si="15"/>
        <v>249859</v>
      </c>
      <c r="I16" s="618">
        <f t="shared" ref="I16:K16" si="16">I27+I38+I49+I60+I85</f>
        <v>665217.25</v>
      </c>
      <c r="J16" s="580">
        <f t="shared" si="2"/>
        <v>61.617867050764872</v>
      </c>
      <c r="K16" s="577">
        <f t="shared" si="16"/>
        <v>46416.25</v>
      </c>
      <c r="L16" s="580">
        <f t="shared" si="3"/>
        <v>22.672598229811843</v>
      </c>
      <c r="M16" s="576">
        <f t="shared" si="6"/>
        <v>-55945.75</v>
      </c>
      <c r="N16" s="3409"/>
    </row>
    <row r="17" spans="1:19" s="571" customFormat="1" ht="13.5" customHeight="1" x14ac:dyDescent="0.2">
      <c r="A17" s="3420"/>
      <c r="B17" s="442" t="s">
        <v>13</v>
      </c>
      <c r="C17" s="3384"/>
      <c r="D17" s="566">
        <f t="shared" ref="D17:I17" si="17">D18</f>
        <v>158267248</v>
      </c>
      <c r="E17" s="568">
        <f t="shared" si="17"/>
        <v>51344538</v>
      </c>
      <c r="F17" s="568">
        <f t="shared" si="17"/>
        <v>22824153</v>
      </c>
      <c r="G17" s="568">
        <f t="shared" si="17"/>
        <v>38392141</v>
      </c>
      <c r="H17" s="568">
        <f t="shared" si="17"/>
        <v>45633800</v>
      </c>
      <c r="I17" s="617">
        <f t="shared" si="17"/>
        <v>83082814.859999999</v>
      </c>
      <c r="J17" s="579">
        <f t="shared" si="2"/>
        <v>52.495267283601208</v>
      </c>
      <c r="K17" s="570">
        <f>K18</f>
        <v>8914123.8599999994</v>
      </c>
      <c r="L17" s="579">
        <f t="shared" si="3"/>
        <v>23.218616174596775</v>
      </c>
      <c r="M17" s="569">
        <f t="shared" si="6"/>
        <v>-10281946.640000001</v>
      </c>
      <c r="N17" s="3409"/>
      <c r="O17" s="448"/>
      <c r="P17" s="448"/>
      <c r="Q17" s="448"/>
      <c r="R17" s="448"/>
      <c r="S17" s="448"/>
    </row>
    <row r="18" spans="1:19" s="571" customFormat="1" ht="14.1" customHeight="1" x14ac:dyDescent="0.2">
      <c r="A18" s="3420"/>
      <c r="B18" s="1553" t="s">
        <v>15</v>
      </c>
      <c r="C18" s="3384"/>
      <c r="D18" s="573">
        <f t="shared" ref="D18:H18" si="18">D29+D40+D51+D62+D71+D78+D87+D98</f>
        <v>158267248</v>
      </c>
      <c r="E18" s="575">
        <f t="shared" si="18"/>
        <v>51344538</v>
      </c>
      <c r="F18" s="575">
        <f t="shared" si="18"/>
        <v>22824153</v>
      </c>
      <c r="G18" s="575">
        <f t="shared" si="18"/>
        <v>38392141</v>
      </c>
      <c r="H18" s="575">
        <f t="shared" si="18"/>
        <v>45633800</v>
      </c>
      <c r="I18" s="618">
        <f t="shared" ref="I18" si="19">I29+I40+I51+I62+I71+I78+I87+I98</f>
        <v>83082814.859999999</v>
      </c>
      <c r="J18" s="580">
        <f t="shared" si="2"/>
        <v>52.495267283601208</v>
      </c>
      <c r="K18" s="577">
        <f>K29+K40+K51+K62+K71+K78+K87+K98</f>
        <v>8914123.8599999994</v>
      </c>
      <c r="L18" s="580">
        <f t="shared" si="3"/>
        <v>23.218616174596775</v>
      </c>
      <c r="M18" s="576">
        <f t="shared" si="6"/>
        <v>-10281946.640000001</v>
      </c>
      <c r="N18" s="3409"/>
      <c r="O18" s="130"/>
      <c r="P18" s="130"/>
      <c r="Q18" s="130"/>
      <c r="R18" s="130"/>
      <c r="S18" s="130"/>
    </row>
    <row r="19" spans="1:19" s="571" customFormat="1" ht="14.1" customHeight="1" x14ac:dyDescent="0.2">
      <c r="A19" s="3420"/>
      <c r="B19" s="236" t="s">
        <v>17</v>
      </c>
      <c r="C19" s="1554"/>
      <c r="D19" s="1555">
        <f t="shared" ref="D19:H19" si="20">+D20+D22</f>
        <v>159346833</v>
      </c>
      <c r="E19" s="1556">
        <f t="shared" si="20"/>
        <v>51784838</v>
      </c>
      <c r="F19" s="1556">
        <f t="shared" si="20"/>
        <v>24007477</v>
      </c>
      <c r="G19" s="1556">
        <f t="shared" si="20"/>
        <v>44500011</v>
      </c>
      <c r="H19" s="1556">
        <f t="shared" si="20"/>
        <v>39023045</v>
      </c>
      <c r="I19" s="1557">
        <f t="shared" ref="I19:K19" si="21">+I20+I22</f>
        <v>85918969</v>
      </c>
      <c r="J19" s="1558">
        <f t="shared" si="2"/>
        <v>53.919470743419176</v>
      </c>
      <c r="K19" s="1559">
        <f t="shared" si="21"/>
        <v>10126654</v>
      </c>
      <c r="L19" s="1558">
        <f t="shared" si="3"/>
        <v>22.756520217489385</v>
      </c>
      <c r="M19" s="1560">
        <f t="shared" si="6"/>
        <v>-12123351.5</v>
      </c>
      <c r="N19" s="3409"/>
      <c r="O19" s="130"/>
      <c r="P19" s="130"/>
      <c r="Q19" s="130"/>
      <c r="R19" s="130"/>
      <c r="S19" s="130"/>
    </row>
    <row r="20" spans="1:19" s="571" customFormat="1" ht="13.5" customHeight="1" x14ac:dyDescent="0.2">
      <c r="A20" s="3420"/>
      <c r="B20" s="565" t="s">
        <v>4</v>
      </c>
      <c r="C20" s="3384" t="s">
        <v>89</v>
      </c>
      <c r="D20" s="566">
        <f t="shared" ref="D20:K20" si="22">D21</f>
        <v>1079585</v>
      </c>
      <c r="E20" s="568">
        <f t="shared" si="22"/>
        <v>405333</v>
      </c>
      <c r="F20" s="568">
        <f t="shared" si="22"/>
        <v>205441</v>
      </c>
      <c r="G20" s="568">
        <f t="shared" si="22"/>
        <v>204724</v>
      </c>
      <c r="H20" s="568">
        <f t="shared" si="22"/>
        <v>260439</v>
      </c>
      <c r="I20" s="617">
        <f t="shared" si="22"/>
        <v>651038</v>
      </c>
      <c r="J20" s="579">
        <f t="shared" si="2"/>
        <v>60.304468846825401</v>
      </c>
      <c r="K20" s="570">
        <f t="shared" si="22"/>
        <v>40264</v>
      </c>
      <c r="L20" s="579">
        <f t="shared" si="3"/>
        <v>19.667454719524823</v>
      </c>
      <c r="M20" s="569">
        <f t="shared" si="6"/>
        <v>-62098</v>
      </c>
      <c r="N20" s="3409"/>
      <c r="O20" s="130"/>
      <c r="P20" s="130"/>
      <c r="Q20" s="130"/>
      <c r="R20" s="130"/>
      <c r="S20" s="130"/>
    </row>
    <row r="21" spans="1:19" s="571" customFormat="1" ht="12" customHeight="1" x14ac:dyDescent="0.2">
      <c r="A21" s="3420"/>
      <c r="B21" s="248" t="s">
        <v>8</v>
      </c>
      <c r="C21" s="3384"/>
      <c r="D21" s="573">
        <f t="shared" ref="D21:H21" si="23">D32+D43+D54+D65+D90</f>
        <v>1079585</v>
      </c>
      <c r="E21" s="575">
        <f t="shared" si="23"/>
        <v>405333</v>
      </c>
      <c r="F21" s="575">
        <f t="shared" si="23"/>
        <v>205441</v>
      </c>
      <c r="G21" s="575">
        <f t="shared" si="23"/>
        <v>204724</v>
      </c>
      <c r="H21" s="575">
        <f t="shared" si="23"/>
        <v>260439</v>
      </c>
      <c r="I21" s="618">
        <f t="shared" ref="I21" si="24">I32+I43+I54+I65+I90</f>
        <v>651038</v>
      </c>
      <c r="J21" s="580">
        <f t="shared" si="2"/>
        <v>60.304468846825401</v>
      </c>
      <c r="K21" s="577">
        <f>K32+K43+K54+K65+K90</f>
        <v>40264</v>
      </c>
      <c r="L21" s="580">
        <f t="shared" si="3"/>
        <v>19.667454719524823</v>
      </c>
      <c r="M21" s="576">
        <f t="shared" si="6"/>
        <v>-62098</v>
      </c>
      <c r="N21" s="3409"/>
      <c r="O21" s="130"/>
      <c r="P21" s="130"/>
      <c r="Q21" s="130"/>
      <c r="R21" s="130"/>
      <c r="S21" s="130"/>
    </row>
    <row r="22" spans="1:19" s="571" customFormat="1" ht="14.1" customHeight="1" x14ac:dyDescent="0.2">
      <c r="A22" s="3420"/>
      <c r="B22" s="442" t="s">
        <v>13</v>
      </c>
      <c r="C22" s="3384"/>
      <c r="D22" s="566">
        <f t="shared" ref="D22:K22" si="25">D23</f>
        <v>158267248</v>
      </c>
      <c r="E22" s="568">
        <f t="shared" si="25"/>
        <v>51379505</v>
      </c>
      <c r="F22" s="568">
        <f t="shared" si="25"/>
        <v>23802036</v>
      </c>
      <c r="G22" s="568">
        <f t="shared" si="25"/>
        <v>44295287</v>
      </c>
      <c r="H22" s="568">
        <f t="shared" si="25"/>
        <v>38762606</v>
      </c>
      <c r="I22" s="617">
        <f t="shared" si="25"/>
        <v>85267931</v>
      </c>
      <c r="J22" s="580">
        <f t="shared" si="2"/>
        <v>53.875916892167098</v>
      </c>
      <c r="K22" s="570">
        <f t="shared" si="25"/>
        <v>10086390</v>
      </c>
      <c r="L22" s="580">
        <f t="shared" si="3"/>
        <v>22.770797263374771</v>
      </c>
      <c r="M22" s="569">
        <f t="shared" si="6"/>
        <v>-12061253.5</v>
      </c>
      <c r="N22" s="3409"/>
      <c r="O22" s="448"/>
      <c r="P22" s="448"/>
      <c r="Q22" s="448"/>
      <c r="R22" s="448"/>
      <c r="S22" s="448"/>
    </row>
    <row r="23" spans="1:19" s="571" customFormat="1" ht="13.5" thickBot="1" x14ac:dyDescent="0.25">
      <c r="A23" s="3421"/>
      <c r="B23" s="1561" t="s">
        <v>15</v>
      </c>
      <c r="C23" s="3385"/>
      <c r="D23" s="586">
        <f t="shared" ref="D23:H23" si="26">D34+D45+D56+D67+D74+D81+D92+D101</f>
        <v>158267248</v>
      </c>
      <c r="E23" s="588">
        <f t="shared" si="26"/>
        <v>51379505</v>
      </c>
      <c r="F23" s="588">
        <f t="shared" si="26"/>
        <v>23802036</v>
      </c>
      <c r="G23" s="588">
        <f t="shared" si="26"/>
        <v>44295287</v>
      </c>
      <c r="H23" s="588">
        <f t="shared" si="26"/>
        <v>38762606</v>
      </c>
      <c r="I23" s="619">
        <f t="shared" ref="I23" si="27">I34+I45+I56+I67+I74+I81+I92+I101</f>
        <v>85267931</v>
      </c>
      <c r="J23" s="580">
        <f t="shared" si="2"/>
        <v>53.875916892167098</v>
      </c>
      <c r="K23" s="589">
        <f>K34+K45+K56+K67+K74+K81+K92+K101</f>
        <v>10086390</v>
      </c>
      <c r="L23" s="580">
        <f t="shared" si="3"/>
        <v>22.770797263374771</v>
      </c>
      <c r="M23" s="1055">
        <f t="shared" si="6"/>
        <v>-12061253.5</v>
      </c>
      <c r="N23" s="3410"/>
      <c r="O23" s="130"/>
      <c r="P23" s="130"/>
      <c r="Q23" s="130"/>
      <c r="R23" s="130"/>
      <c r="S23" s="130"/>
    </row>
    <row r="24" spans="1:19" s="593" customFormat="1" ht="39.75" customHeight="1" x14ac:dyDescent="0.2">
      <c r="A24" s="3411" t="s">
        <v>33</v>
      </c>
      <c r="B24" s="620" t="s">
        <v>168</v>
      </c>
      <c r="C24" s="526" t="s">
        <v>198</v>
      </c>
      <c r="D24" s="1562"/>
      <c r="E24" s="1563"/>
      <c r="F24" s="1563"/>
      <c r="G24" s="1563"/>
      <c r="H24" s="1564"/>
      <c r="I24" s="1562"/>
      <c r="J24" s="1565"/>
      <c r="K24" s="1563"/>
      <c r="L24" s="1565"/>
      <c r="M24" s="1581"/>
      <c r="N24" s="3414" t="s">
        <v>169</v>
      </c>
    </row>
    <row r="25" spans="1:19" s="593" customFormat="1" ht="15" customHeight="1" x14ac:dyDescent="0.2">
      <c r="A25" s="3412"/>
      <c r="B25" s="236" t="s">
        <v>3</v>
      </c>
      <c r="C25" s="1568"/>
      <c r="D25" s="1557">
        <f t="shared" ref="D25:H25" si="28">+D26+D28</f>
        <v>5117038</v>
      </c>
      <c r="E25" s="1559">
        <f t="shared" si="28"/>
        <v>1550983</v>
      </c>
      <c r="F25" s="1559">
        <f t="shared" si="28"/>
        <v>851190</v>
      </c>
      <c r="G25" s="1559">
        <f t="shared" si="28"/>
        <v>1049145</v>
      </c>
      <c r="H25" s="1556">
        <f t="shared" si="28"/>
        <v>1665720</v>
      </c>
      <c r="I25" s="1557">
        <f>+K25+E25+F25</f>
        <v>2591807.79</v>
      </c>
      <c r="J25" s="1569">
        <f t="shared" ref="J25:J34" si="29">I25/D25*100</f>
        <v>50.650548031888768</v>
      </c>
      <c r="K25" s="1559">
        <f>+K26+K28</f>
        <v>189634.79</v>
      </c>
      <c r="L25" s="1569">
        <f t="shared" ref="L25:L34" si="30">K25/G25*100</f>
        <v>18.075174546892946</v>
      </c>
      <c r="M25" s="1560">
        <f t="shared" si="6"/>
        <v>-334937.70999999996</v>
      </c>
      <c r="N25" s="3415"/>
    </row>
    <row r="26" spans="1:19" s="593" customFormat="1" ht="15" customHeight="1" x14ac:dyDescent="0.2">
      <c r="A26" s="3412"/>
      <c r="B26" s="322" t="s">
        <v>18</v>
      </c>
      <c r="C26" s="3417" t="s">
        <v>158</v>
      </c>
      <c r="D26" s="2871">
        <f t="shared" ref="D26:H26" si="31">+D27</f>
        <v>767556</v>
      </c>
      <c r="E26" s="2085">
        <f t="shared" si="31"/>
        <v>232646</v>
      </c>
      <c r="F26" s="2085">
        <f t="shared" si="31"/>
        <v>127679</v>
      </c>
      <c r="G26" s="2085">
        <f t="shared" si="31"/>
        <v>157372</v>
      </c>
      <c r="H26" s="2872">
        <f t="shared" si="31"/>
        <v>249859</v>
      </c>
      <c r="I26" s="2871">
        <f t="shared" ref="I26:I89" si="32">+K26+E26+F26</f>
        <v>388770.25</v>
      </c>
      <c r="J26" s="1573">
        <f t="shared" si="29"/>
        <v>50.650408569537596</v>
      </c>
      <c r="K26" s="2085">
        <f>+K27</f>
        <v>28445.25</v>
      </c>
      <c r="L26" s="1573">
        <f t="shared" si="30"/>
        <v>18.075165849070991</v>
      </c>
      <c r="M26" s="2873">
        <f t="shared" si="6"/>
        <v>-50240.75</v>
      </c>
      <c r="N26" s="3415"/>
    </row>
    <row r="27" spans="1:19" s="593" customFormat="1" ht="15" customHeight="1" x14ac:dyDescent="0.2">
      <c r="A27" s="3412"/>
      <c r="B27" s="2874" t="s">
        <v>8</v>
      </c>
      <c r="C27" s="3282"/>
      <c r="D27" s="2059">
        <f>+E27+F27+G27+H27</f>
        <v>767556</v>
      </c>
      <c r="E27" s="2875">
        <f>27008+90621+115017</f>
        <v>232646</v>
      </c>
      <c r="F27" s="2875">
        <v>127679</v>
      </c>
      <c r="G27" s="2875">
        <v>157372</v>
      </c>
      <c r="H27" s="2876">
        <f>163136+86723</f>
        <v>249859</v>
      </c>
      <c r="I27" s="2595">
        <f t="shared" si="32"/>
        <v>388770.25</v>
      </c>
      <c r="J27" s="2877">
        <f t="shared" si="29"/>
        <v>50.650408569537596</v>
      </c>
      <c r="K27" s="2875">
        <v>28445.25</v>
      </c>
      <c r="L27" s="2877">
        <f t="shared" si="30"/>
        <v>18.075165849070991</v>
      </c>
      <c r="M27" s="2878">
        <f t="shared" si="6"/>
        <v>-50240.75</v>
      </c>
      <c r="N27" s="3415"/>
    </row>
    <row r="28" spans="1:19" s="593" customFormat="1" ht="15" customHeight="1" x14ac:dyDescent="0.2">
      <c r="A28" s="3412"/>
      <c r="B28" s="1577" t="s">
        <v>13</v>
      </c>
      <c r="C28" s="3282"/>
      <c r="D28" s="2879">
        <f>+D29</f>
        <v>4349482</v>
      </c>
      <c r="E28" s="2880">
        <f>+E29</f>
        <v>1318337</v>
      </c>
      <c r="F28" s="2880">
        <f>F29</f>
        <v>723511</v>
      </c>
      <c r="G28" s="2880">
        <f>G29</f>
        <v>891773</v>
      </c>
      <c r="H28" s="2881">
        <f>H29</f>
        <v>1415861</v>
      </c>
      <c r="I28" s="2879">
        <f t="shared" si="32"/>
        <v>2203037.54</v>
      </c>
      <c r="J28" s="621">
        <f t="shared" si="29"/>
        <v>50.650572642903228</v>
      </c>
      <c r="K28" s="2880">
        <f>K29</f>
        <v>161189.54</v>
      </c>
      <c r="L28" s="621">
        <f t="shared" si="30"/>
        <v>18.075176081805573</v>
      </c>
      <c r="M28" s="2882">
        <f t="shared" si="6"/>
        <v>-284696.95999999996</v>
      </c>
      <c r="N28" s="3415"/>
    </row>
    <row r="29" spans="1:19" s="593" customFormat="1" ht="15" customHeight="1" x14ac:dyDescent="0.2">
      <c r="A29" s="3412"/>
      <c r="B29" s="622" t="s">
        <v>15</v>
      </c>
      <c r="C29" s="3282"/>
      <c r="D29" s="2059">
        <f>+E29+F29+G29+H29</f>
        <v>4349482</v>
      </c>
      <c r="E29" s="2513">
        <f>153046+513525+651766</f>
        <v>1318337</v>
      </c>
      <c r="F29" s="2513">
        <v>723511</v>
      </c>
      <c r="G29" s="2513">
        <f>891773</f>
        <v>891773</v>
      </c>
      <c r="H29" s="2602">
        <f>924435+491426</f>
        <v>1415861</v>
      </c>
      <c r="I29" s="2595">
        <f t="shared" si="32"/>
        <v>2203037.54</v>
      </c>
      <c r="J29" s="2877">
        <f t="shared" si="29"/>
        <v>50.650572642903228</v>
      </c>
      <c r="K29" s="2513">
        <v>161189.54</v>
      </c>
      <c r="L29" s="2877">
        <f t="shared" si="30"/>
        <v>18.075176081805573</v>
      </c>
      <c r="M29" s="2603">
        <f t="shared" si="6"/>
        <v>-284696.95999999996</v>
      </c>
      <c r="N29" s="3415"/>
    </row>
    <row r="30" spans="1:19" s="593" customFormat="1" ht="15" customHeight="1" x14ac:dyDescent="0.2">
      <c r="A30" s="3104"/>
      <c r="B30" s="236" t="s">
        <v>17</v>
      </c>
      <c r="C30" s="623"/>
      <c r="D30" s="1557">
        <f>+D31+D33</f>
        <v>5117038</v>
      </c>
      <c r="E30" s="1559">
        <f>+E31+E33</f>
        <v>1550983</v>
      </c>
      <c r="F30" s="1559">
        <f>F31+F33</f>
        <v>851190</v>
      </c>
      <c r="G30" s="1559">
        <f>G31+G33</f>
        <v>1049145</v>
      </c>
      <c r="H30" s="1556">
        <f>H31+H33</f>
        <v>1665720</v>
      </c>
      <c r="I30" s="1557">
        <f t="shared" si="32"/>
        <v>2670602</v>
      </c>
      <c r="J30" s="1569">
        <f t="shared" si="29"/>
        <v>52.190388267587615</v>
      </c>
      <c r="K30" s="1559">
        <f>K31+K33</f>
        <v>268429</v>
      </c>
      <c r="L30" s="1569">
        <f t="shared" si="30"/>
        <v>25.585500574277148</v>
      </c>
      <c r="M30" s="1560">
        <f t="shared" si="6"/>
        <v>-256143.5</v>
      </c>
      <c r="N30" s="3415"/>
    </row>
    <row r="31" spans="1:19" s="593" customFormat="1" ht="15" customHeight="1" x14ac:dyDescent="0.2">
      <c r="A31" s="3104"/>
      <c r="B31" s="322" t="s">
        <v>18</v>
      </c>
      <c r="C31" s="3417" t="s">
        <v>158</v>
      </c>
      <c r="D31" s="2871">
        <f>+D32</f>
        <v>767556</v>
      </c>
      <c r="E31" s="2085">
        <f>+E32</f>
        <v>232646</v>
      </c>
      <c r="F31" s="2085">
        <f>F32</f>
        <v>127679</v>
      </c>
      <c r="G31" s="2085">
        <f>G32</f>
        <v>157372</v>
      </c>
      <c r="H31" s="2872">
        <f>H32</f>
        <v>249859</v>
      </c>
      <c r="I31" s="2871">
        <f t="shared" si="32"/>
        <v>400589</v>
      </c>
      <c r="J31" s="1573">
        <f t="shared" si="29"/>
        <v>52.190198500174581</v>
      </c>
      <c r="K31" s="2085">
        <f>K32</f>
        <v>40264</v>
      </c>
      <c r="L31" s="1573">
        <f t="shared" si="30"/>
        <v>25.585237526370637</v>
      </c>
      <c r="M31" s="2873">
        <f t="shared" si="6"/>
        <v>-38422</v>
      </c>
      <c r="N31" s="3415"/>
    </row>
    <row r="32" spans="1:19" s="593" customFormat="1" ht="15" customHeight="1" x14ac:dyDescent="0.2">
      <c r="A32" s="3104"/>
      <c r="B32" s="2874" t="s">
        <v>8</v>
      </c>
      <c r="C32" s="3282"/>
      <c r="D32" s="2059">
        <f>+E32+F32+G32+H32</f>
        <v>767556</v>
      </c>
      <c r="E32" s="2875">
        <f>27008+90621+115017</f>
        <v>232646</v>
      </c>
      <c r="F32" s="2875">
        <v>127679</v>
      </c>
      <c r="G32" s="2875">
        <v>157372</v>
      </c>
      <c r="H32" s="2876">
        <f>163136+86723</f>
        <v>249859</v>
      </c>
      <c r="I32" s="2595">
        <f t="shared" si="32"/>
        <v>400589</v>
      </c>
      <c r="J32" s="2877">
        <f t="shared" si="29"/>
        <v>52.190198500174581</v>
      </c>
      <c r="K32" s="2875">
        <v>40264</v>
      </c>
      <c r="L32" s="2877">
        <f t="shared" si="30"/>
        <v>25.585237526370637</v>
      </c>
      <c r="M32" s="2878">
        <f t="shared" si="6"/>
        <v>-38422</v>
      </c>
      <c r="N32" s="3415"/>
    </row>
    <row r="33" spans="1:14" s="593" customFormat="1" ht="15" customHeight="1" thickBot="1" x14ac:dyDescent="0.25">
      <c r="A33" s="3105"/>
      <c r="B33" s="1577" t="s">
        <v>13</v>
      </c>
      <c r="C33" s="3176"/>
      <c r="D33" s="2879">
        <f>+D34</f>
        <v>4349482</v>
      </c>
      <c r="E33" s="2880">
        <f>+E34</f>
        <v>1318337</v>
      </c>
      <c r="F33" s="2880">
        <f>F34</f>
        <v>723511</v>
      </c>
      <c r="G33" s="2880">
        <f>G34</f>
        <v>891773</v>
      </c>
      <c r="H33" s="2881">
        <f>H34</f>
        <v>1415861</v>
      </c>
      <c r="I33" s="2879">
        <f t="shared" si="32"/>
        <v>2270013</v>
      </c>
      <c r="J33" s="621">
        <f t="shared" si="29"/>
        <v>52.190421755970021</v>
      </c>
      <c r="K33" s="2880">
        <f>K34</f>
        <v>228165</v>
      </c>
      <c r="L33" s="621">
        <f t="shared" si="30"/>
        <v>25.585546994582703</v>
      </c>
      <c r="M33" s="2882">
        <f t="shared" si="6"/>
        <v>-217721.5</v>
      </c>
      <c r="N33" s="3415"/>
    </row>
    <row r="34" spans="1:14" s="593" customFormat="1" ht="13.5" thickBot="1" x14ac:dyDescent="0.25">
      <c r="A34" s="3413"/>
      <c r="B34" s="624" t="s">
        <v>15</v>
      </c>
      <c r="C34" s="3418"/>
      <c r="D34" s="2883">
        <f>+E34+F34+G34+H34</f>
        <v>4349482</v>
      </c>
      <c r="E34" s="2625">
        <f>153046+513525+651766</f>
        <v>1318337</v>
      </c>
      <c r="F34" s="2625">
        <v>723511</v>
      </c>
      <c r="G34" s="2625">
        <f>891773</f>
        <v>891773</v>
      </c>
      <c r="H34" s="2884">
        <f>924435+491426</f>
        <v>1415861</v>
      </c>
      <c r="I34" s="2885">
        <f t="shared" si="32"/>
        <v>2270013</v>
      </c>
      <c r="J34" s="2886">
        <f t="shared" si="29"/>
        <v>52.190421755970021</v>
      </c>
      <c r="K34" s="2625">
        <v>228165</v>
      </c>
      <c r="L34" s="2886">
        <f t="shared" si="30"/>
        <v>25.585546994582703</v>
      </c>
      <c r="M34" s="2887">
        <f t="shared" si="6"/>
        <v>-217721.5</v>
      </c>
      <c r="N34" s="3416"/>
    </row>
    <row r="35" spans="1:14" s="593" customFormat="1" ht="39.75" customHeight="1" x14ac:dyDescent="0.2">
      <c r="A35" s="3411">
        <v>2</v>
      </c>
      <c r="B35" s="620" t="s">
        <v>238</v>
      </c>
      <c r="C35" s="1865" t="s">
        <v>193</v>
      </c>
      <c r="D35" s="1562"/>
      <c r="E35" s="1563"/>
      <c r="F35" s="1563"/>
      <c r="G35" s="1563"/>
      <c r="H35" s="1581"/>
      <c r="I35" s="2888"/>
      <c r="J35" s="1565"/>
      <c r="K35" s="1563"/>
      <c r="L35" s="1565"/>
      <c r="M35" s="1581"/>
      <c r="N35" s="3414" t="s">
        <v>169</v>
      </c>
    </row>
    <row r="36" spans="1:14" s="593" customFormat="1" ht="12.75" customHeight="1" thickBot="1" x14ac:dyDescent="0.25">
      <c r="A36" s="3412"/>
      <c r="B36" s="236" t="s">
        <v>3</v>
      </c>
      <c r="C36" s="2889"/>
      <c r="D36" s="1557">
        <f t="shared" ref="D36:H36" si="33">+D37+D39</f>
        <v>283962</v>
      </c>
      <c r="E36" s="1559">
        <f t="shared" si="33"/>
        <v>283962</v>
      </c>
      <c r="F36" s="775">
        <f t="shared" si="33"/>
        <v>0</v>
      </c>
      <c r="G36" s="775">
        <f t="shared" si="33"/>
        <v>0</v>
      </c>
      <c r="H36" s="776">
        <f t="shared" si="33"/>
        <v>0</v>
      </c>
      <c r="I36" s="2890">
        <f t="shared" si="32"/>
        <v>283962</v>
      </c>
      <c r="J36" s="1569">
        <f t="shared" ref="J36:J45" si="34">I36/D36*100</f>
        <v>100</v>
      </c>
      <c r="K36" s="775">
        <f>+K37+K39</f>
        <v>0</v>
      </c>
      <c r="L36" s="775">
        <v>0</v>
      </c>
      <c r="M36" s="776">
        <f t="shared" si="6"/>
        <v>0</v>
      </c>
      <c r="N36" s="3415"/>
    </row>
    <row r="37" spans="1:14" s="593" customFormat="1" ht="12.75" customHeight="1" x14ac:dyDescent="0.2">
      <c r="A37" s="3412"/>
      <c r="B37" s="322" t="s">
        <v>18</v>
      </c>
      <c r="C37" s="3296" t="s">
        <v>158</v>
      </c>
      <c r="D37" s="2871">
        <f t="shared" ref="D37:H37" si="35">+D38</f>
        <v>42595</v>
      </c>
      <c r="E37" s="2085">
        <f t="shared" si="35"/>
        <v>42595</v>
      </c>
      <c r="F37" s="1571">
        <f t="shared" si="35"/>
        <v>0</v>
      </c>
      <c r="G37" s="1571">
        <f t="shared" si="35"/>
        <v>0</v>
      </c>
      <c r="H37" s="1574">
        <f t="shared" si="35"/>
        <v>0</v>
      </c>
      <c r="I37" s="2891">
        <f t="shared" si="32"/>
        <v>42595</v>
      </c>
      <c r="J37" s="1573">
        <f t="shared" si="34"/>
        <v>100</v>
      </c>
      <c r="K37" s="1571">
        <f>+K38</f>
        <v>0</v>
      </c>
      <c r="L37" s="1571">
        <v>0</v>
      </c>
      <c r="M37" s="1574">
        <f t="shared" si="6"/>
        <v>0</v>
      </c>
      <c r="N37" s="3414"/>
    </row>
    <row r="38" spans="1:14" s="593" customFormat="1" ht="12.75" customHeight="1" x14ac:dyDescent="0.2">
      <c r="A38" s="3412"/>
      <c r="B38" s="2874" t="s">
        <v>8</v>
      </c>
      <c r="C38" s="3289"/>
      <c r="D38" s="2059">
        <f>+E38+F38+G38+H38</f>
        <v>42595</v>
      </c>
      <c r="E38" s="2875">
        <v>42595</v>
      </c>
      <c r="F38" s="1575">
        <v>0</v>
      </c>
      <c r="G38" s="1575">
        <v>0</v>
      </c>
      <c r="H38" s="1576">
        <v>0</v>
      </c>
      <c r="I38" s="2892">
        <f t="shared" si="32"/>
        <v>42595</v>
      </c>
      <c r="J38" s="625">
        <f t="shared" si="34"/>
        <v>100</v>
      </c>
      <c r="K38" s="1575">
        <v>0</v>
      </c>
      <c r="L38" s="1575">
        <v>0</v>
      </c>
      <c r="M38" s="1576">
        <f t="shared" si="6"/>
        <v>0</v>
      </c>
      <c r="N38" s="3415"/>
    </row>
    <row r="39" spans="1:14" s="593" customFormat="1" ht="12.75" customHeight="1" x14ac:dyDescent="0.2">
      <c r="A39" s="3412"/>
      <c r="B39" s="1577" t="s">
        <v>13</v>
      </c>
      <c r="C39" s="3289"/>
      <c r="D39" s="2879">
        <f>+D40</f>
        <v>241367</v>
      </c>
      <c r="E39" s="2880">
        <f>+E40</f>
        <v>241367</v>
      </c>
      <c r="F39" s="1578">
        <f>F40</f>
        <v>0</v>
      </c>
      <c r="G39" s="1578">
        <f>G40</f>
        <v>0</v>
      </c>
      <c r="H39" s="1579">
        <f>H40</f>
        <v>0</v>
      </c>
      <c r="I39" s="2893">
        <f t="shared" si="32"/>
        <v>241367</v>
      </c>
      <c r="J39" s="621">
        <f t="shared" si="34"/>
        <v>100</v>
      </c>
      <c r="K39" s="1578">
        <f>K40</f>
        <v>0</v>
      </c>
      <c r="L39" s="1578">
        <v>0</v>
      </c>
      <c r="M39" s="1579">
        <f t="shared" si="6"/>
        <v>0</v>
      </c>
      <c r="N39" s="3415"/>
    </row>
    <row r="40" spans="1:14" s="593" customFormat="1" ht="12.75" customHeight="1" x14ac:dyDescent="0.2">
      <c r="A40" s="3412"/>
      <c r="B40" s="622" t="s">
        <v>15</v>
      </c>
      <c r="C40" s="3289"/>
      <c r="D40" s="2059">
        <f>+E40+F40+G40+H40</f>
        <v>241367</v>
      </c>
      <c r="E40" s="2513">
        <v>241367</v>
      </c>
      <c r="F40" s="293">
        <v>0</v>
      </c>
      <c r="G40" s="293">
        <v>0</v>
      </c>
      <c r="H40" s="1127">
        <v>0</v>
      </c>
      <c r="I40" s="2892">
        <f t="shared" si="32"/>
        <v>241367</v>
      </c>
      <c r="J40" s="625">
        <f t="shared" si="34"/>
        <v>100</v>
      </c>
      <c r="K40" s="293">
        <v>0</v>
      </c>
      <c r="L40" s="1575">
        <v>0</v>
      </c>
      <c r="M40" s="1127">
        <f t="shared" si="6"/>
        <v>0</v>
      </c>
      <c r="N40" s="3415"/>
    </row>
    <row r="41" spans="1:14" s="593" customFormat="1" ht="12.75" customHeight="1" x14ac:dyDescent="0.2">
      <c r="A41" s="3104"/>
      <c r="B41" s="236" t="s">
        <v>17</v>
      </c>
      <c r="C41" s="2894"/>
      <c r="D41" s="1557">
        <f>+D42+D44</f>
        <v>283962</v>
      </c>
      <c r="E41" s="1559">
        <f>+E42+E44</f>
        <v>283962</v>
      </c>
      <c r="F41" s="775">
        <f>F42+F44</f>
        <v>0</v>
      </c>
      <c r="G41" s="775">
        <f>G42+G44</f>
        <v>0</v>
      </c>
      <c r="H41" s="776">
        <f>H42+H44</f>
        <v>0</v>
      </c>
      <c r="I41" s="2890">
        <f t="shared" si="32"/>
        <v>283962</v>
      </c>
      <c r="J41" s="1569">
        <f t="shared" si="34"/>
        <v>100</v>
      </c>
      <c r="K41" s="775">
        <f>K42+K44</f>
        <v>0</v>
      </c>
      <c r="L41" s="775">
        <v>0</v>
      </c>
      <c r="M41" s="776">
        <f t="shared" si="6"/>
        <v>0</v>
      </c>
      <c r="N41" s="3415"/>
    </row>
    <row r="42" spans="1:14" s="593" customFormat="1" ht="12.75" customHeight="1" x14ac:dyDescent="0.2">
      <c r="A42" s="3476"/>
      <c r="B42" s="2895" t="s">
        <v>18</v>
      </c>
      <c r="C42" s="3417" t="s">
        <v>158</v>
      </c>
      <c r="D42" s="2871">
        <f>+D43</f>
        <v>42595</v>
      </c>
      <c r="E42" s="2085">
        <f>+E43</f>
        <v>42595</v>
      </c>
      <c r="F42" s="1571">
        <f>F43</f>
        <v>0</v>
      </c>
      <c r="G42" s="1571">
        <f>G43</f>
        <v>0</v>
      </c>
      <c r="H42" s="1574">
        <f>H43</f>
        <v>0</v>
      </c>
      <c r="I42" s="2891">
        <f t="shared" si="32"/>
        <v>42595</v>
      </c>
      <c r="J42" s="1573">
        <f t="shared" si="34"/>
        <v>100</v>
      </c>
      <c r="K42" s="1571">
        <f>K43</f>
        <v>0</v>
      </c>
      <c r="L42" s="1571">
        <v>0</v>
      </c>
      <c r="M42" s="1574">
        <f t="shared" si="6"/>
        <v>0</v>
      </c>
      <c r="N42" s="3415"/>
    </row>
    <row r="43" spans="1:14" s="593" customFormat="1" ht="12.75" customHeight="1" x14ac:dyDescent="0.2">
      <c r="A43" s="3104"/>
      <c r="B43" s="2896" t="s">
        <v>8</v>
      </c>
      <c r="C43" s="3282"/>
      <c r="D43" s="2059">
        <f>+E43+F43+G43+H43</f>
        <v>42595</v>
      </c>
      <c r="E43" s="2875">
        <v>42595</v>
      </c>
      <c r="F43" s="1575">
        <v>0</v>
      </c>
      <c r="G43" s="1575">
        <v>0</v>
      </c>
      <c r="H43" s="1576">
        <v>0</v>
      </c>
      <c r="I43" s="2892">
        <f t="shared" si="32"/>
        <v>42595</v>
      </c>
      <c r="J43" s="625">
        <f t="shared" si="34"/>
        <v>100</v>
      </c>
      <c r="K43" s="1575">
        <v>0</v>
      </c>
      <c r="L43" s="1575">
        <v>0</v>
      </c>
      <c r="M43" s="1576">
        <f t="shared" si="6"/>
        <v>0</v>
      </c>
      <c r="N43" s="3415"/>
    </row>
    <row r="44" spans="1:14" s="593" customFormat="1" ht="12.75" customHeight="1" x14ac:dyDescent="0.2">
      <c r="A44" s="3104"/>
      <c r="B44" s="1981" t="s">
        <v>13</v>
      </c>
      <c r="C44" s="3282"/>
      <c r="D44" s="2879">
        <f>+D45</f>
        <v>241367</v>
      </c>
      <c r="E44" s="2880">
        <f>+E45</f>
        <v>241367</v>
      </c>
      <c r="F44" s="1578">
        <f>F45</f>
        <v>0</v>
      </c>
      <c r="G44" s="1578">
        <f>G45</f>
        <v>0</v>
      </c>
      <c r="H44" s="1579">
        <f>H45</f>
        <v>0</v>
      </c>
      <c r="I44" s="2893">
        <f t="shared" si="32"/>
        <v>241367</v>
      </c>
      <c r="J44" s="621">
        <f t="shared" si="34"/>
        <v>100</v>
      </c>
      <c r="K44" s="1578">
        <f>K45</f>
        <v>0</v>
      </c>
      <c r="L44" s="1487"/>
      <c r="M44" s="1579">
        <f t="shared" si="6"/>
        <v>0</v>
      </c>
      <c r="N44" s="3415"/>
    </row>
    <row r="45" spans="1:14" s="593" customFormat="1" ht="12.75" customHeight="1" thickBot="1" x14ac:dyDescent="0.25">
      <c r="A45" s="3103"/>
      <c r="B45" s="2790" t="s">
        <v>15</v>
      </c>
      <c r="C45" s="3283"/>
      <c r="D45" s="2883">
        <f>+E45+F45+G45+H45</f>
        <v>241367</v>
      </c>
      <c r="E45" s="2625">
        <v>241367</v>
      </c>
      <c r="F45" s="318">
        <v>0</v>
      </c>
      <c r="G45" s="318">
        <v>0</v>
      </c>
      <c r="H45" s="1128">
        <v>0</v>
      </c>
      <c r="I45" s="2897">
        <f t="shared" si="32"/>
        <v>241367</v>
      </c>
      <c r="J45" s="628">
        <f t="shared" si="34"/>
        <v>100</v>
      </c>
      <c r="K45" s="318">
        <v>0</v>
      </c>
      <c r="L45" s="1825"/>
      <c r="M45" s="1128">
        <f t="shared" si="6"/>
        <v>0</v>
      </c>
      <c r="N45" s="3477"/>
    </row>
    <row r="46" spans="1:14" s="593" customFormat="1" ht="68.25" customHeight="1" x14ac:dyDescent="0.2">
      <c r="A46" s="3411" t="s">
        <v>41</v>
      </c>
      <c r="B46" s="620" t="s">
        <v>170</v>
      </c>
      <c r="C46" s="526" t="s">
        <v>198</v>
      </c>
      <c r="D46" s="1562"/>
      <c r="E46" s="1563"/>
      <c r="F46" s="1563"/>
      <c r="G46" s="1563"/>
      <c r="H46" s="1564"/>
      <c r="I46" s="1562"/>
      <c r="J46" s="1565"/>
      <c r="K46" s="1566"/>
      <c r="L46" s="1566"/>
      <c r="M46" s="1567"/>
      <c r="N46" s="3445" t="s">
        <v>171</v>
      </c>
    </row>
    <row r="47" spans="1:14" s="593" customFormat="1" ht="12.75" customHeight="1" x14ac:dyDescent="0.2">
      <c r="A47" s="3412"/>
      <c r="B47" s="236" t="s">
        <v>3</v>
      </c>
      <c r="C47" s="1568"/>
      <c r="D47" s="1557">
        <f t="shared" ref="D47:H47" si="36">+D48+D50</f>
        <v>2590722</v>
      </c>
      <c r="E47" s="1559">
        <f t="shared" si="36"/>
        <v>2035111</v>
      </c>
      <c r="F47" s="1559">
        <f t="shared" si="36"/>
        <v>555611</v>
      </c>
      <c r="G47" s="775">
        <f t="shared" si="36"/>
        <v>0</v>
      </c>
      <c r="H47" s="1158">
        <f t="shared" si="36"/>
        <v>0</v>
      </c>
      <c r="I47" s="1557">
        <f t="shared" si="32"/>
        <v>2590722</v>
      </c>
      <c r="J47" s="1569">
        <f t="shared" ref="J47:J56" si="37">I47/D47*100</f>
        <v>100</v>
      </c>
      <c r="K47" s="775">
        <f>+K48+K50</f>
        <v>0</v>
      </c>
      <c r="L47" s="775">
        <f>+L48+L50</f>
        <v>0</v>
      </c>
      <c r="M47" s="1570">
        <f t="shared" si="6"/>
        <v>0</v>
      </c>
      <c r="N47" s="3440"/>
    </row>
    <row r="48" spans="1:14" s="593" customFormat="1" ht="12.75" customHeight="1" x14ac:dyDescent="0.2">
      <c r="A48" s="3412"/>
      <c r="B48" s="322" t="s">
        <v>18</v>
      </c>
      <c r="C48" s="3417" t="s">
        <v>158</v>
      </c>
      <c r="D48" s="2871">
        <f t="shared" ref="D48:H48" si="38">+D49</f>
        <v>116842</v>
      </c>
      <c r="E48" s="2085">
        <f t="shared" si="38"/>
        <v>91784</v>
      </c>
      <c r="F48" s="2085">
        <f t="shared" si="38"/>
        <v>25058</v>
      </c>
      <c r="G48" s="1571">
        <f t="shared" si="38"/>
        <v>0</v>
      </c>
      <c r="H48" s="1572">
        <f t="shared" si="38"/>
        <v>0</v>
      </c>
      <c r="I48" s="2871">
        <f t="shared" si="32"/>
        <v>116842</v>
      </c>
      <c r="J48" s="1573">
        <f t="shared" si="37"/>
        <v>100</v>
      </c>
      <c r="K48" s="1571">
        <f>+K49</f>
        <v>0</v>
      </c>
      <c r="L48" s="1572">
        <v>0</v>
      </c>
      <c r="M48" s="1574">
        <f t="shared" si="6"/>
        <v>0</v>
      </c>
      <c r="N48" s="3440"/>
    </row>
    <row r="49" spans="1:14" s="593" customFormat="1" ht="12.75" customHeight="1" x14ac:dyDescent="0.2">
      <c r="A49" s="3412"/>
      <c r="B49" s="627" t="s">
        <v>8</v>
      </c>
      <c r="C49" s="3282"/>
      <c r="D49" s="2059">
        <f>+E49+F49+G49+H49</f>
        <v>116842</v>
      </c>
      <c r="E49" s="2875">
        <f>33711+58073</f>
        <v>91784</v>
      </c>
      <c r="F49" s="2875">
        <v>25058</v>
      </c>
      <c r="G49" s="1575">
        <v>0</v>
      </c>
      <c r="H49" s="1124">
        <v>0</v>
      </c>
      <c r="I49" s="2059">
        <f t="shared" si="32"/>
        <v>116842</v>
      </c>
      <c r="J49" s="625">
        <f t="shared" si="37"/>
        <v>100</v>
      </c>
      <c r="K49" s="1575">
        <v>0</v>
      </c>
      <c r="L49" s="1124">
        <v>0</v>
      </c>
      <c r="M49" s="1576">
        <f t="shared" si="6"/>
        <v>0</v>
      </c>
      <c r="N49" s="3440"/>
    </row>
    <row r="50" spans="1:14" s="593" customFormat="1" ht="12.75" customHeight="1" x14ac:dyDescent="0.2">
      <c r="A50" s="3412"/>
      <c r="B50" s="1577" t="s">
        <v>13</v>
      </c>
      <c r="C50" s="3282"/>
      <c r="D50" s="2879">
        <f>+D51</f>
        <v>2473880</v>
      </c>
      <c r="E50" s="2880">
        <f>+E51</f>
        <v>1943327</v>
      </c>
      <c r="F50" s="2880">
        <f>F51</f>
        <v>530553</v>
      </c>
      <c r="G50" s="1578">
        <f>G51</f>
        <v>0</v>
      </c>
      <c r="H50" s="1125">
        <f>H51</f>
        <v>0</v>
      </c>
      <c r="I50" s="2879">
        <f t="shared" si="32"/>
        <v>2473880</v>
      </c>
      <c r="J50" s="621">
        <f t="shared" si="37"/>
        <v>100</v>
      </c>
      <c r="K50" s="1578">
        <f>K51</f>
        <v>0</v>
      </c>
      <c r="L50" s="1125">
        <v>0</v>
      </c>
      <c r="M50" s="1579">
        <f t="shared" si="6"/>
        <v>0</v>
      </c>
      <c r="N50" s="3440"/>
    </row>
    <row r="51" spans="1:14" s="593" customFormat="1" ht="12.75" customHeight="1" x14ac:dyDescent="0.2">
      <c r="A51" s="3412"/>
      <c r="B51" s="622" t="s">
        <v>15</v>
      </c>
      <c r="C51" s="3282"/>
      <c r="D51" s="2059">
        <f>+E51+F51+G51+H51</f>
        <v>2473880</v>
      </c>
      <c r="E51" s="2513">
        <f>713747+1229580</f>
        <v>1943327</v>
      </c>
      <c r="F51" s="2513">
        <v>530553</v>
      </c>
      <c r="G51" s="293">
        <v>0</v>
      </c>
      <c r="H51" s="900">
        <v>0</v>
      </c>
      <c r="I51" s="2059">
        <f t="shared" si="32"/>
        <v>2473880</v>
      </c>
      <c r="J51" s="625">
        <f t="shared" si="37"/>
        <v>100</v>
      </c>
      <c r="K51" s="293">
        <v>0</v>
      </c>
      <c r="L51" s="1124">
        <v>0</v>
      </c>
      <c r="M51" s="1127">
        <f t="shared" si="6"/>
        <v>0</v>
      </c>
      <c r="N51" s="3440"/>
    </row>
    <row r="52" spans="1:14" s="593" customFormat="1" ht="12.75" customHeight="1" x14ac:dyDescent="0.2">
      <c r="A52" s="3104"/>
      <c r="B52" s="236" t="s">
        <v>17</v>
      </c>
      <c r="C52" s="623"/>
      <c r="D52" s="1557">
        <f>+D53+D55</f>
        <v>2590722</v>
      </c>
      <c r="E52" s="1559">
        <f>+E53+E55</f>
        <v>2154266</v>
      </c>
      <c r="F52" s="1559">
        <f>F53+F55</f>
        <v>436456</v>
      </c>
      <c r="G52" s="775">
        <f>G53+G55</f>
        <v>0</v>
      </c>
      <c r="H52" s="1158">
        <f>H53+H55</f>
        <v>0</v>
      </c>
      <c r="I52" s="1557">
        <f t="shared" si="32"/>
        <v>2590722</v>
      </c>
      <c r="J52" s="1569">
        <f t="shared" si="37"/>
        <v>100</v>
      </c>
      <c r="K52" s="775">
        <f>K53+K55</f>
        <v>0</v>
      </c>
      <c r="L52" s="1158">
        <v>0</v>
      </c>
      <c r="M52" s="776">
        <f t="shared" si="6"/>
        <v>0</v>
      </c>
      <c r="N52" s="3440"/>
    </row>
    <row r="53" spans="1:14" s="593" customFormat="1" ht="12.75" customHeight="1" x14ac:dyDescent="0.2">
      <c r="A53" s="3104"/>
      <c r="B53" s="322" t="s">
        <v>18</v>
      </c>
      <c r="C53" s="3417" t="s">
        <v>158</v>
      </c>
      <c r="D53" s="2871">
        <f>+D54</f>
        <v>116842</v>
      </c>
      <c r="E53" s="2085">
        <f>+E54</f>
        <v>91784</v>
      </c>
      <c r="F53" s="2085">
        <f>F54</f>
        <v>25058</v>
      </c>
      <c r="G53" s="1571">
        <f>G54</f>
        <v>0</v>
      </c>
      <c r="H53" s="1572">
        <f>H54</f>
        <v>0</v>
      </c>
      <c r="I53" s="2871">
        <f t="shared" si="32"/>
        <v>116842</v>
      </c>
      <c r="J53" s="1573">
        <f t="shared" si="37"/>
        <v>100</v>
      </c>
      <c r="K53" s="1571">
        <f>K54</f>
        <v>0</v>
      </c>
      <c r="L53" s="1572">
        <v>0</v>
      </c>
      <c r="M53" s="1574">
        <f t="shared" si="6"/>
        <v>0</v>
      </c>
      <c r="N53" s="3440"/>
    </row>
    <row r="54" spans="1:14" s="593" customFormat="1" ht="12.75" customHeight="1" x14ac:dyDescent="0.2">
      <c r="A54" s="3104"/>
      <c r="B54" s="627" t="s">
        <v>8</v>
      </c>
      <c r="C54" s="3282"/>
      <c r="D54" s="2059">
        <f>+E54+F54+G54+H54</f>
        <v>116842</v>
      </c>
      <c r="E54" s="2875">
        <f>33711+58073</f>
        <v>91784</v>
      </c>
      <c r="F54" s="2875">
        <v>25058</v>
      </c>
      <c r="G54" s="1575">
        <v>0</v>
      </c>
      <c r="H54" s="1124">
        <v>0</v>
      </c>
      <c r="I54" s="2059">
        <f t="shared" si="32"/>
        <v>116842</v>
      </c>
      <c r="J54" s="625">
        <f t="shared" si="37"/>
        <v>100</v>
      </c>
      <c r="K54" s="1575">
        <v>0</v>
      </c>
      <c r="L54" s="1124">
        <v>0</v>
      </c>
      <c r="M54" s="1576">
        <f t="shared" si="6"/>
        <v>0</v>
      </c>
      <c r="N54" s="3440"/>
    </row>
    <row r="55" spans="1:14" s="593" customFormat="1" ht="12.75" customHeight="1" x14ac:dyDescent="0.2">
      <c r="A55" s="3104"/>
      <c r="B55" s="1577" t="s">
        <v>13</v>
      </c>
      <c r="C55" s="3282"/>
      <c r="D55" s="2879">
        <f>+D56</f>
        <v>2473880</v>
      </c>
      <c r="E55" s="2880">
        <f>+E56</f>
        <v>2062482</v>
      </c>
      <c r="F55" s="2880">
        <f>F56</f>
        <v>411398</v>
      </c>
      <c r="G55" s="1578">
        <f>G56</f>
        <v>0</v>
      </c>
      <c r="H55" s="1125">
        <f>H56</f>
        <v>0</v>
      </c>
      <c r="I55" s="2879">
        <f t="shared" si="32"/>
        <v>2473880</v>
      </c>
      <c r="J55" s="621">
        <f t="shared" si="37"/>
        <v>100</v>
      </c>
      <c r="K55" s="1578">
        <f>K56</f>
        <v>0</v>
      </c>
      <c r="L55" s="1125">
        <v>0</v>
      </c>
      <c r="M55" s="1579">
        <f t="shared" si="6"/>
        <v>0</v>
      </c>
      <c r="N55" s="3440"/>
    </row>
    <row r="56" spans="1:14" s="593" customFormat="1" ht="12.75" customHeight="1" thickBot="1" x14ac:dyDescent="0.25">
      <c r="A56" s="3103"/>
      <c r="B56" s="624" t="s">
        <v>15</v>
      </c>
      <c r="C56" s="3283"/>
      <c r="D56" s="2883">
        <f>+E56+F56+G56+H56</f>
        <v>2473880</v>
      </c>
      <c r="E56" s="2625">
        <f>1066855+995627</f>
        <v>2062482</v>
      </c>
      <c r="F56" s="2625">
        <v>411398</v>
      </c>
      <c r="G56" s="318">
        <v>0</v>
      </c>
      <c r="H56" s="901">
        <v>0</v>
      </c>
      <c r="I56" s="2883">
        <f t="shared" si="32"/>
        <v>2473880</v>
      </c>
      <c r="J56" s="628">
        <f t="shared" si="37"/>
        <v>100</v>
      </c>
      <c r="K56" s="318">
        <v>0</v>
      </c>
      <c r="L56" s="1123">
        <v>0</v>
      </c>
      <c r="M56" s="1128">
        <f t="shared" si="6"/>
        <v>0</v>
      </c>
      <c r="N56" s="3441"/>
    </row>
    <row r="57" spans="1:14" s="593" customFormat="1" ht="61.5" customHeight="1" x14ac:dyDescent="0.2">
      <c r="A57" s="3470" t="s">
        <v>42</v>
      </c>
      <c r="B57" s="620" t="s">
        <v>239</v>
      </c>
      <c r="C57" s="526" t="s">
        <v>193</v>
      </c>
      <c r="D57" s="1562"/>
      <c r="E57" s="1563"/>
      <c r="F57" s="1563"/>
      <c r="G57" s="1563"/>
      <c r="H57" s="1564"/>
      <c r="I57" s="1562"/>
      <c r="J57" s="1565"/>
      <c r="K57" s="1563"/>
      <c r="L57" s="1580"/>
      <c r="M57" s="1581"/>
      <c r="N57" s="3472" t="s">
        <v>171</v>
      </c>
    </row>
    <row r="58" spans="1:14" s="593" customFormat="1" ht="12.75" customHeight="1" x14ac:dyDescent="0.2">
      <c r="A58" s="3471"/>
      <c r="B58" s="236" t="s">
        <v>3</v>
      </c>
      <c r="C58" s="1568"/>
      <c r="D58" s="1557">
        <f t="shared" ref="D58:H58" si="39">+D59+D61</f>
        <v>215044</v>
      </c>
      <c r="E58" s="1559">
        <f t="shared" si="39"/>
        <v>215044</v>
      </c>
      <c r="F58" s="775">
        <f t="shared" si="39"/>
        <v>0</v>
      </c>
      <c r="G58" s="775">
        <f t="shared" si="39"/>
        <v>0</v>
      </c>
      <c r="H58" s="1158">
        <f t="shared" si="39"/>
        <v>0</v>
      </c>
      <c r="I58" s="1557">
        <f t="shared" si="32"/>
        <v>215044</v>
      </c>
      <c r="J58" s="1569">
        <f t="shared" ref="J58:J67" si="40">I58/D58*100</f>
        <v>100</v>
      </c>
      <c r="K58" s="775">
        <f>+K59+K61</f>
        <v>0</v>
      </c>
      <c r="L58" s="2673">
        <v>0</v>
      </c>
      <c r="M58" s="776">
        <f t="shared" si="6"/>
        <v>0</v>
      </c>
      <c r="N58" s="3440"/>
    </row>
    <row r="59" spans="1:14" s="593" customFormat="1" ht="12.75" customHeight="1" thickBot="1" x14ac:dyDescent="0.25">
      <c r="A59" s="3471"/>
      <c r="B59" s="2787" t="s">
        <v>18</v>
      </c>
      <c r="C59" s="3474" t="s">
        <v>158</v>
      </c>
      <c r="D59" s="2898">
        <f t="shared" ref="D59:H59" si="41">+D60</f>
        <v>9698</v>
      </c>
      <c r="E59" s="2899">
        <f t="shared" si="41"/>
        <v>9698</v>
      </c>
      <c r="F59" s="2900">
        <f t="shared" si="41"/>
        <v>0</v>
      </c>
      <c r="G59" s="2900">
        <f t="shared" si="41"/>
        <v>0</v>
      </c>
      <c r="H59" s="1572">
        <f t="shared" si="41"/>
        <v>0</v>
      </c>
      <c r="I59" s="2871">
        <f t="shared" si="32"/>
        <v>9698</v>
      </c>
      <c r="J59" s="1573">
        <f t="shared" si="40"/>
        <v>100</v>
      </c>
      <c r="K59" s="1571">
        <f>+K60</f>
        <v>0</v>
      </c>
      <c r="L59" s="2674">
        <v>0</v>
      </c>
      <c r="M59" s="1574">
        <f t="shared" si="6"/>
        <v>0</v>
      </c>
      <c r="N59" s="3441"/>
    </row>
    <row r="60" spans="1:14" s="593" customFormat="1" ht="12.75" customHeight="1" x14ac:dyDescent="0.2">
      <c r="A60" s="3471"/>
      <c r="B60" s="2788" t="s">
        <v>8</v>
      </c>
      <c r="C60" s="3475"/>
      <c r="D60" s="2059">
        <f>+E60+F60+G60+H60</f>
        <v>9698</v>
      </c>
      <c r="E60" s="2875">
        <v>9698</v>
      </c>
      <c r="F60" s="1575">
        <v>0</v>
      </c>
      <c r="G60" s="1575">
        <v>0</v>
      </c>
      <c r="H60" s="2671">
        <v>0</v>
      </c>
      <c r="I60" s="2059">
        <f t="shared" si="32"/>
        <v>9698</v>
      </c>
      <c r="J60" s="625">
        <f t="shared" si="40"/>
        <v>100</v>
      </c>
      <c r="K60" s="1575">
        <v>0</v>
      </c>
      <c r="L60" s="2671">
        <v>0</v>
      </c>
      <c r="M60" s="1576">
        <f t="shared" si="6"/>
        <v>0</v>
      </c>
      <c r="N60" s="3439"/>
    </row>
    <row r="61" spans="1:14" s="593" customFormat="1" ht="12.75" customHeight="1" x14ac:dyDescent="0.2">
      <c r="A61" s="3471"/>
      <c r="B61" s="1981" t="s">
        <v>13</v>
      </c>
      <c r="C61" s="3282"/>
      <c r="D61" s="2879">
        <f>+D62</f>
        <v>205346</v>
      </c>
      <c r="E61" s="2880">
        <f>+E62</f>
        <v>205346</v>
      </c>
      <c r="F61" s="1578">
        <f>F62</f>
        <v>0</v>
      </c>
      <c r="G61" s="1578">
        <f>G62</f>
        <v>0</v>
      </c>
      <c r="H61" s="2672">
        <f>H62</f>
        <v>0</v>
      </c>
      <c r="I61" s="2879">
        <f t="shared" si="32"/>
        <v>205346</v>
      </c>
      <c r="J61" s="621">
        <f t="shared" si="40"/>
        <v>100</v>
      </c>
      <c r="K61" s="1578">
        <f>K62</f>
        <v>0</v>
      </c>
      <c r="L61" s="2672">
        <v>0</v>
      </c>
      <c r="M61" s="1579">
        <f t="shared" si="6"/>
        <v>0</v>
      </c>
      <c r="N61" s="3440"/>
    </row>
    <row r="62" spans="1:14" s="593" customFormat="1" ht="12.75" customHeight="1" x14ac:dyDescent="0.2">
      <c r="A62" s="3471"/>
      <c r="B62" s="2789" t="s">
        <v>15</v>
      </c>
      <c r="C62" s="3282"/>
      <c r="D62" s="2059">
        <f>+E62+F62+G62+H62</f>
        <v>205346</v>
      </c>
      <c r="E62" s="2513">
        <v>205346</v>
      </c>
      <c r="F62" s="293">
        <v>0</v>
      </c>
      <c r="G62" s="293">
        <v>0</v>
      </c>
      <c r="H62" s="2901">
        <v>0</v>
      </c>
      <c r="I62" s="2059">
        <f t="shared" si="32"/>
        <v>205346</v>
      </c>
      <c r="J62" s="625">
        <f t="shared" si="40"/>
        <v>100</v>
      </c>
      <c r="K62" s="293">
        <v>0</v>
      </c>
      <c r="L62" s="2671">
        <v>0</v>
      </c>
      <c r="M62" s="1127">
        <f t="shared" si="6"/>
        <v>0</v>
      </c>
      <c r="N62" s="3440"/>
    </row>
    <row r="63" spans="1:14" s="593" customFormat="1" ht="12.75" customHeight="1" thickBot="1" x14ac:dyDescent="0.25">
      <c r="A63" s="3096"/>
      <c r="B63" s="1969" t="s">
        <v>17</v>
      </c>
      <c r="C63" s="623"/>
      <c r="D63" s="1557">
        <f>+D64+D66</f>
        <v>215044</v>
      </c>
      <c r="E63" s="1559">
        <f>+E64+E66</f>
        <v>215044</v>
      </c>
      <c r="F63" s="775">
        <f>F64+F66</f>
        <v>0</v>
      </c>
      <c r="G63" s="775">
        <f>G64+G66</f>
        <v>0</v>
      </c>
      <c r="H63" s="2673">
        <f>H64+H66</f>
        <v>0</v>
      </c>
      <c r="I63" s="1557">
        <f t="shared" si="32"/>
        <v>215044</v>
      </c>
      <c r="J63" s="1569">
        <f t="shared" si="40"/>
        <v>100</v>
      </c>
      <c r="K63" s="775">
        <f>K64+K66</f>
        <v>0</v>
      </c>
      <c r="L63" s="2673">
        <v>0</v>
      </c>
      <c r="M63" s="776">
        <f t="shared" si="6"/>
        <v>0</v>
      </c>
      <c r="N63" s="3441"/>
    </row>
    <row r="64" spans="1:14" s="593" customFormat="1" ht="12.75" customHeight="1" x14ac:dyDescent="0.2">
      <c r="A64" s="3096"/>
      <c r="B64" s="2787" t="s">
        <v>18</v>
      </c>
      <c r="C64" s="3303" t="s">
        <v>158</v>
      </c>
      <c r="D64" s="2871">
        <f>+D65</f>
        <v>9698</v>
      </c>
      <c r="E64" s="2085">
        <f>+E65</f>
        <v>9698</v>
      </c>
      <c r="F64" s="1571">
        <f>F65</f>
        <v>0</v>
      </c>
      <c r="G64" s="1571">
        <f>G65</f>
        <v>0</v>
      </c>
      <c r="H64" s="2674">
        <f>H65</f>
        <v>0</v>
      </c>
      <c r="I64" s="2871">
        <f t="shared" si="32"/>
        <v>9698</v>
      </c>
      <c r="J64" s="1573">
        <f t="shared" si="40"/>
        <v>100</v>
      </c>
      <c r="K64" s="1571">
        <f>K65</f>
        <v>0</v>
      </c>
      <c r="L64" s="2674">
        <v>0</v>
      </c>
      <c r="M64" s="1574">
        <f t="shared" si="6"/>
        <v>0</v>
      </c>
      <c r="N64" s="3473"/>
    </row>
    <row r="65" spans="1:14" s="593" customFormat="1" ht="12.75" customHeight="1" x14ac:dyDescent="0.2">
      <c r="A65" s="3096"/>
      <c r="B65" s="2788" t="s">
        <v>8</v>
      </c>
      <c r="C65" s="3282"/>
      <c r="D65" s="2059">
        <f>+E65+F65+G65+H65</f>
        <v>9698</v>
      </c>
      <c r="E65" s="2875">
        <v>9698</v>
      </c>
      <c r="F65" s="1575">
        <v>0</v>
      </c>
      <c r="G65" s="1575">
        <v>0</v>
      </c>
      <c r="H65" s="2671">
        <v>0</v>
      </c>
      <c r="I65" s="2059">
        <f t="shared" si="32"/>
        <v>9698</v>
      </c>
      <c r="J65" s="625">
        <f t="shared" si="40"/>
        <v>100</v>
      </c>
      <c r="K65" s="1575">
        <v>0</v>
      </c>
      <c r="L65" s="2671">
        <v>0</v>
      </c>
      <c r="M65" s="1576">
        <f t="shared" si="6"/>
        <v>0</v>
      </c>
      <c r="N65" s="3440"/>
    </row>
    <row r="66" spans="1:14" s="593" customFormat="1" ht="12.75" customHeight="1" x14ac:dyDescent="0.2">
      <c r="A66" s="3096"/>
      <c r="B66" s="1981" t="s">
        <v>13</v>
      </c>
      <c r="C66" s="3282"/>
      <c r="D66" s="2879">
        <f>+D67</f>
        <v>205346</v>
      </c>
      <c r="E66" s="2880">
        <f>+E67</f>
        <v>205346</v>
      </c>
      <c r="F66" s="1578">
        <f>F67</f>
        <v>0</v>
      </c>
      <c r="G66" s="1578">
        <f>G67</f>
        <v>0</v>
      </c>
      <c r="H66" s="2672">
        <f>H67</f>
        <v>0</v>
      </c>
      <c r="I66" s="2879">
        <f t="shared" si="32"/>
        <v>205346</v>
      </c>
      <c r="J66" s="621">
        <f t="shared" si="40"/>
        <v>100</v>
      </c>
      <c r="K66" s="1578">
        <f>K67</f>
        <v>0</v>
      </c>
      <c r="L66" s="2672">
        <v>0</v>
      </c>
      <c r="M66" s="1579">
        <f t="shared" si="6"/>
        <v>0</v>
      </c>
      <c r="N66" s="3440"/>
    </row>
    <row r="67" spans="1:14" s="593" customFormat="1" ht="12.75" customHeight="1" thickBot="1" x14ac:dyDescent="0.25">
      <c r="A67" s="3097"/>
      <c r="B67" s="2790" t="s">
        <v>15</v>
      </c>
      <c r="C67" s="3283"/>
      <c r="D67" s="2883">
        <f>+E67+F67+G67+H67</f>
        <v>205346</v>
      </c>
      <c r="E67" s="2625">
        <v>205346</v>
      </c>
      <c r="F67" s="318">
        <v>0</v>
      </c>
      <c r="G67" s="318">
        <v>0</v>
      </c>
      <c r="H67" s="2902">
        <v>0</v>
      </c>
      <c r="I67" s="2883">
        <f t="shared" si="32"/>
        <v>205346</v>
      </c>
      <c r="J67" s="628">
        <f t="shared" si="40"/>
        <v>100</v>
      </c>
      <c r="K67" s="318">
        <v>0</v>
      </c>
      <c r="L67" s="2791">
        <v>0</v>
      </c>
      <c r="M67" s="1128">
        <f t="shared" si="6"/>
        <v>0</v>
      </c>
      <c r="N67" s="3441"/>
    </row>
    <row r="68" spans="1:14" s="593" customFormat="1" ht="29.25" customHeight="1" x14ac:dyDescent="0.2">
      <c r="A68" s="3411" t="s">
        <v>44</v>
      </c>
      <c r="B68" s="2903" t="s">
        <v>172</v>
      </c>
      <c r="C68" s="526" t="s">
        <v>198</v>
      </c>
      <c r="D68" s="1562"/>
      <c r="E68" s="1563"/>
      <c r="F68" s="1563"/>
      <c r="G68" s="1563"/>
      <c r="H68" s="2904"/>
      <c r="I68" s="1562"/>
      <c r="J68" s="1565"/>
      <c r="K68" s="1563"/>
      <c r="L68" s="1580"/>
      <c r="M68" s="1581"/>
      <c r="N68" s="3431" t="s">
        <v>322</v>
      </c>
    </row>
    <row r="69" spans="1:14" s="593" customFormat="1" ht="12.75" customHeight="1" x14ac:dyDescent="0.2">
      <c r="A69" s="3412"/>
      <c r="B69" s="1969" t="s">
        <v>3</v>
      </c>
      <c r="C69" s="1568"/>
      <c r="D69" s="1557">
        <f>+D70</f>
        <v>131487945</v>
      </c>
      <c r="E69" s="1559">
        <f t="shared" ref="E69:H70" si="42">+E70</f>
        <v>46511853</v>
      </c>
      <c r="F69" s="1559">
        <f t="shared" si="42"/>
        <v>17071201</v>
      </c>
      <c r="G69" s="1559">
        <f t="shared" si="42"/>
        <v>23806079</v>
      </c>
      <c r="H69" s="2905">
        <f t="shared" si="42"/>
        <v>44098812</v>
      </c>
      <c r="I69" s="1557">
        <f t="shared" si="32"/>
        <v>72179414</v>
      </c>
      <c r="J69" s="1569">
        <f t="shared" ref="J69:J74" si="43">I69/D69*100</f>
        <v>54.894320540183358</v>
      </c>
      <c r="K69" s="1559">
        <f>+K70</f>
        <v>8596360</v>
      </c>
      <c r="L69" s="1558">
        <f t="shared" ref="L69:L73" si="44">K69/G69*100</f>
        <v>36.109936457826592</v>
      </c>
      <c r="M69" s="1560">
        <f t="shared" si="6"/>
        <v>-3306679.5</v>
      </c>
      <c r="N69" s="3432"/>
    </row>
    <row r="70" spans="1:14" s="593" customFormat="1" ht="12.75" customHeight="1" x14ac:dyDescent="0.2">
      <c r="A70" s="3412"/>
      <c r="B70" s="1981" t="s">
        <v>13</v>
      </c>
      <c r="C70" s="3282" t="s">
        <v>158</v>
      </c>
      <c r="D70" s="2879">
        <f>+D71</f>
        <v>131487945</v>
      </c>
      <c r="E70" s="2880">
        <f t="shared" si="42"/>
        <v>46511853</v>
      </c>
      <c r="F70" s="2880">
        <f t="shared" si="42"/>
        <v>17071201</v>
      </c>
      <c r="G70" s="2880">
        <f t="shared" si="42"/>
        <v>23806079</v>
      </c>
      <c r="H70" s="2906">
        <f t="shared" si="42"/>
        <v>44098812</v>
      </c>
      <c r="I70" s="2907">
        <f t="shared" si="32"/>
        <v>72179414</v>
      </c>
      <c r="J70" s="2908">
        <f t="shared" si="43"/>
        <v>54.894320540183358</v>
      </c>
      <c r="K70" s="2909">
        <f>+K71</f>
        <v>8596360</v>
      </c>
      <c r="L70" s="2910">
        <f t="shared" si="44"/>
        <v>36.109936457826592</v>
      </c>
      <c r="M70" s="2882">
        <f t="shared" si="6"/>
        <v>-3306679.5</v>
      </c>
      <c r="N70" s="3432"/>
    </row>
    <row r="71" spans="1:14" s="593" customFormat="1" ht="12.75" customHeight="1" x14ac:dyDescent="0.2">
      <c r="A71" s="3412"/>
      <c r="B71" s="2789" t="s">
        <v>15</v>
      </c>
      <c r="C71" s="3282"/>
      <c r="D71" s="2059">
        <f>+E71+F71+G71+H71</f>
        <v>131487945</v>
      </c>
      <c r="E71" s="2513">
        <f>10748789+22033262+13729802</f>
        <v>46511853</v>
      </c>
      <c r="F71" s="2513">
        <v>17071201</v>
      </c>
      <c r="G71" s="2513">
        <v>23806079</v>
      </c>
      <c r="H71" s="2600">
        <f>22600238+21498574</f>
        <v>44098812</v>
      </c>
      <c r="I71" s="2595">
        <f t="shared" si="32"/>
        <v>72179414</v>
      </c>
      <c r="J71" s="2877">
        <f>I71/D71*100</f>
        <v>54.894320540183358</v>
      </c>
      <c r="K71" s="2513">
        <v>8596360</v>
      </c>
      <c r="L71" s="2911">
        <f>K71/G71*100</f>
        <v>36.109936457826592</v>
      </c>
      <c r="M71" s="2603">
        <f t="shared" si="6"/>
        <v>-3306679.5</v>
      </c>
      <c r="N71" s="3432"/>
    </row>
    <row r="72" spans="1:14" s="593" customFormat="1" ht="12.75" customHeight="1" x14ac:dyDescent="0.2">
      <c r="A72" s="3104"/>
      <c r="B72" s="236" t="s">
        <v>17</v>
      </c>
      <c r="C72" s="2912"/>
      <c r="D72" s="2913">
        <f t="shared" ref="D72:H73" si="45">+D73</f>
        <v>131368014</v>
      </c>
      <c r="E72" s="2914">
        <f t="shared" si="45"/>
        <v>46511853</v>
      </c>
      <c r="F72" s="2914">
        <f t="shared" si="45"/>
        <v>17985056</v>
      </c>
      <c r="G72" s="2914">
        <f t="shared" si="45"/>
        <v>29700000</v>
      </c>
      <c r="H72" s="1556">
        <f t="shared" si="45"/>
        <v>37171105</v>
      </c>
      <c r="I72" s="1557">
        <f t="shared" si="32"/>
        <v>74196909</v>
      </c>
      <c r="J72" s="1558">
        <f t="shared" si="43"/>
        <v>56.480193877331509</v>
      </c>
      <c r="K72" s="1559">
        <f>+K73</f>
        <v>9700000</v>
      </c>
      <c r="L72" s="1558">
        <f t="shared" si="44"/>
        <v>32.659932659932664</v>
      </c>
      <c r="M72" s="1560">
        <f t="shared" si="6"/>
        <v>-5150000</v>
      </c>
      <c r="N72" s="3432"/>
    </row>
    <row r="73" spans="1:14" s="593" customFormat="1" ht="12.75" customHeight="1" x14ac:dyDescent="0.2">
      <c r="A73" s="3104"/>
      <c r="B73" s="1981" t="s">
        <v>13</v>
      </c>
      <c r="C73" s="3282" t="s">
        <v>35</v>
      </c>
      <c r="D73" s="2879">
        <f t="shared" si="45"/>
        <v>131368014</v>
      </c>
      <c r="E73" s="2880">
        <f t="shared" si="45"/>
        <v>46511853</v>
      </c>
      <c r="F73" s="2880">
        <f t="shared" si="45"/>
        <v>17985056</v>
      </c>
      <c r="G73" s="2880">
        <f t="shared" si="45"/>
        <v>29700000</v>
      </c>
      <c r="H73" s="2881">
        <f t="shared" si="45"/>
        <v>37171105</v>
      </c>
      <c r="I73" s="2907">
        <f t="shared" si="32"/>
        <v>74196909</v>
      </c>
      <c r="J73" s="2908">
        <f t="shared" si="43"/>
        <v>56.480193877331509</v>
      </c>
      <c r="K73" s="2909">
        <f>+K74</f>
        <v>9700000</v>
      </c>
      <c r="L73" s="2910">
        <f t="shared" si="44"/>
        <v>32.659932659932664</v>
      </c>
      <c r="M73" s="2882">
        <f t="shared" si="6"/>
        <v>-5150000</v>
      </c>
      <c r="N73" s="3432"/>
    </row>
    <row r="74" spans="1:14" s="593" customFormat="1" ht="12.75" customHeight="1" thickBot="1" x14ac:dyDescent="0.25">
      <c r="A74" s="3103"/>
      <c r="B74" s="2790" t="s">
        <v>15</v>
      </c>
      <c r="C74" s="3283"/>
      <c r="D74" s="2883">
        <f>+E74+F74+G74+H74</f>
        <v>131368014</v>
      </c>
      <c r="E74" s="2625">
        <f>10739103+22042948+13729802</f>
        <v>46511853</v>
      </c>
      <c r="F74" s="2625">
        <v>17985056</v>
      </c>
      <c r="G74" s="2625">
        <v>29700000</v>
      </c>
      <c r="H74" s="2884">
        <f>24935578+12235527</f>
        <v>37171105</v>
      </c>
      <c r="I74" s="2885">
        <f t="shared" si="32"/>
        <v>74196909</v>
      </c>
      <c r="J74" s="2886">
        <f t="shared" si="43"/>
        <v>56.480193877331509</v>
      </c>
      <c r="K74" s="2625">
        <v>9700000</v>
      </c>
      <c r="L74" s="2915">
        <f>K74/G74*100</f>
        <v>32.659932659932664</v>
      </c>
      <c r="M74" s="2887">
        <f t="shared" si="6"/>
        <v>-5150000</v>
      </c>
      <c r="N74" s="3433"/>
    </row>
    <row r="75" spans="1:14" s="593" customFormat="1" ht="27" customHeight="1" x14ac:dyDescent="0.2">
      <c r="A75" s="3411" t="s">
        <v>45</v>
      </c>
      <c r="B75" s="2903" t="s">
        <v>267</v>
      </c>
      <c r="C75" s="526" t="s">
        <v>193</v>
      </c>
      <c r="D75" s="1562"/>
      <c r="E75" s="1563"/>
      <c r="F75" s="1563"/>
      <c r="G75" s="1563"/>
      <c r="H75" s="1564"/>
      <c r="I75" s="1562"/>
      <c r="J75" s="1565"/>
      <c r="K75" s="1566"/>
      <c r="L75" s="1580"/>
      <c r="M75" s="1581"/>
      <c r="N75" s="3431" t="s">
        <v>322</v>
      </c>
    </row>
    <row r="76" spans="1:14" s="593" customFormat="1" ht="12.75" customHeight="1" x14ac:dyDescent="0.2">
      <c r="A76" s="3412"/>
      <c r="B76" s="1969" t="s">
        <v>3</v>
      </c>
      <c r="C76" s="1568"/>
      <c r="D76" s="1557">
        <f>+D77</f>
        <v>1453767</v>
      </c>
      <c r="E76" s="1559">
        <f t="shared" ref="E76:H77" si="46">+E77</f>
        <v>878826</v>
      </c>
      <c r="F76" s="1559">
        <f t="shared" si="46"/>
        <v>155814</v>
      </c>
      <c r="G76" s="1559">
        <f t="shared" si="46"/>
        <v>300000</v>
      </c>
      <c r="H76" s="1556">
        <f t="shared" si="46"/>
        <v>119127</v>
      </c>
      <c r="I76" s="1557">
        <f t="shared" si="32"/>
        <v>1034640</v>
      </c>
      <c r="J76" s="1569">
        <f t="shared" ref="J76:J81" si="47">I76/D76*100</f>
        <v>71.169589074452787</v>
      </c>
      <c r="K76" s="1559">
        <f>+K77</f>
        <v>0</v>
      </c>
      <c r="L76" s="1558">
        <f t="shared" ref="L76:L81" si="48">K76/G76*100</f>
        <v>0</v>
      </c>
      <c r="M76" s="1560">
        <f t="shared" ref="M76:M136" si="49">+K76-G76*0.5</f>
        <v>-150000</v>
      </c>
      <c r="N76" s="3432"/>
    </row>
    <row r="77" spans="1:14" s="593" customFormat="1" ht="12.75" customHeight="1" x14ac:dyDescent="0.2">
      <c r="A77" s="3412"/>
      <c r="B77" s="1981" t="s">
        <v>13</v>
      </c>
      <c r="C77" s="3282" t="s">
        <v>158</v>
      </c>
      <c r="D77" s="2879">
        <f>+D78</f>
        <v>1453767</v>
      </c>
      <c r="E77" s="2880">
        <f t="shared" si="46"/>
        <v>878826</v>
      </c>
      <c r="F77" s="2880">
        <f t="shared" si="46"/>
        <v>155814</v>
      </c>
      <c r="G77" s="2880">
        <f t="shared" si="46"/>
        <v>300000</v>
      </c>
      <c r="H77" s="2881">
        <f t="shared" si="46"/>
        <v>119127</v>
      </c>
      <c r="I77" s="2907">
        <f t="shared" si="32"/>
        <v>1034640</v>
      </c>
      <c r="J77" s="2908">
        <f t="shared" si="47"/>
        <v>71.169589074452787</v>
      </c>
      <c r="K77" s="2909">
        <f>+K78</f>
        <v>0</v>
      </c>
      <c r="L77" s="2910">
        <f t="shared" si="48"/>
        <v>0</v>
      </c>
      <c r="M77" s="2882">
        <f t="shared" si="49"/>
        <v>-150000</v>
      </c>
      <c r="N77" s="3432"/>
    </row>
    <row r="78" spans="1:14" s="593" customFormat="1" ht="12.75" customHeight="1" x14ac:dyDescent="0.2">
      <c r="A78" s="3412"/>
      <c r="B78" s="2789" t="s">
        <v>15</v>
      </c>
      <c r="C78" s="3282"/>
      <c r="D78" s="2059">
        <f>+E78+F78+G78+H78</f>
        <v>1453767</v>
      </c>
      <c r="E78" s="2513">
        <f>134277+392458+352091</f>
        <v>878826</v>
      </c>
      <c r="F78" s="2513">
        <v>155814</v>
      </c>
      <c r="G78" s="2513">
        <v>300000</v>
      </c>
      <c r="H78" s="2602">
        <f>64422+54705</f>
        <v>119127</v>
      </c>
      <c r="I78" s="2595">
        <f t="shared" si="32"/>
        <v>1034640</v>
      </c>
      <c r="J78" s="2877">
        <f t="shared" si="47"/>
        <v>71.169589074452787</v>
      </c>
      <c r="K78" s="2513">
        <v>0</v>
      </c>
      <c r="L78" s="2911">
        <f t="shared" si="48"/>
        <v>0</v>
      </c>
      <c r="M78" s="2603">
        <f t="shared" si="49"/>
        <v>-150000</v>
      </c>
      <c r="N78" s="3432"/>
    </row>
    <row r="79" spans="1:14" s="593" customFormat="1" ht="12.75" customHeight="1" x14ac:dyDescent="0.2">
      <c r="A79" s="3104"/>
      <c r="B79" s="1969" t="s">
        <v>17</v>
      </c>
      <c r="C79" s="623"/>
      <c r="D79" s="1557">
        <f t="shared" ref="D79:H80" si="50">+D80</f>
        <v>1573698</v>
      </c>
      <c r="E79" s="1559">
        <f t="shared" si="50"/>
        <v>878826</v>
      </c>
      <c r="F79" s="1559">
        <f t="shared" si="50"/>
        <v>275745</v>
      </c>
      <c r="G79" s="1559">
        <f t="shared" si="50"/>
        <v>300000</v>
      </c>
      <c r="H79" s="1556">
        <f t="shared" si="50"/>
        <v>119127</v>
      </c>
      <c r="I79" s="1557">
        <f t="shared" si="32"/>
        <v>1244571</v>
      </c>
      <c r="J79" s="1569">
        <f t="shared" si="47"/>
        <v>79.085758512751497</v>
      </c>
      <c r="K79" s="1559">
        <f>+K80</f>
        <v>90000</v>
      </c>
      <c r="L79" s="1558">
        <f t="shared" si="48"/>
        <v>30</v>
      </c>
      <c r="M79" s="1560">
        <f t="shared" si="49"/>
        <v>-60000</v>
      </c>
      <c r="N79" s="3432"/>
    </row>
    <row r="80" spans="1:14" s="593" customFormat="1" ht="12.75" customHeight="1" x14ac:dyDescent="0.2">
      <c r="A80" s="3104"/>
      <c r="B80" s="1981" t="s">
        <v>13</v>
      </c>
      <c r="C80" s="3282" t="s">
        <v>35</v>
      </c>
      <c r="D80" s="2879">
        <f t="shared" si="50"/>
        <v>1573698</v>
      </c>
      <c r="E80" s="2880">
        <f t="shared" si="50"/>
        <v>878826</v>
      </c>
      <c r="F80" s="2880">
        <f t="shared" si="50"/>
        <v>275745</v>
      </c>
      <c r="G80" s="2880">
        <f t="shared" si="50"/>
        <v>300000</v>
      </c>
      <c r="H80" s="2881">
        <f t="shared" si="50"/>
        <v>119127</v>
      </c>
      <c r="I80" s="2907">
        <f t="shared" si="32"/>
        <v>1244571</v>
      </c>
      <c r="J80" s="2908">
        <f t="shared" si="47"/>
        <v>79.085758512751497</v>
      </c>
      <c r="K80" s="2909">
        <f>+K81</f>
        <v>90000</v>
      </c>
      <c r="L80" s="2910">
        <f t="shared" si="48"/>
        <v>30</v>
      </c>
      <c r="M80" s="2882">
        <f t="shared" si="49"/>
        <v>-60000</v>
      </c>
      <c r="N80" s="3432"/>
    </row>
    <row r="81" spans="1:14" s="593" customFormat="1" ht="12.75" customHeight="1" thickBot="1" x14ac:dyDescent="0.25">
      <c r="A81" s="3103"/>
      <c r="B81" s="2790" t="s">
        <v>15</v>
      </c>
      <c r="C81" s="3283"/>
      <c r="D81" s="2883">
        <f>+E81+F81+G81+H81</f>
        <v>1573698</v>
      </c>
      <c r="E81" s="2625">
        <f>134277+392458+352091</f>
        <v>878826</v>
      </c>
      <c r="F81" s="2625">
        <v>275745</v>
      </c>
      <c r="G81" s="2625">
        <v>300000</v>
      </c>
      <c r="H81" s="2884">
        <f>64422+54705</f>
        <v>119127</v>
      </c>
      <c r="I81" s="2885">
        <f>+K81+E81+F81</f>
        <v>1244571</v>
      </c>
      <c r="J81" s="2886">
        <f t="shared" si="47"/>
        <v>79.085758512751497</v>
      </c>
      <c r="K81" s="2625">
        <v>90000</v>
      </c>
      <c r="L81" s="2915">
        <f t="shared" si="48"/>
        <v>30</v>
      </c>
      <c r="M81" s="2887">
        <f t="shared" si="49"/>
        <v>-60000</v>
      </c>
      <c r="N81" s="3433"/>
    </row>
    <row r="82" spans="1:14" s="593" customFormat="1" ht="38.25" customHeight="1" x14ac:dyDescent="0.2">
      <c r="A82" s="3434" t="s">
        <v>46</v>
      </c>
      <c r="B82" s="620" t="s">
        <v>343</v>
      </c>
      <c r="C82" s="526" t="s">
        <v>198</v>
      </c>
      <c r="D82" s="1562"/>
      <c r="E82" s="1563"/>
      <c r="F82" s="1563"/>
      <c r="G82" s="1563"/>
      <c r="H82" s="1564"/>
      <c r="I82" s="1562"/>
      <c r="J82" s="1565"/>
      <c r="K82" s="1563"/>
      <c r="L82" s="1580"/>
      <c r="M82" s="1581"/>
      <c r="N82" s="3427" t="s">
        <v>328</v>
      </c>
    </row>
    <row r="83" spans="1:14" s="593" customFormat="1" ht="12.75" customHeight="1" thickBot="1" x14ac:dyDescent="0.25">
      <c r="A83" s="3435"/>
      <c r="B83" s="236" t="s">
        <v>3</v>
      </c>
      <c r="C83" s="1568"/>
      <c r="D83" s="1557">
        <f>D84+D86</f>
        <v>948355</v>
      </c>
      <c r="E83" s="1559">
        <f>+E86+E84</f>
        <v>256997</v>
      </c>
      <c r="F83" s="1559">
        <f>+F86+F84</f>
        <v>296862</v>
      </c>
      <c r="G83" s="1559">
        <f>+G86+G84</f>
        <v>315679</v>
      </c>
      <c r="H83" s="1556">
        <f>+H86+H84</f>
        <v>0</v>
      </c>
      <c r="I83" s="1557">
        <f t="shared" si="32"/>
        <v>673668</v>
      </c>
      <c r="J83" s="1569">
        <f t="shared" ref="J83:J92" si="51">I83/D83*100</f>
        <v>71.035424498210048</v>
      </c>
      <c r="K83" s="1559">
        <f>+K86+K84</f>
        <v>119809</v>
      </c>
      <c r="L83" s="1558">
        <f t="shared" ref="L83:L92" si="52">K83/G83*100</f>
        <v>37.952793819037694</v>
      </c>
      <c r="M83" s="1560">
        <f t="shared" si="49"/>
        <v>-38030.5</v>
      </c>
      <c r="N83" s="3428"/>
    </row>
    <row r="84" spans="1:14" s="593" customFormat="1" ht="12.75" customHeight="1" x14ac:dyDescent="0.2">
      <c r="A84" s="3411"/>
      <c r="B84" s="322" t="s">
        <v>18</v>
      </c>
      <c r="C84" s="3282" t="s">
        <v>158</v>
      </c>
      <c r="D84" s="2907">
        <f>D85</f>
        <v>142894</v>
      </c>
      <c r="E84" s="2909">
        <f>+E85</f>
        <v>39190</v>
      </c>
      <c r="F84" s="2909">
        <f>+F85</f>
        <v>50151</v>
      </c>
      <c r="G84" s="2909">
        <f>+G85</f>
        <v>47352</v>
      </c>
      <c r="H84" s="2916">
        <f>+H85</f>
        <v>0</v>
      </c>
      <c r="I84" s="2907">
        <f t="shared" si="32"/>
        <v>107312</v>
      </c>
      <c r="J84" s="2908">
        <f t="shared" si="51"/>
        <v>75.099024451691463</v>
      </c>
      <c r="K84" s="2909">
        <f>+K85</f>
        <v>17971</v>
      </c>
      <c r="L84" s="2910">
        <f t="shared" si="52"/>
        <v>37.951934448386552</v>
      </c>
      <c r="M84" s="2917">
        <f t="shared" si="49"/>
        <v>-5705</v>
      </c>
      <c r="N84" s="3429"/>
    </row>
    <row r="85" spans="1:14" s="593" customFormat="1" ht="12.75" customHeight="1" x14ac:dyDescent="0.2">
      <c r="A85" s="3412"/>
      <c r="B85" s="310" t="s">
        <v>8</v>
      </c>
      <c r="C85" s="3282"/>
      <c r="D85" s="2059">
        <v>142894</v>
      </c>
      <c r="E85" s="2513">
        <v>39190</v>
      </c>
      <c r="F85" s="2513">
        <v>50151</v>
      </c>
      <c r="G85" s="2513">
        <v>47352</v>
      </c>
      <c r="H85" s="2600">
        <v>0</v>
      </c>
      <c r="I85" s="2595">
        <f>+K85+E85+F85</f>
        <v>107312</v>
      </c>
      <c r="J85" s="2877">
        <f t="shared" si="51"/>
        <v>75.099024451691463</v>
      </c>
      <c r="K85" s="2513">
        <v>17971</v>
      </c>
      <c r="L85" s="2911">
        <f t="shared" si="52"/>
        <v>37.951934448386552</v>
      </c>
      <c r="M85" s="2603">
        <f t="shared" si="49"/>
        <v>-5705</v>
      </c>
      <c r="N85" s="3430"/>
    </row>
    <row r="86" spans="1:14" s="593" customFormat="1" ht="12.75" customHeight="1" x14ac:dyDescent="0.2">
      <c r="A86" s="3412"/>
      <c r="B86" s="1577" t="s">
        <v>13</v>
      </c>
      <c r="C86" s="3282"/>
      <c r="D86" s="2879">
        <f t="shared" ref="D86:H86" si="53">+D87</f>
        <v>805461</v>
      </c>
      <c r="E86" s="2880">
        <f t="shared" si="53"/>
        <v>217807</v>
      </c>
      <c r="F86" s="2880">
        <f t="shared" si="53"/>
        <v>246711</v>
      </c>
      <c r="G86" s="2880">
        <f t="shared" si="53"/>
        <v>268327</v>
      </c>
      <c r="H86" s="2881">
        <f t="shared" si="53"/>
        <v>0</v>
      </c>
      <c r="I86" s="2879">
        <f t="shared" si="32"/>
        <v>566356</v>
      </c>
      <c r="J86" s="621">
        <f t="shared" si="51"/>
        <v>70.314515538306637</v>
      </c>
      <c r="K86" s="2880">
        <f>+K87</f>
        <v>101838</v>
      </c>
      <c r="L86" s="2918">
        <f t="shared" si="52"/>
        <v>37.952945473247198</v>
      </c>
      <c r="M86" s="2882">
        <f t="shared" si="49"/>
        <v>-32325.5</v>
      </c>
      <c r="N86" s="3430"/>
    </row>
    <row r="87" spans="1:14" s="593" customFormat="1" ht="12.75" customHeight="1" x14ac:dyDescent="0.2">
      <c r="A87" s="3412"/>
      <c r="B87" s="1783" t="s">
        <v>15</v>
      </c>
      <c r="C87" s="3282"/>
      <c r="D87" s="2059">
        <v>805461</v>
      </c>
      <c r="E87" s="2875">
        <v>217807</v>
      </c>
      <c r="F87" s="2875">
        <v>246711</v>
      </c>
      <c r="G87" s="2875">
        <v>268327</v>
      </c>
      <c r="H87" s="2919">
        <v>0</v>
      </c>
      <c r="I87" s="2059">
        <f>+K87+E87+F87</f>
        <v>566356</v>
      </c>
      <c r="J87" s="625">
        <f t="shared" si="51"/>
        <v>70.314515538306637</v>
      </c>
      <c r="K87" s="2875">
        <v>101838</v>
      </c>
      <c r="L87" s="2920">
        <f t="shared" si="52"/>
        <v>37.952945473247198</v>
      </c>
      <c r="M87" s="2878">
        <f t="shared" si="49"/>
        <v>-32325.5</v>
      </c>
      <c r="N87" s="3430"/>
    </row>
    <row r="88" spans="1:14" s="593" customFormat="1" ht="12.75" customHeight="1" x14ac:dyDescent="0.2">
      <c r="A88" s="3104"/>
      <c r="B88" s="236" t="s">
        <v>17</v>
      </c>
      <c r="C88" s="623"/>
      <c r="D88" s="1557">
        <f>D89+D91</f>
        <v>948355</v>
      </c>
      <c r="E88" s="1559">
        <f>+E91+E89</f>
        <v>189904</v>
      </c>
      <c r="F88" s="1559">
        <f>+F91+F89</f>
        <v>344217</v>
      </c>
      <c r="G88" s="1559">
        <f>+G91+G89</f>
        <v>315679</v>
      </c>
      <c r="H88" s="2905">
        <f>+H91+H89</f>
        <v>67093</v>
      </c>
      <c r="I88" s="1557">
        <f t="shared" si="32"/>
        <v>571862</v>
      </c>
      <c r="J88" s="1569">
        <f t="shared" si="51"/>
        <v>60.300414929008653</v>
      </c>
      <c r="K88" s="1559">
        <f>+K91+K89</f>
        <v>37741</v>
      </c>
      <c r="L88" s="1558">
        <f t="shared" si="52"/>
        <v>11.955499098768051</v>
      </c>
      <c r="M88" s="1560">
        <f t="shared" si="49"/>
        <v>-120098.5</v>
      </c>
      <c r="N88" s="3430"/>
    </row>
    <row r="89" spans="1:14" s="593" customFormat="1" ht="12.75" customHeight="1" x14ac:dyDescent="0.2">
      <c r="A89" s="3104"/>
      <c r="B89" s="322" t="s">
        <v>18</v>
      </c>
      <c r="C89" s="3282" t="s">
        <v>158</v>
      </c>
      <c r="D89" s="2907">
        <f>D90</f>
        <v>142894</v>
      </c>
      <c r="E89" s="2909">
        <f>+E90</f>
        <v>28610</v>
      </c>
      <c r="F89" s="2909">
        <f>+F90</f>
        <v>52704</v>
      </c>
      <c r="G89" s="2909">
        <f>+G90</f>
        <v>47352</v>
      </c>
      <c r="H89" s="2921">
        <f>+H90</f>
        <v>10580</v>
      </c>
      <c r="I89" s="2907">
        <f t="shared" si="32"/>
        <v>81314</v>
      </c>
      <c r="J89" s="2908">
        <f t="shared" si="51"/>
        <v>56.905118479432304</v>
      </c>
      <c r="K89" s="2909">
        <f>+K90</f>
        <v>0</v>
      </c>
      <c r="L89" s="2910">
        <f t="shared" si="52"/>
        <v>0</v>
      </c>
      <c r="M89" s="2917">
        <f t="shared" si="49"/>
        <v>-23676</v>
      </c>
      <c r="N89" s="3430"/>
    </row>
    <row r="90" spans="1:14" s="593" customFormat="1" ht="12.75" customHeight="1" x14ac:dyDescent="0.2">
      <c r="A90" s="3104"/>
      <c r="B90" s="310" t="s">
        <v>8</v>
      </c>
      <c r="C90" s="3282"/>
      <c r="D90" s="2059">
        <v>142894</v>
      </c>
      <c r="E90" s="2513">
        <v>28610</v>
      </c>
      <c r="F90" s="2513">
        <v>52704</v>
      </c>
      <c r="G90" s="2513">
        <v>47352</v>
      </c>
      <c r="H90" s="2600">
        <v>10580</v>
      </c>
      <c r="I90" s="2595">
        <f>+K90+E90+F90</f>
        <v>81314</v>
      </c>
      <c r="J90" s="2877">
        <f t="shared" si="51"/>
        <v>56.905118479432304</v>
      </c>
      <c r="K90" s="2513">
        <v>0</v>
      </c>
      <c r="L90" s="2911">
        <f t="shared" si="52"/>
        <v>0</v>
      </c>
      <c r="M90" s="2603">
        <f t="shared" si="49"/>
        <v>-23676</v>
      </c>
      <c r="N90" s="3430"/>
    </row>
    <row r="91" spans="1:14" s="593" customFormat="1" ht="12.75" customHeight="1" x14ac:dyDescent="0.2">
      <c r="A91" s="3104"/>
      <c r="B91" s="1577" t="s">
        <v>13</v>
      </c>
      <c r="C91" s="3282"/>
      <c r="D91" s="2879">
        <f t="shared" ref="D91:H91" si="54">+D92</f>
        <v>805461</v>
      </c>
      <c r="E91" s="2880">
        <f t="shared" si="54"/>
        <v>161294</v>
      </c>
      <c r="F91" s="2880">
        <f t="shared" si="54"/>
        <v>291513</v>
      </c>
      <c r="G91" s="2880">
        <f t="shared" si="54"/>
        <v>268327</v>
      </c>
      <c r="H91" s="2906">
        <f t="shared" si="54"/>
        <v>56513</v>
      </c>
      <c r="I91" s="2879">
        <f t="shared" ref="I91:I135" si="55">+K91+E91+F91</f>
        <v>490548</v>
      </c>
      <c r="J91" s="621">
        <f t="shared" si="51"/>
        <v>60.902762517365829</v>
      </c>
      <c r="K91" s="2880">
        <f>+K92</f>
        <v>37741</v>
      </c>
      <c r="L91" s="2918">
        <f t="shared" si="52"/>
        <v>14.06530092014594</v>
      </c>
      <c r="M91" s="2882">
        <f t="shared" si="49"/>
        <v>-96422.5</v>
      </c>
      <c r="N91" s="3430"/>
    </row>
    <row r="92" spans="1:14" s="593" customFormat="1" ht="12.75" customHeight="1" thickBot="1" x14ac:dyDescent="0.25">
      <c r="A92" s="3103"/>
      <c r="B92" s="287" t="s">
        <v>15</v>
      </c>
      <c r="C92" s="3283"/>
      <c r="D92" s="2883">
        <v>805461</v>
      </c>
      <c r="E92" s="2922">
        <v>161294</v>
      </c>
      <c r="F92" s="2922">
        <v>291513</v>
      </c>
      <c r="G92" s="2922">
        <v>268327</v>
      </c>
      <c r="H92" s="2923">
        <v>56513</v>
      </c>
      <c r="I92" s="2883">
        <f>+K92+E92+F92</f>
        <v>490548</v>
      </c>
      <c r="J92" s="628">
        <f t="shared" si="51"/>
        <v>60.902762517365829</v>
      </c>
      <c r="K92" s="2922">
        <v>37741</v>
      </c>
      <c r="L92" s="2924">
        <f t="shared" si="52"/>
        <v>14.06530092014594</v>
      </c>
      <c r="M92" s="2925">
        <f t="shared" si="49"/>
        <v>-96422.5</v>
      </c>
      <c r="N92" s="3428"/>
    </row>
    <row r="93" spans="1:14" s="593" customFormat="1" ht="36.75" customHeight="1" thickBot="1" x14ac:dyDescent="0.25">
      <c r="A93" s="3436" t="s">
        <v>47</v>
      </c>
      <c r="B93" s="620" t="s">
        <v>164</v>
      </c>
      <c r="C93" s="526" t="s">
        <v>193</v>
      </c>
      <c r="D93" s="1562"/>
      <c r="E93" s="1563"/>
      <c r="F93" s="1563"/>
      <c r="G93" s="1563"/>
      <c r="H93" s="1564"/>
      <c r="I93" s="1562"/>
      <c r="J93" s="1565"/>
      <c r="K93" s="1563"/>
      <c r="L93" s="1580"/>
      <c r="M93" s="1581"/>
      <c r="N93" s="3416" t="s">
        <v>165</v>
      </c>
    </row>
    <row r="94" spans="1:14" s="593" customFormat="1" ht="12.75" customHeight="1" thickBot="1" x14ac:dyDescent="0.25">
      <c r="A94" s="3437"/>
      <c r="B94" s="236" t="s">
        <v>3</v>
      </c>
      <c r="C94" s="1568"/>
      <c r="D94" s="1557">
        <f t="shared" ref="D94:H94" si="56">+D95+D97</f>
        <v>23000000</v>
      </c>
      <c r="E94" s="1559">
        <f t="shared" si="56"/>
        <v>36900</v>
      </c>
      <c r="F94" s="1559">
        <f t="shared" si="56"/>
        <v>5439983</v>
      </c>
      <c r="G94" s="1559">
        <f t="shared" si="56"/>
        <v>17523117</v>
      </c>
      <c r="H94" s="1556">
        <f t="shared" si="56"/>
        <v>0</v>
      </c>
      <c r="I94" s="1557">
        <f t="shared" si="55"/>
        <v>5549864.4400000004</v>
      </c>
      <c r="J94" s="1569">
        <f t="shared" ref="J94:J101" si="57">I94/D94*100</f>
        <v>24.12984539130435</v>
      </c>
      <c r="K94" s="1559">
        <f>+K95+K97</f>
        <v>72981.440000000002</v>
      </c>
      <c r="L94" s="1558">
        <f t="shared" ref="L94:L101" si="58">K94/G94*100</f>
        <v>0.41648663305734934</v>
      </c>
      <c r="M94" s="1560">
        <f t="shared" si="49"/>
        <v>-8688577.0600000005</v>
      </c>
      <c r="N94" s="3438"/>
    </row>
    <row r="95" spans="1:14" s="593" customFormat="1" ht="12.75" customHeight="1" x14ac:dyDescent="0.2">
      <c r="A95" s="3411"/>
      <c r="B95" s="322" t="s">
        <v>18</v>
      </c>
      <c r="C95" s="3417" t="s">
        <v>166</v>
      </c>
      <c r="D95" s="2871">
        <f t="shared" ref="D95:H95" si="59">+D96</f>
        <v>5750000</v>
      </c>
      <c r="E95" s="2085">
        <f t="shared" si="59"/>
        <v>9225</v>
      </c>
      <c r="F95" s="2085">
        <f t="shared" si="59"/>
        <v>1343620</v>
      </c>
      <c r="G95" s="2085">
        <f t="shared" si="59"/>
        <v>4397155</v>
      </c>
      <c r="H95" s="2872">
        <f t="shared" si="59"/>
        <v>0</v>
      </c>
      <c r="I95" s="2871">
        <f t="shared" si="55"/>
        <v>1371090.12</v>
      </c>
      <c r="J95" s="1573">
        <f t="shared" si="57"/>
        <v>23.845045565217394</v>
      </c>
      <c r="K95" s="2085">
        <f>+K96</f>
        <v>18245.12</v>
      </c>
      <c r="L95" s="2926">
        <f t="shared" si="58"/>
        <v>0.41493010821769982</v>
      </c>
      <c r="M95" s="2873">
        <f t="shared" si="49"/>
        <v>-2180332.38</v>
      </c>
      <c r="N95" s="3439"/>
    </row>
    <row r="96" spans="1:14" s="593" customFormat="1" ht="12.75" customHeight="1" x14ac:dyDescent="0.2">
      <c r="A96" s="3412"/>
      <c r="B96" s="2874" t="s">
        <v>5</v>
      </c>
      <c r="C96" s="3282"/>
      <c r="D96" s="2059">
        <f>+E96+F96+G96+H96</f>
        <v>5750000</v>
      </c>
      <c r="E96" s="2875">
        <v>9225</v>
      </c>
      <c r="F96" s="2875">
        <v>1343620</v>
      </c>
      <c r="G96" s="2876">
        <v>4397155</v>
      </c>
      <c r="H96" s="2876"/>
      <c r="I96" s="2595">
        <f t="shared" si="55"/>
        <v>1371090.12</v>
      </c>
      <c r="J96" s="625">
        <f t="shared" si="57"/>
        <v>23.845045565217394</v>
      </c>
      <c r="K96" s="2875">
        <v>18245.12</v>
      </c>
      <c r="L96" s="2920">
        <f t="shared" si="58"/>
        <v>0.41493010821769982</v>
      </c>
      <c r="M96" s="2878">
        <f t="shared" si="49"/>
        <v>-2180332.38</v>
      </c>
      <c r="N96" s="3440"/>
    </row>
    <row r="97" spans="1:59" s="593" customFormat="1" ht="12.75" customHeight="1" x14ac:dyDescent="0.2">
      <c r="A97" s="3412"/>
      <c r="B97" s="1577" t="s">
        <v>13</v>
      </c>
      <c r="C97" s="3282"/>
      <c r="D97" s="2879">
        <f t="shared" ref="D97:H97" si="60">+D98</f>
        <v>17250000</v>
      </c>
      <c r="E97" s="2880">
        <f t="shared" si="60"/>
        <v>27675</v>
      </c>
      <c r="F97" s="2880">
        <f t="shared" si="60"/>
        <v>4096363</v>
      </c>
      <c r="G97" s="2880">
        <f t="shared" si="60"/>
        <v>13125962</v>
      </c>
      <c r="H97" s="2881">
        <f t="shared" si="60"/>
        <v>0</v>
      </c>
      <c r="I97" s="2879">
        <f t="shared" si="55"/>
        <v>4178774.32</v>
      </c>
      <c r="J97" s="621">
        <f t="shared" si="57"/>
        <v>24.224778666666666</v>
      </c>
      <c r="K97" s="2880">
        <f>+K98</f>
        <v>54736.32</v>
      </c>
      <c r="L97" s="2918">
        <f t="shared" si="58"/>
        <v>0.4170080638660999</v>
      </c>
      <c r="M97" s="2882">
        <f t="shared" si="49"/>
        <v>-6508244.6799999997</v>
      </c>
      <c r="N97" s="3440"/>
    </row>
    <row r="98" spans="1:59" s="593" customFormat="1" ht="12.75" customHeight="1" x14ac:dyDescent="0.2">
      <c r="A98" s="3412"/>
      <c r="B98" s="622" t="s">
        <v>15</v>
      </c>
      <c r="C98" s="3282"/>
      <c r="D98" s="2059">
        <f>+E98+F98+G98+H98</f>
        <v>17250000</v>
      </c>
      <c r="E98" s="2513">
        <v>27675</v>
      </c>
      <c r="F98" s="2513">
        <v>4096363</v>
      </c>
      <c r="G98" s="2602">
        <v>13125962</v>
      </c>
      <c r="H98" s="2602"/>
      <c r="I98" s="2595">
        <f t="shared" si="55"/>
        <v>4178774.32</v>
      </c>
      <c r="J98" s="2877">
        <f t="shared" si="57"/>
        <v>24.224778666666666</v>
      </c>
      <c r="K98" s="2513">
        <v>54736.32</v>
      </c>
      <c r="L98" s="2911">
        <f t="shared" si="58"/>
        <v>0.4170080638660999</v>
      </c>
      <c r="M98" s="2603">
        <f t="shared" si="49"/>
        <v>-6508244.6799999997</v>
      </c>
      <c r="N98" s="3440"/>
    </row>
    <row r="99" spans="1:59" s="593" customFormat="1" ht="12.75" customHeight="1" x14ac:dyDescent="0.2">
      <c r="A99" s="3104"/>
      <c r="B99" s="236" t="s">
        <v>17</v>
      </c>
      <c r="C99" s="623"/>
      <c r="D99" s="1555">
        <f t="shared" ref="D99:H99" si="61">+D100</f>
        <v>17250000</v>
      </c>
      <c r="E99" s="1556">
        <f t="shared" si="61"/>
        <v>0</v>
      </c>
      <c r="F99" s="1556">
        <f t="shared" si="61"/>
        <v>4114813</v>
      </c>
      <c r="G99" s="1556">
        <f t="shared" si="61"/>
        <v>13135187</v>
      </c>
      <c r="H99" s="1556">
        <f t="shared" si="61"/>
        <v>0</v>
      </c>
      <c r="I99" s="1557">
        <f t="shared" si="55"/>
        <v>4145297</v>
      </c>
      <c r="J99" s="1558">
        <f t="shared" si="57"/>
        <v>24.03070724637681</v>
      </c>
      <c r="K99" s="1559">
        <f>+K100</f>
        <v>30484</v>
      </c>
      <c r="L99" s="1558">
        <f t="shared" si="58"/>
        <v>0.23207891901348646</v>
      </c>
      <c r="M99" s="1560">
        <f t="shared" si="49"/>
        <v>-6537109.5</v>
      </c>
      <c r="N99" s="3440"/>
    </row>
    <row r="100" spans="1:59" s="593" customFormat="1" ht="12.75" customHeight="1" x14ac:dyDescent="0.2">
      <c r="A100" s="3104"/>
      <c r="B100" s="1577" t="s">
        <v>13</v>
      </c>
      <c r="C100" s="3282"/>
      <c r="D100" s="2879">
        <f>+D101</f>
        <v>17250000</v>
      </c>
      <c r="E100" s="2880">
        <f>+E101</f>
        <v>0</v>
      </c>
      <c r="F100" s="2880">
        <f>+F101</f>
        <v>4114813</v>
      </c>
      <c r="G100" s="2881">
        <f>G101</f>
        <v>13135187</v>
      </c>
      <c r="H100" s="2881">
        <f>H101</f>
        <v>0</v>
      </c>
      <c r="I100" s="2879">
        <f t="shared" si="55"/>
        <v>4145297</v>
      </c>
      <c r="J100" s="621">
        <f t="shared" si="57"/>
        <v>24.03070724637681</v>
      </c>
      <c r="K100" s="2880">
        <f>+K101</f>
        <v>30484</v>
      </c>
      <c r="L100" s="2918">
        <f t="shared" si="58"/>
        <v>0.23207891901348646</v>
      </c>
      <c r="M100" s="2882">
        <f t="shared" si="49"/>
        <v>-6537109.5</v>
      </c>
      <c r="N100" s="3440"/>
    </row>
    <row r="101" spans="1:59" s="593" customFormat="1" ht="12.75" customHeight="1" thickBot="1" x14ac:dyDescent="0.25">
      <c r="A101" s="3103"/>
      <c r="B101" s="624" t="s">
        <v>15</v>
      </c>
      <c r="C101" s="3283"/>
      <c r="D101" s="2883">
        <f>+E101+F101+G101+H101</f>
        <v>17250000</v>
      </c>
      <c r="E101" s="2625">
        <v>0</v>
      </c>
      <c r="F101" s="2625">
        <v>4114813</v>
      </c>
      <c r="G101" s="2884">
        <v>13135187</v>
      </c>
      <c r="H101" s="2884"/>
      <c r="I101" s="2885">
        <f t="shared" si="55"/>
        <v>4145297</v>
      </c>
      <c r="J101" s="2886">
        <f t="shared" si="57"/>
        <v>24.03070724637681</v>
      </c>
      <c r="K101" s="2625">
        <v>30484</v>
      </c>
      <c r="L101" s="2915">
        <f t="shared" si="58"/>
        <v>0.23207891901348646</v>
      </c>
      <c r="M101" s="2887">
        <f t="shared" si="49"/>
        <v>-6537109.5</v>
      </c>
      <c r="N101" s="3441"/>
    </row>
    <row r="102" spans="1:59" s="593" customFormat="1" ht="12.75" customHeight="1" x14ac:dyDescent="0.2">
      <c r="A102" s="3448" t="s">
        <v>344</v>
      </c>
      <c r="B102" s="3449"/>
      <c r="C102" s="3449"/>
      <c r="D102" s="3449"/>
      <c r="E102" s="3449"/>
      <c r="F102" s="3449"/>
      <c r="G102" s="3449"/>
      <c r="H102" s="3449"/>
      <c r="I102" s="3449"/>
      <c r="J102" s="3449"/>
      <c r="K102" s="3449"/>
      <c r="L102" s="3449"/>
      <c r="M102" s="3449"/>
      <c r="N102" s="3450"/>
    </row>
    <row r="103" spans="1:59" s="593" customFormat="1" ht="12.75" customHeight="1" x14ac:dyDescent="0.2">
      <c r="A103" s="3451"/>
      <c r="B103" s="3452"/>
      <c r="C103" s="3452"/>
      <c r="D103" s="3452"/>
      <c r="E103" s="3452"/>
      <c r="F103" s="3452"/>
      <c r="G103" s="3452"/>
      <c r="H103" s="3452"/>
      <c r="I103" s="3452"/>
      <c r="J103" s="3452"/>
      <c r="K103" s="3452"/>
      <c r="L103" s="3452"/>
      <c r="M103" s="3452"/>
      <c r="N103" s="3453"/>
    </row>
    <row r="104" spans="1:59" s="593" customFormat="1" ht="12.75" customHeight="1" x14ac:dyDescent="0.2">
      <c r="A104" s="3451"/>
      <c r="B104" s="3452"/>
      <c r="C104" s="3452"/>
      <c r="D104" s="3452"/>
      <c r="E104" s="3452"/>
      <c r="F104" s="3452"/>
      <c r="G104" s="3452"/>
      <c r="H104" s="3452"/>
      <c r="I104" s="3452"/>
      <c r="J104" s="3452"/>
      <c r="K104" s="3452"/>
      <c r="L104" s="3452"/>
      <c r="M104" s="3452"/>
      <c r="N104" s="3453"/>
    </row>
    <row r="105" spans="1:59" s="593" customFormat="1" ht="12.75" customHeight="1" thickBot="1" x14ac:dyDescent="0.25">
      <c r="A105" s="3454"/>
      <c r="B105" s="3455"/>
      <c r="C105" s="3455"/>
      <c r="D105" s="3455"/>
      <c r="E105" s="3455"/>
      <c r="F105" s="3455"/>
      <c r="G105" s="3455"/>
      <c r="H105" s="3455"/>
      <c r="I105" s="3455"/>
      <c r="J105" s="3455"/>
      <c r="K105" s="3455"/>
      <c r="L105" s="3455"/>
      <c r="M105" s="3455"/>
      <c r="N105" s="3456"/>
    </row>
    <row r="106" spans="1:59" s="1591" customFormat="1" ht="27" customHeight="1" thickBot="1" x14ac:dyDescent="0.25">
      <c r="A106" s="645" t="s">
        <v>300</v>
      </c>
      <c r="B106" s="1582"/>
      <c r="C106" s="1583"/>
      <c r="D106" s="1582"/>
      <c r="E106" s="1584"/>
      <c r="F106" s="1582"/>
      <c r="G106" s="1582"/>
      <c r="H106" s="1585"/>
      <c r="I106" s="1586"/>
      <c r="J106" s="1587"/>
      <c r="K106" s="1582"/>
      <c r="L106" s="1588"/>
      <c r="M106" s="1589"/>
      <c r="N106" s="1590"/>
    </row>
    <row r="107" spans="1:59" s="212" customFormat="1" ht="18" customHeight="1" thickBot="1" x14ac:dyDescent="0.25">
      <c r="A107" s="1544"/>
      <c r="B107" s="139" t="s">
        <v>189</v>
      </c>
      <c r="C107" s="204"/>
      <c r="D107" s="20">
        <f>D108+D109</f>
        <v>33726466</v>
      </c>
      <c r="E107" s="19">
        <f t="shared" ref="E107:H107" si="62">E108+E109</f>
        <v>4295164</v>
      </c>
      <c r="F107" s="19">
        <f t="shared" si="62"/>
        <v>8841967</v>
      </c>
      <c r="G107" s="19">
        <f t="shared" si="62"/>
        <v>7501429</v>
      </c>
      <c r="H107" s="19">
        <f t="shared" si="62"/>
        <v>13087906</v>
      </c>
      <c r="I107" s="20">
        <f t="shared" si="55"/>
        <v>16459178</v>
      </c>
      <c r="J107" s="24">
        <f t="shared" ref="J107:J112" si="63">I107/D107*100</f>
        <v>48.801964605482233</v>
      </c>
      <c r="K107" s="19">
        <f>K108+K109</f>
        <v>3322047</v>
      </c>
      <c r="L107" s="24">
        <f t="shared" ref="L107:L112" si="64">K107/G107*100</f>
        <v>44.285522131849817</v>
      </c>
      <c r="M107" s="22">
        <f t="shared" si="49"/>
        <v>-428667.5</v>
      </c>
      <c r="N107" s="1545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</row>
    <row r="108" spans="1:59" s="212" customFormat="1" ht="14.25" customHeight="1" thickTop="1" x14ac:dyDescent="0.2">
      <c r="A108" s="649"/>
      <c r="B108" s="207" t="s">
        <v>190</v>
      </c>
      <c r="C108" s="208"/>
      <c r="D108" s="28">
        <f>D134</f>
        <v>25546531</v>
      </c>
      <c r="E108" s="27">
        <f>E134</f>
        <v>0</v>
      </c>
      <c r="F108" s="27">
        <f>F134</f>
        <v>4992196</v>
      </c>
      <c r="G108" s="27">
        <f>G134</f>
        <v>7466429</v>
      </c>
      <c r="H108" s="27">
        <f>H134</f>
        <v>13087906</v>
      </c>
      <c r="I108" s="28">
        <f t="shared" si="55"/>
        <v>8314243</v>
      </c>
      <c r="J108" s="32">
        <f t="shared" si="63"/>
        <v>32.545487291405635</v>
      </c>
      <c r="K108" s="27">
        <f>K134</f>
        <v>3322047</v>
      </c>
      <c r="L108" s="32">
        <f t="shared" si="64"/>
        <v>44.493117124665623</v>
      </c>
      <c r="M108" s="30">
        <f t="shared" si="49"/>
        <v>-411167.5</v>
      </c>
      <c r="N108" s="1545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</row>
    <row r="109" spans="1:59" s="212" customFormat="1" ht="14.25" customHeight="1" thickBot="1" x14ac:dyDescent="0.25">
      <c r="A109" s="649"/>
      <c r="B109" s="1592" t="s">
        <v>191</v>
      </c>
      <c r="C109" s="1593"/>
      <c r="D109" s="909">
        <f t="shared" ref="D109:H109" si="65">D114+D118+D122+D126+D130</f>
        <v>8179935</v>
      </c>
      <c r="E109" s="1594">
        <f t="shared" si="65"/>
        <v>4295164</v>
      </c>
      <c r="F109" s="1594">
        <f t="shared" si="65"/>
        <v>3849771</v>
      </c>
      <c r="G109" s="1594">
        <f t="shared" si="65"/>
        <v>35000</v>
      </c>
      <c r="H109" s="1594">
        <f t="shared" si="65"/>
        <v>0</v>
      </c>
      <c r="I109" s="909">
        <f t="shared" si="55"/>
        <v>8144935</v>
      </c>
      <c r="J109" s="37">
        <f t="shared" si="63"/>
        <v>99.572123739369573</v>
      </c>
      <c r="K109" s="1594">
        <f>K114+K118+K122+K126+K130</f>
        <v>0</v>
      </c>
      <c r="L109" s="37">
        <f t="shared" si="64"/>
        <v>0</v>
      </c>
      <c r="M109" s="1595">
        <f t="shared" si="49"/>
        <v>-17500</v>
      </c>
      <c r="N109" s="1545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</row>
    <row r="110" spans="1:59" s="1549" customFormat="1" ht="13.5" customHeight="1" thickBot="1" x14ac:dyDescent="0.25">
      <c r="A110" s="3483"/>
      <c r="B110" s="630" t="s">
        <v>3</v>
      </c>
      <c r="C110" s="631"/>
      <c r="D110" s="560">
        <f>+D111</f>
        <v>33726466</v>
      </c>
      <c r="E110" s="562">
        <f t="shared" ref="E110:H111" si="66">+E111</f>
        <v>4295164</v>
      </c>
      <c r="F110" s="562">
        <f t="shared" si="66"/>
        <v>8841967</v>
      </c>
      <c r="G110" s="564">
        <f t="shared" si="66"/>
        <v>7501429</v>
      </c>
      <c r="H110" s="562">
        <f t="shared" si="66"/>
        <v>13087906</v>
      </c>
      <c r="I110" s="616">
        <f t="shared" si="55"/>
        <v>16459178</v>
      </c>
      <c r="J110" s="632">
        <f t="shared" si="63"/>
        <v>48.801964605482233</v>
      </c>
      <c r="K110" s="633">
        <f t="shared" ref="K110:K111" si="67">+K111</f>
        <v>3322047</v>
      </c>
      <c r="L110" s="1126">
        <f t="shared" si="64"/>
        <v>44.285522131849817</v>
      </c>
      <c r="M110" s="563">
        <f t="shared" si="49"/>
        <v>-428667.5</v>
      </c>
      <c r="N110" s="3485"/>
    </row>
    <row r="111" spans="1:59" s="635" customFormat="1" ht="12" customHeight="1" x14ac:dyDescent="0.2">
      <c r="A111" s="3484"/>
      <c r="B111" s="663" t="s">
        <v>4</v>
      </c>
      <c r="C111" s="3487"/>
      <c r="D111" s="1332">
        <f>+D112</f>
        <v>33726466</v>
      </c>
      <c r="E111" s="1333">
        <f t="shared" si="66"/>
        <v>4295164</v>
      </c>
      <c r="F111" s="1333">
        <f t="shared" si="66"/>
        <v>8841967</v>
      </c>
      <c r="G111" s="1334">
        <f t="shared" si="66"/>
        <v>7501429</v>
      </c>
      <c r="H111" s="1333">
        <f t="shared" si="66"/>
        <v>13087906</v>
      </c>
      <c r="I111" s="1335">
        <f t="shared" si="55"/>
        <v>16459178</v>
      </c>
      <c r="J111" s="1336">
        <f t="shared" si="63"/>
        <v>48.801964605482233</v>
      </c>
      <c r="K111" s="1337">
        <f t="shared" si="67"/>
        <v>3322047</v>
      </c>
      <c r="L111" s="1338">
        <f t="shared" si="64"/>
        <v>44.285522131849817</v>
      </c>
      <c r="M111" s="1339">
        <f t="shared" si="49"/>
        <v>-428667.5</v>
      </c>
      <c r="N111" s="3486"/>
      <c r="O111" s="634"/>
      <c r="P111" s="634"/>
      <c r="Q111" s="634"/>
      <c r="R111" s="634"/>
      <c r="S111" s="634"/>
    </row>
    <row r="112" spans="1:59" s="1552" customFormat="1" ht="12.75" customHeight="1" thickBot="1" x14ac:dyDescent="0.25">
      <c r="A112" s="3420"/>
      <c r="B112" s="572" t="s">
        <v>5</v>
      </c>
      <c r="C112" s="3488"/>
      <c r="D112" s="636">
        <f>D116+D120+D124+D128+D132+D136</f>
        <v>33726466</v>
      </c>
      <c r="E112" s="637">
        <f>E116+E120+E124+E128+E132+E136</f>
        <v>4295164</v>
      </c>
      <c r="F112" s="638">
        <f>F116+F120+F124+F128+F132+F136</f>
        <v>8841967</v>
      </c>
      <c r="G112" s="639">
        <f>G116+G120+G124+G128+G132+G136</f>
        <v>7501429</v>
      </c>
      <c r="H112" s="637">
        <f>H116+H120+H124+H128+H132+H136</f>
        <v>13087906</v>
      </c>
      <c r="I112" s="636">
        <f t="shared" si="55"/>
        <v>16459178</v>
      </c>
      <c r="J112" s="640">
        <f t="shared" si="63"/>
        <v>48.801964605482233</v>
      </c>
      <c r="K112" s="575">
        <f>K116+K120+K124+K128+K132+K136</f>
        <v>3322047</v>
      </c>
      <c r="L112" s="580">
        <f t="shared" si="64"/>
        <v>44.285522131849817</v>
      </c>
      <c r="M112" s="1129">
        <f t="shared" si="49"/>
        <v>-428667.5</v>
      </c>
      <c r="N112" s="3259"/>
    </row>
    <row r="113" spans="1:14" s="1596" customFormat="1" ht="38.25" x14ac:dyDescent="0.2">
      <c r="A113" s="3411" t="s">
        <v>33</v>
      </c>
      <c r="B113" s="620" t="s">
        <v>159</v>
      </c>
      <c r="C113" s="526" t="s">
        <v>193</v>
      </c>
      <c r="D113" s="1562"/>
      <c r="E113" s="1564"/>
      <c r="F113" s="1563"/>
      <c r="G113" s="1563"/>
      <c r="H113" s="1564"/>
      <c r="I113" s="1562"/>
      <c r="J113" s="1565"/>
      <c r="K113" s="1566"/>
      <c r="L113" s="1580"/>
      <c r="M113" s="1581"/>
      <c r="N113" s="3445" t="s">
        <v>160</v>
      </c>
    </row>
    <row r="114" spans="1:14" s="1596" customFormat="1" ht="13.5" customHeight="1" x14ac:dyDescent="0.2">
      <c r="A114" s="3412"/>
      <c r="B114" s="236" t="s">
        <v>3</v>
      </c>
      <c r="C114" s="1568"/>
      <c r="D114" s="1597">
        <f>+D115</f>
        <v>295200</v>
      </c>
      <c r="E114" s="1598">
        <v>0</v>
      </c>
      <c r="F114" s="1598">
        <f t="shared" ref="F114:H115" si="68">F115</f>
        <v>295200</v>
      </c>
      <c r="G114" s="1599">
        <f t="shared" si="68"/>
        <v>0</v>
      </c>
      <c r="H114" s="1600">
        <f t="shared" si="68"/>
        <v>0</v>
      </c>
      <c r="I114" s="1597">
        <f t="shared" si="55"/>
        <v>295200</v>
      </c>
      <c r="J114" s="1569">
        <f>I114/D114*100</f>
        <v>100</v>
      </c>
      <c r="K114" s="775">
        <f>K115</f>
        <v>0</v>
      </c>
      <c r="L114" s="1158">
        <v>0</v>
      </c>
      <c r="M114" s="1601">
        <f t="shared" si="49"/>
        <v>0</v>
      </c>
      <c r="N114" s="3446"/>
    </row>
    <row r="115" spans="1:14" s="1596" customFormat="1" ht="14.25" customHeight="1" x14ac:dyDescent="0.2">
      <c r="A115" s="3412"/>
      <c r="B115" s="322" t="s">
        <v>18</v>
      </c>
      <c r="C115" s="3444" t="s">
        <v>158</v>
      </c>
      <c r="D115" s="1602">
        <f>+D116</f>
        <v>295200</v>
      </c>
      <c r="E115" s="1603">
        <v>0</v>
      </c>
      <c r="F115" s="1603">
        <f t="shared" si="68"/>
        <v>295200</v>
      </c>
      <c r="G115" s="1604">
        <f t="shared" si="68"/>
        <v>0</v>
      </c>
      <c r="H115" s="1605">
        <f t="shared" si="68"/>
        <v>0</v>
      </c>
      <c r="I115" s="1602">
        <f t="shared" si="55"/>
        <v>295200</v>
      </c>
      <c r="J115" s="621">
        <f>I115/D115*100</f>
        <v>100</v>
      </c>
      <c r="K115" s="1578">
        <f>K116</f>
        <v>0</v>
      </c>
      <c r="L115" s="1125">
        <v>0</v>
      </c>
      <c r="M115" s="1606">
        <f t="shared" si="49"/>
        <v>0</v>
      </c>
      <c r="N115" s="3446"/>
    </row>
    <row r="116" spans="1:14" s="1596" customFormat="1" ht="13.5" customHeight="1" thickBot="1" x14ac:dyDescent="0.25">
      <c r="A116" s="3435"/>
      <c r="B116" s="1607" t="s">
        <v>5</v>
      </c>
      <c r="C116" s="3283"/>
      <c r="D116" s="1608">
        <f>+E116+F116+G116+H116</f>
        <v>295200</v>
      </c>
      <c r="E116" s="855">
        <v>0</v>
      </c>
      <c r="F116" s="855">
        <v>295200</v>
      </c>
      <c r="G116" s="856">
        <v>0</v>
      </c>
      <c r="H116" s="1609">
        <v>0</v>
      </c>
      <c r="I116" s="642">
        <f t="shared" si="55"/>
        <v>295200</v>
      </c>
      <c r="J116" s="628">
        <f>I116/D116*100</f>
        <v>100</v>
      </c>
      <c r="K116" s="1610">
        <v>0</v>
      </c>
      <c r="L116" s="1123">
        <v>0</v>
      </c>
      <c r="M116" s="942">
        <f t="shared" si="49"/>
        <v>0</v>
      </c>
      <c r="N116" s="3447"/>
    </row>
    <row r="117" spans="1:14" s="1596" customFormat="1" ht="42.75" customHeight="1" x14ac:dyDescent="0.2">
      <c r="A117" s="3442" t="s">
        <v>36</v>
      </c>
      <c r="B117" s="620" t="s">
        <v>161</v>
      </c>
      <c r="C117" s="526" t="s">
        <v>193</v>
      </c>
      <c r="D117" s="1562"/>
      <c r="E117" s="1563"/>
      <c r="F117" s="1563"/>
      <c r="G117" s="2927"/>
      <c r="H117" s="1564"/>
      <c r="I117" s="1562"/>
      <c r="J117" s="1565"/>
      <c r="K117" s="1566"/>
      <c r="L117" s="2928"/>
      <c r="M117" s="1581"/>
      <c r="N117" s="3414" t="s">
        <v>162</v>
      </c>
    </row>
    <row r="118" spans="1:14" s="1596" customFormat="1" ht="13.5" customHeight="1" x14ac:dyDescent="0.2">
      <c r="A118" s="3412"/>
      <c r="B118" s="236" t="s">
        <v>3</v>
      </c>
      <c r="C118" s="1568"/>
      <c r="D118" s="1557">
        <f>+D119</f>
        <v>2214408</v>
      </c>
      <c r="E118" s="1559">
        <f t="shared" ref="E118:H119" si="69">+E119</f>
        <v>1759444</v>
      </c>
      <c r="F118" s="1559">
        <f t="shared" si="69"/>
        <v>454964</v>
      </c>
      <c r="G118" s="775">
        <f t="shared" si="69"/>
        <v>0</v>
      </c>
      <c r="H118" s="1158">
        <f t="shared" si="69"/>
        <v>0</v>
      </c>
      <c r="I118" s="1557">
        <f t="shared" si="55"/>
        <v>2214408</v>
      </c>
      <c r="J118" s="1569">
        <f>I118/D118*100</f>
        <v>100</v>
      </c>
      <c r="K118" s="1559">
        <f>+K119</f>
        <v>0</v>
      </c>
      <c r="L118" s="1158">
        <v>0</v>
      </c>
      <c r="M118" s="1560">
        <f t="shared" si="49"/>
        <v>0</v>
      </c>
      <c r="N118" s="3259"/>
    </row>
    <row r="119" spans="1:14" s="1596" customFormat="1" ht="13.5" customHeight="1" x14ac:dyDescent="0.2">
      <c r="A119" s="3412"/>
      <c r="B119" s="322" t="s">
        <v>18</v>
      </c>
      <c r="C119" s="3444" t="s">
        <v>163</v>
      </c>
      <c r="D119" s="2879">
        <f>+D120</f>
        <v>2214408</v>
      </c>
      <c r="E119" s="2880">
        <f t="shared" si="69"/>
        <v>1759444</v>
      </c>
      <c r="F119" s="2880">
        <f t="shared" si="69"/>
        <v>454964</v>
      </c>
      <c r="G119" s="1578">
        <f t="shared" si="69"/>
        <v>0</v>
      </c>
      <c r="H119" s="1125">
        <f t="shared" si="69"/>
        <v>0</v>
      </c>
      <c r="I119" s="2879">
        <f t="shared" si="55"/>
        <v>2214408</v>
      </c>
      <c r="J119" s="621">
        <f>I119/D119*100</f>
        <v>100</v>
      </c>
      <c r="K119" s="2880">
        <f>+K120</f>
        <v>0</v>
      </c>
      <c r="L119" s="1125">
        <v>0</v>
      </c>
      <c r="M119" s="2882">
        <f t="shared" si="49"/>
        <v>0</v>
      </c>
      <c r="N119" s="3259"/>
    </row>
    <row r="120" spans="1:14" s="1596" customFormat="1" ht="13.5" thickBot="1" x14ac:dyDescent="0.25">
      <c r="A120" s="3435"/>
      <c r="B120" s="1607" t="s">
        <v>5</v>
      </c>
      <c r="C120" s="3283"/>
      <c r="D120" s="2883">
        <f>+E120+F120+G120+H120</f>
        <v>2214408</v>
      </c>
      <c r="E120" s="2922">
        <f>90820+1668624</f>
        <v>1759444</v>
      </c>
      <c r="F120" s="2922">
        <v>454964</v>
      </c>
      <c r="G120" s="1610">
        <v>0</v>
      </c>
      <c r="H120" s="1609">
        <v>0</v>
      </c>
      <c r="I120" s="2883">
        <f t="shared" si="55"/>
        <v>2214408</v>
      </c>
      <c r="J120" s="628">
        <f>I120/D120*100</f>
        <v>100</v>
      </c>
      <c r="K120" s="2922">
        <v>0</v>
      </c>
      <c r="L120" s="1123">
        <v>0</v>
      </c>
      <c r="M120" s="2925">
        <f t="shared" si="49"/>
        <v>0</v>
      </c>
      <c r="N120" s="3443"/>
    </row>
    <row r="121" spans="1:14" s="1596" customFormat="1" ht="37.5" customHeight="1" x14ac:dyDescent="0.2">
      <c r="A121" s="3411" t="s">
        <v>41</v>
      </c>
      <c r="B121" s="620" t="s">
        <v>369</v>
      </c>
      <c r="C121" s="526" t="s">
        <v>193</v>
      </c>
      <c r="D121" s="1562"/>
      <c r="E121" s="1563"/>
      <c r="F121" s="1563"/>
      <c r="G121" s="1563"/>
      <c r="H121" s="2929"/>
      <c r="I121" s="1562"/>
      <c r="J121" s="1565"/>
      <c r="K121" s="1566"/>
      <c r="L121" s="2928"/>
      <c r="M121" s="1581"/>
      <c r="N121" s="3414" t="s">
        <v>162</v>
      </c>
    </row>
    <row r="122" spans="1:14" s="1596" customFormat="1" ht="13.5" customHeight="1" thickBot="1" x14ac:dyDescent="0.25">
      <c r="A122" s="3435"/>
      <c r="B122" s="236" t="s">
        <v>3</v>
      </c>
      <c r="C122" s="1568"/>
      <c r="D122" s="1597">
        <f>+D123</f>
        <v>2665246</v>
      </c>
      <c r="E122" s="1598">
        <f t="shared" ref="E122:H123" si="70">+E123</f>
        <v>1459997</v>
      </c>
      <c r="F122" s="1598">
        <f t="shared" si="70"/>
        <v>1205249</v>
      </c>
      <c r="G122" s="2930">
        <f t="shared" si="70"/>
        <v>0</v>
      </c>
      <c r="H122" s="2930">
        <f t="shared" si="70"/>
        <v>0</v>
      </c>
      <c r="I122" s="1597">
        <f t="shared" si="55"/>
        <v>2665246</v>
      </c>
      <c r="J122" s="1569">
        <f>I122/D122*100</f>
        <v>100</v>
      </c>
      <c r="K122" s="1158">
        <f>+K123</f>
        <v>0</v>
      </c>
      <c r="L122" s="1158">
        <v>0</v>
      </c>
      <c r="M122" s="1601">
        <f t="shared" si="49"/>
        <v>0</v>
      </c>
      <c r="N122" s="3443"/>
    </row>
    <row r="123" spans="1:14" s="1596" customFormat="1" ht="14.25" customHeight="1" x14ac:dyDescent="0.2">
      <c r="A123" s="3411"/>
      <c r="B123" s="322" t="s">
        <v>18</v>
      </c>
      <c r="C123" s="3444" t="s">
        <v>163</v>
      </c>
      <c r="D123" s="1602">
        <f>+D124</f>
        <v>2665246</v>
      </c>
      <c r="E123" s="1603">
        <f t="shared" si="70"/>
        <v>1459997</v>
      </c>
      <c r="F123" s="1603">
        <f t="shared" si="70"/>
        <v>1205249</v>
      </c>
      <c r="G123" s="1605">
        <f t="shared" si="70"/>
        <v>0</v>
      </c>
      <c r="H123" s="1605">
        <f t="shared" si="70"/>
        <v>0</v>
      </c>
      <c r="I123" s="1602">
        <f t="shared" si="55"/>
        <v>2665246</v>
      </c>
      <c r="J123" s="621">
        <f>I123/D123*100</f>
        <v>100</v>
      </c>
      <c r="K123" s="1125">
        <f>+K124</f>
        <v>0</v>
      </c>
      <c r="L123" s="1125">
        <v>0</v>
      </c>
      <c r="M123" s="1606">
        <f t="shared" si="49"/>
        <v>0</v>
      </c>
      <c r="N123" s="3457"/>
    </row>
    <row r="124" spans="1:14" s="1596" customFormat="1" ht="13.5" customHeight="1" thickBot="1" x14ac:dyDescent="0.25">
      <c r="A124" s="3412"/>
      <c r="B124" s="1607" t="s">
        <v>5</v>
      </c>
      <c r="C124" s="3283"/>
      <c r="D124" s="1608">
        <f>+E124+F124+G124+H124</f>
        <v>2665246</v>
      </c>
      <c r="E124" s="855">
        <f>1276000-84331+268328</f>
        <v>1459997</v>
      </c>
      <c r="F124" s="2931">
        <v>1205249</v>
      </c>
      <c r="G124" s="1609">
        <v>0</v>
      </c>
      <c r="H124" s="1609">
        <v>0</v>
      </c>
      <c r="I124" s="1608">
        <f t="shared" si="55"/>
        <v>2665246</v>
      </c>
      <c r="J124" s="628">
        <f>I124/D124*100</f>
        <v>100</v>
      </c>
      <c r="K124" s="1123">
        <v>0</v>
      </c>
      <c r="L124" s="1123">
        <v>0</v>
      </c>
      <c r="M124" s="942">
        <f t="shared" si="49"/>
        <v>0</v>
      </c>
      <c r="N124" s="3446"/>
    </row>
    <row r="125" spans="1:14" s="1596" customFormat="1" ht="25.5" customHeight="1" x14ac:dyDescent="0.2">
      <c r="A125" s="3412" t="s">
        <v>42</v>
      </c>
      <c r="B125" s="2932" t="s">
        <v>314</v>
      </c>
      <c r="C125" s="2102" t="s">
        <v>193</v>
      </c>
      <c r="D125" s="2933"/>
      <c r="E125" s="2934"/>
      <c r="F125" s="2934"/>
      <c r="G125" s="2934"/>
      <c r="H125" s="2935"/>
      <c r="I125" s="2936"/>
      <c r="J125" s="2937"/>
      <c r="K125" s="2937"/>
      <c r="L125" s="2937"/>
      <c r="M125" s="2938"/>
      <c r="N125" s="3481" t="s">
        <v>162</v>
      </c>
    </row>
    <row r="126" spans="1:14" s="1596" customFormat="1" ht="13.5" customHeight="1" x14ac:dyDescent="0.2">
      <c r="A126" s="3412"/>
      <c r="B126" s="236" t="s">
        <v>3</v>
      </c>
      <c r="C126" s="1568"/>
      <c r="D126" s="1597">
        <f>+D127</f>
        <v>2117080</v>
      </c>
      <c r="E126" s="1598">
        <f t="shared" ref="E126:H127" si="71">+E127</f>
        <v>190882</v>
      </c>
      <c r="F126" s="1598">
        <f t="shared" si="71"/>
        <v>1891198</v>
      </c>
      <c r="G126" s="1598">
        <f t="shared" si="71"/>
        <v>35000</v>
      </c>
      <c r="H126" s="2939">
        <f t="shared" si="71"/>
        <v>0</v>
      </c>
      <c r="I126" s="1597">
        <f t="shared" si="55"/>
        <v>2082080</v>
      </c>
      <c r="J126" s="1569">
        <f>I126/D126*100</f>
        <v>98.346779526517665</v>
      </c>
      <c r="K126" s="1556">
        <f>+K127</f>
        <v>0</v>
      </c>
      <c r="L126" s="1558">
        <f>K126/G126*100</f>
        <v>0</v>
      </c>
      <c r="M126" s="2940">
        <f t="shared" si="49"/>
        <v>-17500</v>
      </c>
      <c r="N126" s="3446"/>
    </row>
    <row r="127" spans="1:14" s="1596" customFormat="1" ht="12" customHeight="1" x14ac:dyDescent="0.2">
      <c r="A127" s="3412"/>
      <c r="B127" s="322" t="s">
        <v>18</v>
      </c>
      <c r="C127" s="3444" t="s">
        <v>163</v>
      </c>
      <c r="D127" s="1602">
        <f>+D128</f>
        <v>2117080</v>
      </c>
      <c r="E127" s="1603">
        <f t="shared" si="71"/>
        <v>190882</v>
      </c>
      <c r="F127" s="1603">
        <f t="shared" si="71"/>
        <v>1891198</v>
      </c>
      <c r="G127" s="1603">
        <f t="shared" si="71"/>
        <v>35000</v>
      </c>
      <c r="H127" s="2941">
        <f t="shared" si="71"/>
        <v>0</v>
      </c>
      <c r="I127" s="1602">
        <f t="shared" si="55"/>
        <v>2082080</v>
      </c>
      <c r="J127" s="621">
        <f>I127/D127*100</f>
        <v>98.346779526517665</v>
      </c>
      <c r="K127" s="2881">
        <f>+K128</f>
        <v>0</v>
      </c>
      <c r="L127" s="2918">
        <f>K127/G127*100</f>
        <v>0</v>
      </c>
      <c r="M127" s="2942">
        <f t="shared" si="49"/>
        <v>-17500</v>
      </c>
      <c r="N127" s="3446"/>
    </row>
    <row r="128" spans="1:14" s="1596" customFormat="1" ht="13.5" customHeight="1" x14ac:dyDescent="0.2">
      <c r="A128" s="3412"/>
      <c r="B128" s="2874" t="s">
        <v>5</v>
      </c>
      <c r="C128" s="3282"/>
      <c r="D128" s="2943">
        <f>+E128+F128+G128+H128</f>
        <v>2117080</v>
      </c>
      <c r="E128" s="2944">
        <f>153720+2607+34555</f>
        <v>190882</v>
      </c>
      <c r="F128" s="2944">
        <v>1891198</v>
      </c>
      <c r="G128" s="2945">
        <v>35000</v>
      </c>
      <c r="H128" s="2945">
        <v>0</v>
      </c>
      <c r="I128" s="2943">
        <f t="shared" si="55"/>
        <v>2082080</v>
      </c>
      <c r="J128" s="625">
        <f>I128/D128*100</f>
        <v>98.346779526517665</v>
      </c>
      <c r="K128" s="2876">
        <v>0</v>
      </c>
      <c r="L128" s="2920">
        <f>K128/G128*100</f>
        <v>0</v>
      </c>
      <c r="M128" s="2946">
        <f t="shared" si="49"/>
        <v>-17500</v>
      </c>
      <c r="N128" s="3446"/>
    </row>
    <row r="129" spans="1:14" s="1596" customFormat="1" ht="40.5" customHeight="1" x14ac:dyDescent="0.2">
      <c r="A129" s="3412" t="s">
        <v>44</v>
      </c>
      <c r="B129" s="2947" t="s">
        <v>167</v>
      </c>
      <c r="C129" s="2948" t="s">
        <v>193</v>
      </c>
      <c r="D129" s="2949"/>
      <c r="E129" s="2950"/>
      <c r="F129" s="2950"/>
      <c r="G129" s="2950"/>
      <c r="H129" s="2951"/>
      <c r="I129" s="2949"/>
      <c r="J129" s="2952"/>
      <c r="K129" s="2953"/>
      <c r="L129" s="2954"/>
      <c r="M129" s="2955"/>
      <c r="N129" s="3481" t="s">
        <v>162</v>
      </c>
    </row>
    <row r="130" spans="1:14" s="1596" customFormat="1" ht="13.5" customHeight="1" x14ac:dyDescent="0.2">
      <c r="A130" s="3412"/>
      <c r="B130" s="236" t="s">
        <v>3</v>
      </c>
      <c r="C130" s="1568"/>
      <c r="D130" s="1557">
        <f t="shared" ref="D130:K130" si="72">D131</f>
        <v>888001</v>
      </c>
      <c r="E130" s="2890">
        <f t="shared" si="72"/>
        <v>884841</v>
      </c>
      <c r="F130" s="2890">
        <f t="shared" si="72"/>
        <v>3160</v>
      </c>
      <c r="G130" s="2956">
        <f t="shared" si="72"/>
        <v>0</v>
      </c>
      <c r="H130" s="2673">
        <f t="shared" si="72"/>
        <v>0</v>
      </c>
      <c r="I130" s="1557">
        <f t="shared" si="55"/>
        <v>888001</v>
      </c>
      <c r="J130" s="1569">
        <f>I130/D130*100</f>
        <v>100</v>
      </c>
      <c r="K130" s="2956">
        <f t="shared" si="72"/>
        <v>0</v>
      </c>
      <c r="L130" s="1158">
        <v>0</v>
      </c>
      <c r="M130" s="776">
        <f t="shared" si="49"/>
        <v>0</v>
      </c>
      <c r="N130" s="3440"/>
    </row>
    <row r="131" spans="1:14" s="643" customFormat="1" ht="13.5" customHeight="1" x14ac:dyDescent="0.2">
      <c r="A131" s="3412"/>
      <c r="B131" s="322" t="s">
        <v>18</v>
      </c>
      <c r="C131" s="3417" t="s">
        <v>163</v>
      </c>
      <c r="D131" s="2871">
        <f>+D132</f>
        <v>888001</v>
      </c>
      <c r="E131" s="2085">
        <f>+E132</f>
        <v>884841</v>
      </c>
      <c r="F131" s="2085">
        <f>+F132</f>
        <v>3160</v>
      </c>
      <c r="G131" s="1571">
        <f>+G132</f>
        <v>0</v>
      </c>
      <c r="H131" s="1572">
        <v>0</v>
      </c>
      <c r="I131" s="2871">
        <f t="shared" si="55"/>
        <v>888001</v>
      </c>
      <c r="J131" s="1573">
        <f>I131/D131*100</f>
        <v>100</v>
      </c>
      <c r="K131" s="1571">
        <f>+K132</f>
        <v>0</v>
      </c>
      <c r="L131" s="1572">
        <v>0</v>
      </c>
      <c r="M131" s="1574">
        <f t="shared" si="49"/>
        <v>0</v>
      </c>
      <c r="N131" s="3440"/>
    </row>
    <row r="132" spans="1:14" s="1596" customFormat="1" ht="13.5" customHeight="1" thickBot="1" x14ac:dyDescent="0.25">
      <c r="A132" s="3412"/>
      <c r="B132" s="2957" t="s">
        <v>5</v>
      </c>
      <c r="C132" s="3482"/>
      <c r="D132" s="2958">
        <f>+E132+F132+G132+H132</f>
        <v>888001</v>
      </c>
      <c r="E132" s="2959">
        <v>884841</v>
      </c>
      <c r="F132" s="2959">
        <v>3160</v>
      </c>
      <c r="G132" s="2960">
        <v>0</v>
      </c>
      <c r="H132" s="2961">
        <v>0</v>
      </c>
      <c r="I132" s="2958">
        <f t="shared" si="55"/>
        <v>888001</v>
      </c>
      <c r="J132" s="2962">
        <f>I132/D132*100</f>
        <v>100</v>
      </c>
      <c r="K132" s="2960">
        <v>0</v>
      </c>
      <c r="L132" s="2963">
        <v>0</v>
      </c>
      <c r="M132" s="2964">
        <f t="shared" si="49"/>
        <v>0</v>
      </c>
      <c r="N132" s="3440"/>
    </row>
    <row r="133" spans="1:14" s="1596" customFormat="1" ht="41.25" customHeight="1" x14ac:dyDescent="0.2">
      <c r="A133" s="3412" t="s">
        <v>45</v>
      </c>
      <c r="B133" s="620" t="s">
        <v>311</v>
      </c>
      <c r="C133" s="526" t="s">
        <v>198</v>
      </c>
      <c r="D133" s="1562"/>
      <c r="E133" s="1563"/>
      <c r="F133" s="1563"/>
      <c r="G133" s="1563"/>
      <c r="H133" s="1564"/>
      <c r="I133" s="1562"/>
      <c r="J133" s="2965"/>
      <c r="K133" s="1563"/>
      <c r="L133" s="2966"/>
      <c r="M133" s="1581"/>
      <c r="N133" s="3478" t="s">
        <v>330</v>
      </c>
    </row>
    <row r="134" spans="1:14" s="1596" customFormat="1" ht="13.5" customHeight="1" thickBot="1" x14ac:dyDescent="0.25">
      <c r="A134" s="3435"/>
      <c r="B134" s="236" t="s">
        <v>3</v>
      </c>
      <c r="C134" s="1568"/>
      <c r="D134" s="1597">
        <f>D135</f>
        <v>25546531</v>
      </c>
      <c r="E134" s="2967">
        <f t="shared" ref="E134:K134" si="73">E135</f>
        <v>0</v>
      </c>
      <c r="F134" s="2967">
        <f t="shared" si="73"/>
        <v>4992196</v>
      </c>
      <c r="G134" s="2967">
        <f t="shared" si="73"/>
        <v>7466429</v>
      </c>
      <c r="H134" s="2968">
        <f t="shared" si="73"/>
        <v>13087906</v>
      </c>
      <c r="I134" s="1597">
        <f t="shared" si="55"/>
        <v>8314243</v>
      </c>
      <c r="J134" s="2969">
        <f>I134/D134*100</f>
        <v>32.545487291405635</v>
      </c>
      <c r="K134" s="2967">
        <f t="shared" si="73"/>
        <v>3322047</v>
      </c>
      <c r="L134" s="2970">
        <f>K134/G134*100</f>
        <v>44.493117124665623</v>
      </c>
      <c r="M134" s="2940">
        <f t="shared" si="49"/>
        <v>-411167.5</v>
      </c>
      <c r="N134" s="3479"/>
    </row>
    <row r="135" spans="1:14" s="643" customFormat="1" ht="13.5" customHeight="1" x14ac:dyDescent="0.2">
      <c r="A135" s="3411"/>
      <c r="B135" s="322" t="s">
        <v>18</v>
      </c>
      <c r="C135" s="3417" t="s">
        <v>158</v>
      </c>
      <c r="D135" s="2971">
        <f t="shared" ref="D135:H135" si="74">+D136</f>
        <v>25546531</v>
      </c>
      <c r="E135" s="2972">
        <f t="shared" si="74"/>
        <v>0</v>
      </c>
      <c r="F135" s="2972">
        <f t="shared" si="74"/>
        <v>4992196</v>
      </c>
      <c r="G135" s="2972">
        <f t="shared" si="74"/>
        <v>7466429</v>
      </c>
      <c r="H135" s="2973">
        <f t="shared" si="74"/>
        <v>13087906</v>
      </c>
      <c r="I135" s="2971">
        <f t="shared" si="55"/>
        <v>8314243</v>
      </c>
      <c r="J135" s="2974">
        <f>I135/D135*100</f>
        <v>32.545487291405635</v>
      </c>
      <c r="K135" s="2972">
        <f>+K136</f>
        <v>3322047</v>
      </c>
      <c r="L135" s="2975">
        <f>K135/G135*100</f>
        <v>44.493117124665623</v>
      </c>
      <c r="M135" s="2942">
        <f t="shared" si="49"/>
        <v>-411167.5</v>
      </c>
      <c r="N135" s="3480"/>
    </row>
    <row r="136" spans="1:14" s="1596" customFormat="1" ht="13.5" customHeight="1" thickBot="1" x14ac:dyDescent="0.25">
      <c r="A136" s="3435"/>
      <c r="B136" s="2976" t="s">
        <v>5</v>
      </c>
      <c r="C136" s="3304"/>
      <c r="D136" s="2977">
        <f>+E136+F136+G136+H136</f>
        <v>25546531</v>
      </c>
      <c r="E136" s="2978">
        <v>0</v>
      </c>
      <c r="F136" s="2978">
        <v>4992196</v>
      </c>
      <c r="G136" s="2978">
        <v>7466429</v>
      </c>
      <c r="H136" s="2979">
        <f>7703906+5384000</f>
        <v>13087906</v>
      </c>
      <c r="I136" s="2977">
        <f>+K136+E136+F136</f>
        <v>8314243</v>
      </c>
      <c r="J136" s="2980">
        <f>I136/D136*100</f>
        <v>32.545487291405635</v>
      </c>
      <c r="K136" s="2978">
        <v>3322047</v>
      </c>
      <c r="L136" s="2981">
        <f>K136/G136*100</f>
        <v>44.493117124665623</v>
      </c>
      <c r="M136" s="2982">
        <f t="shared" si="49"/>
        <v>-411167.5</v>
      </c>
      <c r="N136" s="3479"/>
    </row>
    <row r="137" spans="1:14" s="593" customFormat="1" x14ac:dyDescent="0.2">
      <c r="A137" s="1611"/>
      <c r="B137" s="670"/>
      <c r="C137" s="1612"/>
      <c r="D137" s="670"/>
      <c r="E137" s="1613"/>
      <c r="F137" s="670"/>
      <c r="G137" s="670"/>
      <c r="H137" s="670"/>
      <c r="I137" s="670"/>
      <c r="J137" s="670"/>
      <c r="K137" s="670"/>
      <c r="L137" s="670"/>
      <c r="M137" s="670"/>
      <c r="N137" s="2802"/>
    </row>
    <row r="138" spans="1:14" s="593" customFormat="1" x14ac:dyDescent="0.2">
      <c r="A138" s="1614"/>
      <c r="B138" s="670"/>
      <c r="C138" s="1612"/>
      <c r="D138" s="670"/>
      <c r="E138" s="1615"/>
      <c r="F138" s="670"/>
      <c r="G138" s="670"/>
      <c r="H138" s="670"/>
      <c r="I138" s="670"/>
      <c r="J138" s="670"/>
      <c r="K138" s="670"/>
      <c r="L138" s="670"/>
      <c r="M138" s="670"/>
      <c r="N138" s="390"/>
    </row>
    <row r="139" spans="1:14" s="593" customFormat="1" x14ac:dyDescent="0.2">
      <c r="A139" s="1614"/>
      <c r="B139" s="670"/>
      <c r="C139" s="1612"/>
      <c r="D139" s="670"/>
      <c r="E139" s="1615"/>
      <c r="F139" s="670"/>
      <c r="G139" s="1616"/>
      <c r="H139" s="1616"/>
      <c r="I139" s="670"/>
      <c r="J139" s="670"/>
      <c r="K139" s="670"/>
      <c r="L139" s="670"/>
      <c r="M139" s="670"/>
      <c r="N139" s="390"/>
    </row>
    <row r="140" spans="1:14" s="593" customFormat="1" x14ac:dyDescent="0.2">
      <c r="A140" s="1614"/>
      <c r="B140" s="670"/>
      <c r="C140" s="1612"/>
      <c r="D140" s="1616"/>
      <c r="E140" s="1617"/>
      <c r="F140" s="670"/>
      <c r="G140" s="670"/>
      <c r="H140" s="670"/>
      <c r="I140" s="670"/>
      <c r="J140" s="670"/>
      <c r="K140" s="670"/>
      <c r="L140" s="670"/>
      <c r="M140" s="670"/>
      <c r="N140" s="390"/>
    </row>
    <row r="141" spans="1:14" s="593" customFormat="1" x14ac:dyDescent="0.2">
      <c r="A141" s="1614"/>
      <c r="B141" s="670"/>
      <c r="C141" s="1612"/>
      <c r="D141" s="670"/>
      <c r="E141" s="1613"/>
      <c r="F141" s="670"/>
      <c r="G141" s="670"/>
      <c r="H141" s="670"/>
      <c r="I141" s="1616"/>
      <c r="J141" s="1616"/>
      <c r="K141" s="1616"/>
      <c r="L141" s="1616"/>
      <c r="M141" s="1616"/>
      <c r="N141" s="390"/>
    </row>
    <row r="142" spans="1:14" s="593" customFormat="1" x14ac:dyDescent="0.2">
      <c r="A142" s="1614"/>
      <c r="B142" s="670"/>
      <c r="C142" s="1612"/>
      <c r="D142" s="670"/>
      <c r="E142" s="1615"/>
      <c r="F142" s="1616"/>
      <c r="G142" s="670"/>
      <c r="H142" s="670"/>
      <c r="I142" s="1616"/>
      <c r="J142" s="1616"/>
      <c r="K142" s="1616"/>
      <c r="L142" s="1616"/>
      <c r="M142" s="1616"/>
      <c r="N142" s="390"/>
    </row>
    <row r="143" spans="1:14" s="593" customFormat="1" ht="13.5" thickBot="1" x14ac:dyDescent="0.25">
      <c r="A143" s="1618"/>
      <c r="B143" s="1619"/>
      <c r="C143" s="1620"/>
      <c r="D143" s="1619"/>
      <c r="E143" s="1621"/>
      <c r="F143" s="1619"/>
      <c r="G143" s="1619"/>
      <c r="H143" s="1619"/>
      <c r="I143" s="1619"/>
      <c r="J143" s="1619"/>
      <c r="K143" s="1619"/>
      <c r="L143" s="1619"/>
      <c r="M143" s="1619"/>
      <c r="N143" s="1622"/>
    </row>
    <row r="144" spans="1:14" s="593" customFormat="1" x14ac:dyDescent="0.2">
      <c r="A144" s="1623"/>
      <c r="B144" s="1624"/>
      <c r="C144" s="1625"/>
      <c r="D144" s="1624"/>
      <c r="E144" s="1626"/>
      <c r="F144" s="1624"/>
      <c r="G144" s="1624"/>
      <c r="H144" s="1624"/>
      <c r="I144" s="1624"/>
      <c r="J144" s="1624"/>
      <c r="K144" s="1624"/>
      <c r="L144" s="1624"/>
      <c r="M144" s="1624"/>
      <c r="N144" s="1627"/>
    </row>
    <row r="145" spans="1:14" s="593" customFormat="1" x14ac:dyDescent="0.2">
      <c r="A145" s="1614"/>
      <c r="B145" s="670"/>
      <c r="C145" s="1612"/>
      <c r="D145" s="670"/>
      <c r="E145" s="1613"/>
      <c r="F145" s="670"/>
      <c r="G145" s="670"/>
      <c r="H145" s="670"/>
      <c r="I145" s="670"/>
      <c r="J145" s="670"/>
      <c r="K145" s="670"/>
      <c r="L145" s="670"/>
      <c r="M145" s="670"/>
      <c r="N145" s="390"/>
    </row>
    <row r="146" spans="1:14" s="593" customFormat="1" ht="13.5" thickBot="1" x14ac:dyDescent="0.25">
      <c r="A146" s="1618"/>
      <c r="B146" s="1619"/>
      <c r="C146" s="1620"/>
      <c r="D146" s="1619"/>
      <c r="E146" s="1621"/>
      <c r="F146" s="1619"/>
      <c r="G146" s="1619"/>
      <c r="H146" s="1619"/>
      <c r="I146" s="1619"/>
      <c r="J146" s="1619"/>
      <c r="K146" s="1619"/>
      <c r="L146" s="1619"/>
      <c r="M146" s="1619"/>
      <c r="N146" s="1622"/>
    </row>
    <row r="147" spans="1:14" s="593" customFormat="1" x14ac:dyDescent="0.2">
      <c r="A147" s="1623"/>
      <c r="B147" s="1624"/>
      <c r="C147" s="1625"/>
      <c r="D147" s="1624"/>
      <c r="E147" s="1628"/>
      <c r="F147" s="1624"/>
      <c r="G147" s="1624"/>
      <c r="H147" s="1624"/>
      <c r="I147" s="1624"/>
      <c r="J147" s="1624"/>
      <c r="K147" s="1624"/>
      <c r="L147" s="1624"/>
      <c r="M147" s="1624"/>
      <c r="N147" s="1627"/>
    </row>
    <row r="148" spans="1:14" s="593" customFormat="1" x14ac:dyDescent="0.2">
      <c r="A148" s="1614"/>
      <c r="B148" s="670"/>
      <c r="C148" s="1612"/>
      <c r="D148" s="670"/>
      <c r="E148" s="1617"/>
      <c r="F148" s="670"/>
      <c r="G148" s="670"/>
      <c r="H148" s="670"/>
      <c r="I148" s="670"/>
      <c r="J148" s="670"/>
      <c r="K148" s="670"/>
      <c r="L148" s="670"/>
      <c r="M148" s="670"/>
      <c r="N148" s="390"/>
    </row>
    <row r="149" spans="1:14" s="593" customFormat="1" x14ac:dyDescent="0.2">
      <c r="A149" s="1614"/>
      <c r="B149" s="670"/>
      <c r="C149" s="1612"/>
      <c r="D149" s="670"/>
      <c r="E149" s="1613"/>
      <c r="F149" s="670"/>
      <c r="G149" s="670"/>
      <c r="H149" s="670"/>
      <c r="I149" s="670"/>
      <c r="J149" s="670"/>
      <c r="K149" s="670"/>
      <c r="L149" s="670"/>
      <c r="M149" s="670"/>
      <c r="N149" s="390"/>
    </row>
    <row r="150" spans="1:14" s="593" customFormat="1" x14ac:dyDescent="0.2">
      <c r="A150" s="1614"/>
      <c r="B150" s="670"/>
      <c r="C150" s="1612"/>
      <c r="D150" s="670"/>
      <c r="E150" s="1615"/>
      <c r="F150" s="670"/>
      <c r="G150" s="670"/>
      <c r="H150" s="670"/>
      <c r="I150" s="670"/>
      <c r="J150" s="670"/>
      <c r="K150" s="670"/>
      <c r="L150" s="670"/>
      <c r="M150" s="670"/>
      <c r="N150" s="390"/>
    </row>
    <row r="151" spans="1:14" s="593" customFormat="1" x14ac:dyDescent="0.2">
      <c r="A151" s="1614"/>
      <c r="B151" s="670"/>
      <c r="C151" s="1612"/>
      <c r="D151" s="670"/>
      <c r="E151" s="1615"/>
      <c r="F151" s="670"/>
      <c r="G151" s="670"/>
      <c r="H151" s="670"/>
      <c r="I151" s="670"/>
      <c r="J151" s="670"/>
      <c r="K151" s="670"/>
      <c r="L151" s="670"/>
      <c r="M151" s="670"/>
      <c r="N151" s="390"/>
    </row>
    <row r="152" spans="1:14" s="593" customFormat="1" x14ac:dyDescent="0.2">
      <c r="A152" s="1614"/>
      <c r="B152" s="670"/>
      <c r="C152" s="1612"/>
      <c r="D152" s="670"/>
      <c r="E152" s="1615"/>
      <c r="F152" s="670"/>
      <c r="G152" s="670"/>
      <c r="H152" s="670"/>
      <c r="I152" s="670"/>
      <c r="J152" s="670"/>
      <c r="K152" s="670"/>
      <c r="L152" s="670"/>
      <c r="M152" s="670"/>
      <c r="N152" s="390"/>
    </row>
    <row r="153" spans="1:14" s="593" customFormat="1" x14ac:dyDescent="0.2">
      <c r="A153" s="1614"/>
      <c r="B153" s="670"/>
      <c r="C153" s="1612"/>
      <c r="D153" s="670"/>
      <c r="E153" s="1629"/>
      <c r="F153" s="670"/>
      <c r="G153" s="670"/>
      <c r="H153" s="670"/>
      <c r="I153" s="670"/>
      <c r="J153" s="670"/>
      <c r="K153" s="670"/>
      <c r="L153" s="670"/>
      <c r="M153" s="670"/>
      <c r="N153" s="390"/>
    </row>
    <row r="154" spans="1:14" s="593" customFormat="1" x14ac:dyDescent="0.2">
      <c r="A154" s="1614"/>
      <c r="B154" s="670"/>
      <c r="C154" s="1612"/>
      <c r="D154" s="670"/>
      <c r="E154" s="1615"/>
      <c r="F154" s="670"/>
      <c r="G154" s="670"/>
      <c r="H154" s="670"/>
      <c r="I154" s="670"/>
      <c r="J154" s="670"/>
      <c r="K154" s="670"/>
      <c r="L154" s="670"/>
      <c r="M154" s="670"/>
      <c r="N154" s="390"/>
    </row>
    <row r="155" spans="1:14" s="593" customFormat="1" ht="13.5" thickBot="1" x14ac:dyDescent="0.25">
      <c r="A155" s="1618"/>
      <c r="B155" s="1619"/>
      <c r="C155" s="1620"/>
      <c r="D155" s="1619"/>
      <c r="E155" s="1630"/>
      <c r="F155" s="1619"/>
      <c r="G155" s="1619"/>
      <c r="H155" s="1619"/>
      <c r="I155" s="1619"/>
      <c r="J155" s="1619"/>
      <c r="K155" s="1619"/>
      <c r="L155" s="1619"/>
      <c r="M155" s="1619"/>
      <c r="N155" s="1622"/>
    </row>
    <row r="156" spans="1:14" s="593" customFormat="1" x14ac:dyDescent="0.2">
      <c r="A156" s="1614"/>
      <c r="B156" s="670"/>
      <c r="C156" s="1612"/>
      <c r="D156" s="670"/>
      <c r="E156" s="1615"/>
      <c r="F156" s="670"/>
      <c r="G156" s="670"/>
      <c r="H156" s="670"/>
      <c r="I156" s="670"/>
      <c r="J156" s="670"/>
      <c r="K156" s="670"/>
      <c r="L156" s="670"/>
      <c r="M156" s="670"/>
      <c r="N156" s="390"/>
    </row>
    <row r="157" spans="1:14" s="593" customFormat="1" x14ac:dyDescent="0.2">
      <c r="A157" s="1614"/>
      <c r="B157" s="670"/>
      <c r="C157" s="1612"/>
      <c r="D157" s="670"/>
      <c r="E157" s="1631"/>
      <c r="F157" s="670"/>
      <c r="G157" s="670"/>
      <c r="H157" s="670"/>
      <c r="I157" s="670"/>
      <c r="J157" s="670"/>
      <c r="K157" s="670"/>
      <c r="L157" s="670"/>
      <c r="M157" s="670"/>
      <c r="N157" s="390"/>
    </row>
    <row r="158" spans="1:14" s="593" customFormat="1" ht="13.5" thickBot="1" x14ac:dyDescent="0.25">
      <c r="A158" s="1618"/>
      <c r="B158" s="1619"/>
      <c r="C158" s="1620"/>
      <c r="D158" s="1619"/>
      <c r="E158" s="1621"/>
      <c r="F158" s="1619"/>
      <c r="G158" s="1619"/>
      <c r="H158" s="1619"/>
      <c r="I158" s="1619"/>
      <c r="J158" s="1619"/>
      <c r="K158" s="1619"/>
      <c r="L158" s="1619"/>
      <c r="M158" s="1619"/>
      <c r="N158" s="1622"/>
    </row>
    <row r="159" spans="1:14" s="593" customFormat="1" x14ac:dyDescent="0.2">
      <c r="A159" s="1623"/>
      <c r="B159" s="1624"/>
      <c r="C159" s="1625"/>
      <c r="D159" s="1624"/>
      <c r="E159" s="1632"/>
      <c r="F159" s="1624"/>
      <c r="G159" s="1624"/>
      <c r="H159" s="1624"/>
      <c r="I159" s="1624"/>
      <c r="J159" s="1624"/>
      <c r="K159" s="1624"/>
      <c r="L159" s="1624"/>
      <c r="M159" s="1624"/>
      <c r="N159" s="1627"/>
    </row>
    <row r="160" spans="1:14" s="593" customFormat="1" x14ac:dyDescent="0.2">
      <c r="A160" s="1614"/>
      <c r="B160" s="670"/>
      <c r="C160" s="1612"/>
      <c r="D160" s="670"/>
      <c r="E160" s="1615"/>
      <c r="F160" s="670"/>
      <c r="G160" s="670"/>
      <c r="H160" s="670"/>
      <c r="I160" s="670"/>
      <c r="J160" s="670"/>
      <c r="K160" s="670"/>
      <c r="L160" s="670"/>
      <c r="M160" s="670"/>
      <c r="N160" s="390"/>
    </row>
    <row r="161" spans="1:14" s="593" customFormat="1" x14ac:dyDescent="0.2">
      <c r="A161" s="1614"/>
      <c r="B161" s="670"/>
      <c r="C161" s="1612"/>
      <c r="D161" s="670"/>
      <c r="E161" s="1615"/>
      <c r="F161" s="670"/>
      <c r="G161" s="670"/>
      <c r="H161" s="670"/>
      <c r="I161" s="670"/>
      <c r="J161" s="670"/>
      <c r="K161" s="670"/>
      <c r="L161" s="670"/>
      <c r="M161" s="670"/>
      <c r="N161" s="390"/>
    </row>
    <row r="162" spans="1:14" s="593" customFormat="1" x14ac:dyDescent="0.2">
      <c r="A162" s="1614"/>
      <c r="B162" s="670"/>
      <c r="C162" s="1612"/>
      <c r="D162" s="670"/>
      <c r="E162" s="1615"/>
      <c r="F162" s="670"/>
      <c r="G162" s="670"/>
      <c r="H162" s="670"/>
      <c r="I162" s="670"/>
      <c r="J162" s="670"/>
      <c r="K162" s="670"/>
      <c r="L162" s="670"/>
      <c r="M162" s="670"/>
      <c r="N162" s="390"/>
    </row>
    <row r="163" spans="1:14" s="593" customFormat="1" x14ac:dyDescent="0.2">
      <c r="A163" s="1614"/>
      <c r="B163" s="670"/>
      <c r="C163" s="1612"/>
      <c r="D163" s="670"/>
      <c r="E163" s="1613"/>
      <c r="F163" s="670"/>
      <c r="G163" s="670"/>
      <c r="H163" s="670"/>
      <c r="I163" s="670"/>
      <c r="J163" s="670"/>
      <c r="K163" s="670"/>
      <c r="L163" s="670"/>
      <c r="M163" s="670"/>
      <c r="N163" s="390"/>
    </row>
    <row r="164" spans="1:14" s="593" customFormat="1" x14ac:dyDescent="0.2">
      <c r="A164" s="1614"/>
      <c r="B164" s="670"/>
      <c r="C164" s="1612"/>
      <c r="D164" s="670"/>
      <c r="E164" s="1615"/>
      <c r="F164" s="670"/>
      <c r="G164" s="670"/>
      <c r="H164" s="670"/>
      <c r="I164" s="670"/>
      <c r="J164" s="670"/>
      <c r="K164" s="670"/>
      <c r="L164" s="670"/>
      <c r="M164" s="670"/>
      <c r="N164" s="390"/>
    </row>
    <row r="165" spans="1:14" s="593" customFormat="1" x14ac:dyDescent="0.2">
      <c r="A165" s="1614"/>
      <c r="B165" s="670"/>
      <c r="C165" s="1612"/>
      <c r="D165" s="670"/>
      <c r="E165" s="1615"/>
      <c r="F165" s="670"/>
      <c r="G165" s="670"/>
      <c r="H165" s="670"/>
      <c r="I165" s="670"/>
      <c r="J165" s="670"/>
      <c r="K165" s="670"/>
      <c r="L165" s="670"/>
      <c r="M165" s="670"/>
      <c r="N165" s="390"/>
    </row>
    <row r="166" spans="1:14" s="593" customFormat="1" x14ac:dyDescent="0.2">
      <c r="A166" s="1614"/>
      <c r="B166" s="670"/>
      <c r="C166" s="1612"/>
      <c r="D166" s="670"/>
      <c r="E166" s="1615"/>
      <c r="F166" s="670"/>
      <c r="G166" s="670"/>
      <c r="H166" s="670"/>
      <c r="I166" s="670"/>
      <c r="J166" s="670"/>
      <c r="K166" s="670"/>
      <c r="L166" s="670"/>
      <c r="M166" s="670"/>
      <c r="N166" s="390"/>
    </row>
    <row r="167" spans="1:14" s="593" customFormat="1" x14ac:dyDescent="0.2">
      <c r="A167" s="1614"/>
      <c r="B167" s="670"/>
      <c r="C167" s="1612"/>
      <c r="D167" s="670"/>
      <c r="E167" s="1613"/>
      <c r="F167" s="670"/>
      <c r="G167" s="670"/>
      <c r="H167" s="670"/>
      <c r="I167" s="670"/>
      <c r="J167" s="670"/>
      <c r="K167" s="670"/>
      <c r="L167" s="670"/>
      <c r="M167" s="670"/>
      <c r="N167" s="390"/>
    </row>
    <row r="168" spans="1:14" s="593" customFormat="1" x14ac:dyDescent="0.2">
      <c r="A168" s="1614"/>
      <c r="B168" s="670"/>
      <c r="C168" s="1612"/>
      <c r="D168" s="670"/>
      <c r="E168" s="1615"/>
      <c r="F168" s="670"/>
      <c r="G168" s="670"/>
      <c r="H168" s="670"/>
      <c r="I168" s="670"/>
      <c r="J168" s="670"/>
      <c r="K168" s="670"/>
      <c r="L168" s="670"/>
      <c r="M168" s="670"/>
      <c r="N168" s="390"/>
    </row>
    <row r="169" spans="1:14" s="593" customFormat="1" x14ac:dyDescent="0.2">
      <c r="A169" s="1614"/>
      <c r="B169" s="670"/>
      <c r="C169" s="1612"/>
      <c r="D169" s="670"/>
      <c r="E169" s="1615"/>
      <c r="F169" s="670"/>
      <c r="G169" s="670"/>
      <c r="H169" s="670"/>
      <c r="I169" s="670"/>
      <c r="J169" s="670"/>
      <c r="K169" s="670"/>
      <c r="L169" s="670"/>
      <c r="M169" s="670"/>
      <c r="N169" s="390"/>
    </row>
    <row r="170" spans="1:14" s="593" customFormat="1" ht="13.5" thickBot="1" x14ac:dyDescent="0.25">
      <c r="A170" s="1618"/>
      <c r="B170" s="1619"/>
      <c r="C170" s="1620"/>
      <c r="D170" s="1619"/>
      <c r="E170" s="1621"/>
      <c r="F170" s="1619"/>
      <c r="G170" s="1619"/>
      <c r="H170" s="1619"/>
      <c r="I170" s="1619"/>
      <c r="J170" s="1619"/>
      <c r="K170" s="1619"/>
      <c r="L170" s="1619"/>
      <c r="M170" s="1619"/>
      <c r="N170" s="2803"/>
    </row>
    <row r="171" spans="1:14" s="593" customFormat="1" x14ac:dyDescent="0.2">
      <c r="A171" s="1623"/>
      <c r="B171" s="1624"/>
      <c r="C171" s="1625"/>
      <c r="D171" s="1624"/>
      <c r="E171" s="1632"/>
      <c r="F171" s="1624"/>
      <c r="G171" s="1624"/>
      <c r="H171" s="1624"/>
      <c r="I171" s="1624"/>
      <c r="J171" s="1624"/>
      <c r="K171" s="1624"/>
      <c r="L171" s="1624"/>
      <c r="M171" s="1624"/>
      <c r="N171" s="2801"/>
    </row>
    <row r="172" spans="1:14" s="593" customFormat="1" x14ac:dyDescent="0.2">
      <c r="A172" s="1614"/>
      <c r="B172" s="670"/>
      <c r="C172" s="1612"/>
      <c r="D172" s="670"/>
      <c r="E172" s="1615"/>
      <c r="F172" s="670"/>
      <c r="G172" s="670"/>
      <c r="H172" s="670"/>
      <c r="I172" s="670"/>
      <c r="J172" s="670"/>
      <c r="K172" s="670"/>
      <c r="L172" s="670"/>
      <c r="M172" s="670"/>
      <c r="N172" s="2802"/>
    </row>
    <row r="173" spans="1:14" s="593" customFormat="1" x14ac:dyDescent="0.2">
      <c r="A173" s="1614"/>
      <c r="B173" s="670"/>
      <c r="C173" s="1612"/>
      <c r="D173" s="670"/>
      <c r="E173" s="1615"/>
      <c r="F173" s="670"/>
      <c r="G173" s="670"/>
      <c r="H173" s="670"/>
      <c r="I173" s="670"/>
      <c r="J173" s="670"/>
      <c r="K173" s="670"/>
      <c r="L173" s="670"/>
      <c r="M173" s="670"/>
      <c r="N173" s="2802"/>
    </row>
    <row r="174" spans="1:14" s="593" customFormat="1" x14ac:dyDescent="0.2">
      <c r="A174" s="1614"/>
      <c r="B174" s="670"/>
      <c r="C174" s="1612"/>
      <c r="D174" s="670"/>
      <c r="E174" s="1615"/>
      <c r="F174" s="670"/>
      <c r="G174" s="670"/>
      <c r="H174" s="670"/>
      <c r="I174" s="670"/>
      <c r="J174" s="670"/>
      <c r="K174" s="670"/>
      <c r="L174" s="670"/>
      <c r="M174" s="670"/>
      <c r="N174" s="2802"/>
    </row>
    <row r="175" spans="1:14" s="593" customFormat="1" x14ac:dyDescent="0.2">
      <c r="A175" s="1614"/>
      <c r="B175" s="670"/>
      <c r="C175" s="1612"/>
      <c r="D175" s="670"/>
      <c r="E175" s="1613"/>
      <c r="F175" s="670"/>
      <c r="G175" s="670"/>
      <c r="H175" s="670"/>
      <c r="I175" s="670"/>
      <c r="J175" s="670"/>
      <c r="K175" s="670"/>
      <c r="L175" s="670"/>
      <c r="M175" s="670"/>
      <c r="N175" s="2802"/>
    </row>
    <row r="176" spans="1:14" s="593" customFormat="1" ht="13.5" thickBot="1" x14ac:dyDescent="0.25">
      <c r="A176" s="1614"/>
      <c r="B176" s="670"/>
      <c r="C176" s="1612"/>
      <c r="D176" s="670"/>
      <c r="E176" s="1615"/>
      <c r="F176" s="670"/>
      <c r="G176" s="670"/>
      <c r="H176" s="670"/>
      <c r="I176" s="670"/>
      <c r="J176" s="670"/>
      <c r="K176" s="670"/>
      <c r="L176" s="670"/>
      <c r="M176" s="670"/>
      <c r="N176" s="2802"/>
    </row>
    <row r="177" spans="1:14" s="593" customFormat="1" x14ac:dyDescent="0.2">
      <c r="A177" s="1623"/>
      <c r="B177" s="1624"/>
      <c r="C177" s="1625"/>
      <c r="D177" s="1624"/>
      <c r="E177" s="1628"/>
      <c r="F177" s="1624"/>
      <c r="G177" s="1624"/>
      <c r="H177" s="1624"/>
      <c r="I177" s="1624"/>
      <c r="J177" s="1624"/>
      <c r="K177" s="1624"/>
      <c r="L177" s="1624"/>
      <c r="M177" s="1624"/>
      <c r="N177" s="2801"/>
    </row>
    <row r="178" spans="1:14" s="593" customFormat="1" x14ac:dyDescent="0.2">
      <c r="A178" s="1614"/>
      <c r="B178" s="670"/>
      <c r="C178" s="1612"/>
      <c r="D178" s="670"/>
      <c r="E178" s="1615"/>
      <c r="F178" s="670"/>
      <c r="G178" s="670"/>
      <c r="H178" s="670"/>
      <c r="I178" s="670"/>
      <c r="J178" s="670"/>
      <c r="K178" s="670"/>
      <c r="L178" s="670"/>
      <c r="M178" s="670"/>
      <c r="N178" s="2802"/>
    </row>
    <row r="179" spans="1:14" s="593" customFormat="1" x14ac:dyDescent="0.2">
      <c r="A179" s="1614"/>
      <c r="B179" s="670"/>
      <c r="C179" s="1612"/>
      <c r="D179" s="670"/>
      <c r="E179" s="1613"/>
      <c r="F179" s="670"/>
      <c r="G179" s="670"/>
      <c r="H179" s="670"/>
      <c r="I179" s="670"/>
      <c r="J179" s="670"/>
      <c r="K179" s="670"/>
      <c r="L179" s="670"/>
      <c r="M179" s="670"/>
      <c r="N179" s="2802"/>
    </row>
    <row r="180" spans="1:14" s="593" customFormat="1" x14ac:dyDescent="0.2">
      <c r="A180" s="1614"/>
      <c r="B180" s="670"/>
      <c r="C180" s="1612"/>
      <c r="D180" s="670"/>
      <c r="E180" s="1615"/>
      <c r="F180" s="670"/>
      <c r="G180" s="670"/>
      <c r="H180" s="670"/>
      <c r="I180" s="670"/>
      <c r="J180" s="670"/>
      <c r="K180" s="670"/>
      <c r="L180" s="670"/>
      <c r="M180" s="670"/>
      <c r="N180" s="2802"/>
    </row>
    <row r="181" spans="1:14" s="593" customFormat="1" x14ac:dyDescent="0.2">
      <c r="A181" s="1614"/>
      <c r="B181" s="670"/>
      <c r="C181" s="1612"/>
      <c r="D181" s="670"/>
      <c r="E181" s="1615"/>
      <c r="F181" s="670"/>
      <c r="G181" s="670"/>
      <c r="H181" s="670"/>
      <c r="I181" s="670"/>
      <c r="J181" s="670"/>
      <c r="K181" s="670"/>
      <c r="L181" s="670"/>
      <c r="M181" s="670"/>
      <c r="N181" s="2802"/>
    </row>
    <row r="182" spans="1:14" s="593" customFormat="1" ht="13.5" thickBot="1" x14ac:dyDescent="0.25">
      <c r="A182" s="1618"/>
      <c r="B182" s="1619"/>
      <c r="C182" s="1620"/>
      <c r="D182" s="1619"/>
      <c r="E182" s="1621"/>
      <c r="F182" s="1619"/>
      <c r="G182" s="1619"/>
      <c r="H182" s="1619"/>
      <c r="I182" s="1619"/>
      <c r="J182" s="1619"/>
      <c r="K182" s="1619"/>
      <c r="L182" s="1619"/>
      <c r="M182" s="1619"/>
      <c r="N182" s="2803"/>
    </row>
    <row r="183" spans="1:14" s="593" customFormat="1" x14ac:dyDescent="0.2">
      <c r="A183" s="1623"/>
      <c r="B183" s="1624"/>
      <c r="C183" s="1625"/>
      <c r="D183" s="1624"/>
      <c r="E183" s="1632"/>
      <c r="F183" s="1624"/>
      <c r="G183" s="1624"/>
      <c r="H183" s="1624"/>
      <c r="I183" s="1624"/>
      <c r="J183" s="1624"/>
      <c r="K183" s="1624"/>
      <c r="L183" s="1624"/>
      <c r="M183" s="1624"/>
      <c r="N183" s="2801"/>
    </row>
    <row r="184" spans="1:14" s="593" customFormat="1" x14ac:dyDescent="0.2">
      <c r="A184" s="1614"/>
      <c r="B184" s="670"/>
      <c r="C184" s="1612"/>
      <c r="D184" s="670"/>
      <c r="E184" s="1615"/>
      <c r="F184" s="670"/>
      <c r="G184" s="670"/>
      <c r="H184" s="670"/>
      <c r="I184" s="670"/>
      <c r="J184" s="670"/>
      <c r="K184" s="670"/>
      <c r="L184" s="670"/>
      <c r="M184" s="670"/>
      <c r="N184" s="2802"/>
    </row>
    <row r="185" spans="1:14" s="593" customFormat="1" ht="13.5" thickBot="1" x14ac:dyDescent="0.25">
      <c r="A185" s="1618"/>
      <c r="B185" s="1619"/>
      <c r="C185" s="1620"/>
      <c r="D185" s="1619"/>
      <c r="E185" s="1621"/>
      <c r="F185" s="1619"/>
      <c r="G185" s="1619"/>
      <c r="H185" s="1619"/>
      <c r="I185" s="1619"/>
      <c r="J185" s="1619"/>
      <c r="K185" s="1619"/>
      <c r="L185" s="1619"/>
      <c r="M185" s="1619"/>
      <c r="N185" s="2803"/>
    </row>
    <row r="186" spans="1:14" s="593" customFormat="1" x14ac:dyDescent="0.2">
      <c r="A186" s="1623"/>
      <c r="B186" s="1624"/>
      <c r="C186" s="1625"/>
      <c r="D186" s="1624"/>
      <c r="E186" s="1626"/>
      <c r="F186" s="1624"/>
      <c r="G186" s="1624"/>
      <c r="H186" s="1624"/>
      <c r="I186" s="1624"/>
      <c r="J186" s="1624"/>
      <c r="K186" s="1624"/>
      <c r="L186" s="1624"/>
      <c r="M186" s="1624"/>
      <c r="N186" s="2801"/>
    </row>
    <row r="187" spans="1:14" s="593" customFormat="1" x14ac:dyDescent="0.2">
      <c r="A187" s="1614"/>
      <c r="B187" s="670"/>
      <c r="C187" s="1612"/>
      <c r="D187" s="670"/>
      <c r="E187" s="1613"/>
      <c r="F187" s="670"/>
      <c r="G187" s="670"/>
      <c r="H187" s="670"/>
      <c r="I187" s="670"/>
      <c r="J187" s="670"/>
      <c r="K187" s="670"/>
      <c r="L187" s="670"/>
      <c r="M187" s="670"/>
      <c r="N187" s="2802"/>
    </row>
    <row r="188" spans="1:14" s="593" customFormat="1" x14ac:dyDescent="0.2">
      <c r="A188" s="1614"/>
      <c r="B188" s="670"/>
      <c r="C188" s="1612"/>
      <c r="D188" s="670"/>
      <c r="E188" s="1629"/>
      <c r="F188" s="670"/>
      <c r="G188" s="670"/>
      <c r="H188" s="670"/>
      <c r="I188" s="670"/>
      <c r="J188" s="670"/>
      <c r="K188" s="670"/>
      <c r="L188" s="670"/>
      <c r="M188" s="670"/>
      <c r="N188" s="2802"/>
    </row>
    <row r="189" spans="1:14" s="593" customFormat="1" x14ac:dyDescent="0.2">
      <c r="A189" s="1614"/>
      <c r="B189" s="670"/>
      <c r="C189" s="1612"/>
      <c r="D189" s="670"/>
      <c r="E189" s="1629"/>
      <c r="F189" s="670"/>
      <c r="G189" s="670"/>
      <c r="H189" s="670"/>
      <c r="I189" s="670"/>
      <c r="J189" s="670"/>
      <c r="K189" s="670"/>
      <c r="L189" s="670"/>
      <c r="M189" s="670"/>
      <c r="N189" s="2802"/>
    </row>
    <row r="190" spans="1:14" s="593" customFormat="1" x14ac:dyDescent="0.2">
      <c r="A190" s="1614"/>
      <c r="B190" s="670"/>
      <c r="C190" s="1612"/>
      <c r="D190" s="670"/>
      <c r="E190" s="1613"/>
      <c r="F190" s="670"/>
      <c r="G190" s="670"/>
      <c r="H190" s="670"/>
      <c r="I190" s="670"/>
      <c r="J190" s="670"/>
      <c r="K190" s="670"/>
      <c r="L190" s="670"/>
      <c r="M190" s="670"/>
      <c r="N190" s="2802"/>
    </row>
    <row r="191" spans="1:14" s="593" customFormat="1" x14ac:dyDescent="0.2">
      <c r="A191" s="1614"/>
      <c r="B191" s="670"/>
      <c r="C191" s="1612"/>
      <c r="D191" s="670"/>
      <c r="E191" s="1629"/>
      <c r="F191" s="670"/>
      <c r="G191" s="670"/>
      <c r="H191" s="670"/>
      <c r="I191" s="670"/>
      <c r="J191" s="670"/>
      <c r="K191" s="670"/>
      <c r="L191" s="670"/>
      <c r="M191" s="670"/>
      <c r="N191" s="2804"/>
    </row>
    <row r="192" spans="1:14" s="593" customFormat="1" x14ac:dyDescent="0.2">
      <c r="A192" s="1614"/>
      <c r="B192" s="670"/>
      <c r="C192" s="1612"/>
      <c r="D192" s="670"/>
      <c r="E192" s="1613"/>
      <c r="F192" s="670"/>
      <c r="G192" s="670"/>
      <c r="H192" s="670"/>
      <c r="I192" s="670"/>
      <c r="J192" s="670"/>
      <c r="K192" s="670"/>
      <c r="L192" s="670"/>
      <c r="M192" s="670"/>
      <c r="N192" s="2805"/>
    </row>
    <row r="193" spans="1:14" s="593" customFormat="1" x14ac:dyDescent="0.2">
      <c r="A193" s="1614"/>
      <c r="B193" s="670"/>
      <c r="C193" s="1612"/>
      <c r="D193" s="670"/>
      <c r="E193" s="1615"/>
      <c r="F193" s="670"/>
      <c r="G193" s="670"/>
      <c r="H193" s="670"/>
      <c r="I193" s="670"/>
      <c r="J193" s="670"/>
      <c r="K193" s="670"/>
      <c r="L193" s="670"/>
      <c r="M193" s="670"/>
      <c r="N193" s="2802"/>
    </row>
    <row r="194" spans="1:14" s="593" customFormat="1" ht="13.5" thickBot="1" x14ac:dyDescent="0.25">
      <c r="A194" s="1618"/>
      <c r="B194" s="1619"/>
      <c r="C194" s="1620"/>
      <c r="D194" s="1619"/>
      <c r="E194" s="1633"/>
      <c r="F194" s="1619"/>
      <c r="G194" s="1619"/>
      <c r="H194" s="1619"/>
      <c r="I194" s="1619"/>
      <c r="J194" s="1619"/>
      <c r="K194" s="1619"/>
      <c r="L194" s="1619"/>
      <c r="M194" s="1619"/>
      <c r="N194" s="2803"/>
    </row>
    <row r="195" spans="1:14" s="593" customFormat="1" x14ac:dyDescent="0.2">
      <c r="A195" s="1623"/>
      <c r="B195" s="1624"/>
      <c r="C195" s="1625"/>
      <c r="D195" s="1624"/>
      <c r="E195" s="1634"/>
      <c r="F195" s="1624"/>
      <c r="G195" s="1624"/>
      <c r="H195" s="1624"/>
      <c r="I195" s="1624"/>
      <c r="J195" s="1624"/>
      <c r="K195" s="1624"/>
      <c r="L195" s="1624"/>
      <c r="M195" s="1624"/>
      <c r="N195" s="2801"/>
    </row>
    <row r="196" spans="1:14" s="593" customFormat="1" ht="13.5" thickBot="1" x14ac:dyDescent="0.25">
      <c r="A196" s="1614"/>
      <c r="B196" s="670"/>
      <c r="C196" s="1612"/>
      <c r="D196" s="670"/>
      <c r="E196" s="1613"/>
      <c r="F196" s="670"/>
      <c r="G196" s="670"/>
      <c r="H196" s="670"/>
      <c r="I196" s="670"/>
      <c r="J196" s="670"/>
      <c r="K196" s="670"/>
      <c r="L196" s="670"/>
      <c r="M196" s="670"/>
      <c r="N196" s="2803"/>
    </row>
    <row r="197" spans="1:14" s="593" customFormat="1" x14ac:dyDescent="0.2">
      <c r="A197" s="1614"/>
      <c r="B197" s="670"/>
      <c r="C197" s="1612"/>
      <c r="D197" s="670"/>
      <c r="E197" s="1613"/>
      <c r="F197" s="670"/>
      <c r="G197" s="670"/>
      <c r="H197" s="670"/>
      <c r="I197" s="670"/>
      <c r="J197" s="670"/>
      <c r="K197" s="670"/>
      <c r="L197" s="670"/>
      <c r="M197" s="670"/>
      <c r="N197" s="2802"/>
    </row>
    <row r="198" spans="1:14" s="593" customFormat="1" x14ac:dyDescent="0.2">
      <c r="A198" s="1614"/>
      <c r="B198" s="670"/>
      <c r="C198" s="1612"/>
      <c r="D198" s="670"/>
      <c r="E198" s="1629"/>
      <c r="F198" s="670"/>
      <c r="G198" s="670"/>
      <c r="H198" s="670"/>
      <c r="I198" s="670"/>
      <c r="J198" s="670"/>
      <c r="K198" s="670"/>
      <c r="L198" s="670"/>
      <c r="M198" s="670"/>
      <c r="N198" s="2802"/>
    </row>
    <row r="199" spans="1:14" s="593" customFormat="1" x14ac:dyDescent="0.2">
      <c r="A199" s="1614"/>
      <c r="B199" s="670"/>
      <c r="C199" s="1612"/>
      <c r="D199" s="670"/>
      <c r="E199" s="1613"/>
      <c r="F199" s="670"/>
      <c r="G199" s="670"/>
      <c r="H199" s="670"/>
      <c r="I199" s="670"/>
      <c r="J199" s="670"/>
      <c r="K199" s="670"/>
      <c r="L199" s="670"/>
      <c r="M199" s="670"/>
      <c r="N199" s="2802"/>
    </row>
    <row r="200" spans="1:14" s="593" customFormat="1" x14ac:dyDescent="0.2">
      <c r="A200" s="1614"/>
      <c r="B200" s="670"/>
      <c r="C200" s="1612"/>
      <c r="D200" s="670"/>
      <c r="E200" s="1613"/>
      <c r="F200" s="670"/>
      <c r="G200" s="670"/>
      <c r="H200" s="670"/>
      <c r="I200" s="670"/>
      <c r="J200" s="670"/>
      <c r="K200" s="670"/>
      <c r="L200" s="670"/>
      <c r="M200" s="670"/>
      <c r="N200" s="2802"/>
    </row>
    <row r="201" spans="1:14" s="593" customFormat="1" x14ac:dyDescent="0.2">
      <c r="A201" s="1614"/>
      <c r="B201" s="670"/>
      <c r="C201" s="1612"/>
      <c r="D201" s="670"/>
      <c r="E201" s="1629"/>
      <c r="F201" s="670"/>
      <c r="G201" s="670"/>
      <c r="H201" s="670"/>
      <c r="I201" s="670"/>
      <c r="J201" s="670"/>
      <c r="K201" s="670"/>
      <c r="L201" s="670"/>
      <c r="M201" s="670"/>
      <c r="N201" s="2802"/>
    </row>
    <row r="202" spans="1:14" s="593" customFormat="1" x14ac:dyDescent="0.2">
      <c r="A202" s="1614"/>
      <c r="B202" s="670"/>
      <c r="C202" s="1612"/>
      <c r="D202" s="670"/>
      <c r="E202" s="1613"/>
      <c r="F202" s="670"/>
      <c r="G202" s="670"/>
      <c r="H202" s="670"/>
      <c r="I202" s="670"/>
      <c r="J202" s="670"/>
      <c r="K202" s="670"/>
      <c r="L202" s="670"/>
      <c r="M202" s="670"/>
      <c r="N202" s="390"/>
    </row>
    <row r="203" spans="1:14" s="593" customFormat="1" x14ac:dyDescent="0.2">
      <c r="A203" s="1614"/>
      <c r="B203" s="670"/>
      <c r="C203" s="1612"/>
      <c r="D203" s="670"/>
      <c r="E203" s="1613"/>
      <c r="F203" s="670"/>
      <c r="G203" s="670"/>
      <c r="H203" s="670"/>
      <c r="I203" s="670"/>
      <c r="J203" s="670"/>
      <c r="K203" s="670"/>
      <c r="L203" s="670"/>
      <c r="M203" s="670"/>
      <c r="N203" s="390"/>
    </row>
    <row r="204" spans="1:14" s="593" customFormat="1" x14ac:dyDescent="0.2">
      <c r="A204" s="1614"/>
      <c r="B204" s="670"/>
      <c r="C204" s="1612"/>
      <c r="D204" s="670"/>
      <c r="E204" s="1629"/>
      <c r="F204" s="670"/>
      <c r="G204" s="670"/>
      <c r="H204" s="670"/>
      <c r="I204" s="670"/>
      <c r="J204" s="670"/>
      <c r="K204" s="670"/>
      <c r="L204" s="670"/>
      <c r="M204" s="670"/>
      <c r="N204" s="390"/>
    </row>
    <row r="205" spans="1:14" s="593" customFormat="1" x14ac:dyDescent="0.2">
      <c r="A205" s="1614"/>
      <c r="B205" s="670"/>
      <c r="C205" s="1612"/>
      <c r="D205" s="670"/>
      <c r="E205" s="1629"/>
      <c r="F205" s="670"/>
      <c r="G205" s="670"/>
      <c r="H205" s="670"/>
      <c r="I205" s="670"/>
      <c r="J205" s="670"/>
      <c r="K205" s="670"/>
      <c r="L205" s="670"/>
      <c r="M205" s="670"/>
      <c r="N205" s="390"/>
    </row>
    <row r="206" spans="1:14" s="593" customFormat="1" ht="13.5" thickBot="1" x14ac:dyDescent="0.25">
      <c r="A206" s="1618"/>
      <c r="B206" s="1619"/>
      <c r="C206" s="1620"/>
      <c r="D206" s="1619"/>
      <c r="E206" s="1635"/>
      <c r="F206" s="1619"/>
      <c r="G206" s="1619"/>
      <c r="H206" s="1619"/>
      <c r="I206" s="1619"/>
      <c r="J206" s="1619"/>
      <c r="K206" s="1619"/>
      <c r="L206" s="1619"/>
      <c r="M206" s="1619"/>
      <c r="N206" s="1622"/>
    </row>
    <row r="207" spans="1:14" s="593" customFormat="1" x14ac:dyDescent="0.2">
      <c r="C207" s="1636"/>
      <c r="E207" s="1629"/>
      <c r="N207" s="1636"/>
    </row>
    <row r="208" spans="1:14" s="593" customFormat="1" x14ac:dyDescent="0.2">
      <c r="C208" s="1636"/>
      <c r="E208" s="1613"/>
      <c r="N208" s="1636"/>
    </row>
    <row r="209" spans="1:14" s="593" customFormat="1" x14ac:dyDescent="0.2">
      <c r="C209" s="1636"/>
      <c r="E209" s="1613"/>
      <c r="N209" s="1636"/>
    </row>
    <row r="210" spans="1:14" s="593" customFormat="1" x14ac:dyDescent="0.2">
      <c r="C210" s="1636"/>
      <c r="E210" s="1629"/>
      <c r="N210" s="1636"/>
    </row>
    <row r="211" spans="1:14" s="593" customFormat="1" x14ac:dyDescent="0.2">
      <c r="C211" s="1636"/>
      <c r="E211" s="1629"/>
      <c r="N211" s="1636"/>
    </row>
    <row r="212" spans="1:14" s="593" customFormat="1" x14ac:dyDescent="0.2">
      <c r="C212" s="1636"/>
      <c r="E212" s="1615"/>
      <c r="N212" s="1636"/>
    </row>
    <row r="213" spans="1:14" s="593" customFormat="1" x14ac:dyDescent="0.2">
      <c r="C213" s="1636"/>
      <c r="E213" s="1637"/>
      <c r="N213" s="1636"/>
    </row>
    <row r="214" spans="1:14" s="593" customFormat="1" x14ac:dyDescent="0.2">
      <c r="C214" s="1636"/>
      <c r="E214" s="1613"/>
      <c r="N214" s="1636"/>
    </row>
    <row r="215" spans="1:14" s="593" customFormat="1" x14ac:dyDescent="0.2">
      <c r="C215" s="1636"/>
      <c r="E215" s="1613"/>
      <c r="N215" s="1636"/>
    </row>
    <row r="216" spans="1:14" s="593" customFormat="1" x14ac:dyDescent="0.2">
      <c r="C216" s="1636"/>
      <c r="E216" s="1629"/>
      <c r="N216" s="1636"/>
    </row>
    <row r="217" spans="1:14" s="593" customFormat="1" x14ac:dyDescent="0.2">
      <c r="C217" s="1636"/>
      <c r="E217" s="1638"/>
      <c r="N217" s="1636"/>
    </row>
    <row r="218" spans="1:14" s="593" customFormat="1" ht="13.5" thickBot="1" x14ac:dyDescent="0.25">
      <c r="C218" s="1636"/>
      <c r="E218" s="1638"/>
      <c r="N218" s="1636"/>
    </row>
    <row r="219" spans="1:14" s="593" customFormat="1" x14ac:dyDescent="0.2">
      <c r="A219" s="1623"/>
      <c r="B219" s="1624"/>
      <c r="C219" s="1625"/>
      <c r="D219" s="1624"/>
      <c r="E219" s="1639"/>
      <c r="F219" s="1624"/>
      <c r="G219" s="1624"/>
      <c r="H219" s="1624"/>
      <c r="I219" s="1624"/>
      <c r="J219" s="1624"/>
      <c r="K219" s="1624"/>
      <c r="L219" s="1624"/>
      <c r="M219" s="1624"/>
      <c r="N219" s="1627"/>
    </row>
    <row r="220" spans="1:14" s="593" customFormat="1" x14ac:dyDescent="0.2">
      <c r="A220" s="1614"/>
      <c r="B220" s="670"/>
      <c r="C220" s="1612"/>
      <c r="D220" s="670"/>
      <c r="E220" s="1638"/>
      <c r="F220" s="670"/>
      <c r="G220" s="670"/>
      <c r="H220" s="670"/>
      <c r="I220" s="670"/>
      <c r="J220" s="670"/>
      <c r="K220" s="670"/>
      <c r="L220" s="670"/>
      <c r="M220" s="670"/>
      <c r="N220" s="390"/>
    </row>
    <row r="221" spans="1:14" s="593" customFormat="1" x14ac:dyDescent="0.2">
      <c r="A221" s="1614"/>
      <c r="B221" s="670"/>
      <c r="C221" s="1612"/>
      <c r="D221" s="670"/>
      <c r="E221" s="1638"/>
      <c r="F221" s="670"/>
      <c r="G221" s="670"/>
      <c r="H221" s="670"/>
      <c r="I221" s="670"/>
      <c r="J221" s="670"/>
      <c r="K221" s="670"/>
      <c r="L221" s="670"/>
      <c r="M221" s="670"/>
      <c r="N221" s="390"/>
    </row>
    <row r="222" spans="1:14" s="593" customFormat="1" x14ac:dyDescent="0.2">
      <c r="A222" s="1614"/>
      <c r="B222" s="670"/>
      <c r="C222" s="1612"/>
      <c r="D222" s="670"/>
      <c r="E222" s="1638"/>
      <c r="F222" s="670"/>
      <c r="G222" s="670"/>
      <c r="H222" s="670"/>
      <c r="I222" s="670"/>
      <c r="J222" s="670"/>
      <c r="K222" s="670"/>
      <c r="L222" s="670"/>
      <c r="M222" s="670"/>
      <c r="N222" s="390"/>
    </row>
    <row r="223" spans="1:14" s="593" customFormat="1" x14ac:dyDescent="0.2">
      <c r="A223" s="1614"/>
      <c r="B223" s="670"/>
      <c r="C223" s="1612"/>
      <c r="D223" s="670"/>
      <c r="E223" s="1638"/>
      <c r="F223" s="670"/>
      <c r="G223" s="670"/>
      <c r="H223" s="670"/>
      <c r="I223" s="670"/>
      <c r="J223" s="670"/>
      <c r="K223" s="670"/>
      <c r="L223" s="670"/>
      <c r="M223" s="670"/>
      <c r="N223" s="390"/>
    </row>
    <row r="224" spans="1:14" s="593" customFormat="1" x14ac:dyDescent="0.2">
      <c r="A224" s="1614"/>
      <c r="B224" s="670"/>
      <c r="C224" s="1612"/>
      <c r="D224" s="670"/>
      <c r="E224" s="1638"/>
      <c r="F224" s="670"/>
      <c r="G224" s="670"/>
      <c r="H224" s="670"/>
      <c r="I224" s="670"/>
      <c r="J224" s="670"/>
      <c r="K224" s="670"/>
      <c r="L224" s="670"/>
      <c r="M224" s="670"/>
      <c r="N224" s="390"/>
    </row>
    <row r="225" spans="1:14" s="593" customFormat="1" x14ac:dyDescent="0.2">
      <c r="A225" s="1614"/>
      <c r="B225" s="670"/>
      <c r="C225" s="1612"/>
      <c r="D225" s="670"/>
      <c r="E225" s="1638"/>
      <c r="F225" s="670"/>
      <c r="G225" s="670"/>
      <c r="H225" s="670"/>
      <c r="I225" s="670"/>
      <c r="J225" s="670"/>
      <c r="K225" s="670"/>
      <c r="L225" s="670"/>
      <c r="M225" s="670"/>
      <c r="N225" s="390"/>
    </row>
    <row r="226" spans="1:14" s="593" customFormat="1" x14ac:dyDescent="0.2">
      <c r="A226" s="1614"/>
      <c r="B226" s="670"/>
      <c r="C226" s="1612"/>
      <c r="D226" s="670"/>
      <c r="E226" s="1638"/>
      <c r="F226" s="670"/>
      <c r="G226" s="670"/>
      <c r="H226" s="670"/>
      <c r="I226" s="670"/>
      <c r="J226" s="670"/>
      <c r="K226" s="670"/>
      <c r="L226" s="670"/>
      <c r="M226" s="670"/>
      <c r="N226" s="390"/>
    </row>
    <row r="227" spans="1:14" s="593" customFormat="1" ht="13.5" thickBot="1" x14ac:dyDescent="0.25">
      <c r="A227" s="1618"/>
      <c r="B227" s="1619"/>
      <c r="C227" s="1620"/>
      <c r="D227" s="1619"/>
      <c r="E227" s="1640"/>
      <c r="F227" s="1619"/>
      <c r="G227" s="1619"/>
      <c r="H227" s="1619"/>
      <c r="I227" s="1619"/>
      <c r="J227" s="1619"/>
      <c r="K227" s="1619"/>
      <c r="L227" s="1619"/>
      <c r="M227" s="1619"/>
      <c r="N227" s="1622"/>
    </row>
    <row r="228" spans="1:14" s="593" customFormat="1" x14ac:dyDescent="0.2">
      <c r="A228" s="1623"/>
      <c r="B228" s="1624"/>
      <c r="C228" s="1625"/>
      <c r="D228" s="1624"/>
      <c r="E228" s="1639"/>
      <c r="F228" s="1624"/>
      <c r="G228" s="1624"/>
      <c r="H228" s="1624"/>
      <c r="I228" s="1624"/>
      <c r="J228" s="1624"/>
      <c r="K228" s="1624"/>
      <c r="L228" s="1624"/>
      <c r="M228" s="1624"/>
      <c r="N228" s="1627"/>
    </row>
    <row r="229" spans="1:14" s="593" customFormat="1" x14ac:dyDescent="0.2">
      <c r="A229" s="1614"/>
      <c r="B229" s="670"/>
      <c r="C229" s="1612"/>
      <c r="D229" s="670"/>
      <c r="E229" s="1638"/>
      <c r="F229" s="670"/>
      <c r="G229" s="670"/>
      <c r="H229" s="670"/>
      <c r="I229" s="670"/>
      <c r="J229" s="670"/>
      <c r="K229" s="670"/>
      <c r="L229" s="670"/>
      <c r="M229" s="670"/>
      <c r="N229" s="390"/>
    </row>
    <row r="230" spans="1:14" s="593" customFormat="1" x14ac:dyDescent="0.2">
      <c r="A230" s="1614"/>
      <c r="B230" s="670"/>
      <c r="C230" s="1612"/>
      <c r="D230" s="670"/>
      <c r="E230" s="1638"/>
      <c r="F230" s="670"/>
      <c r="G230" s="670"/>
      <c r="H230" s="670"/>
      <c r="I230" s="670"/>
      <c r="J230" s="670"/>
      <c r="K230" s="670"/>
      <c r="L230" s="670"/>
      <c r="M230" s="670"/>
      <c r="N230" s="390"/>
    </row>
    <row r="231" spans="1:14" s="593" customFormat="1" x14ac:dyDescent="0.2">
      <c r="A231" s="1614"/>
      <c r="B231" s="670"/>
      <c r="C231" s="1612"/>
      <c r="D231" s="670"/>
      <c r="E231" s="1638"/>
      <c r="F231" s="670"/>
      <c r="G231" s="670"/>
      <c r="H231" s="670"/>
      <c r="I231" s="670"/>
      <c r="J231" s="670"/>
      <c r="K231" s="670"/>
      <c r="L231" s="670"/>
      <c r="M231" s="670"/>
      <c r="N231" s="390"/>
    </row>
    <row r="232" spans="1:14" s="593" customFormat="1" x14ac:dyDescent="0.2">
      <c r="A232" s="1614"/>
      <c r="B232" s="670"/>
      <c r="C232" s="1612"/>
      <c r="D232" s="670"/>
      <c r="E232" s="1638"/>
      <c r="F232" s="670"/>
      <c r="G232" s="670"/>
      <c r="H232" s="670"/>
      <c r="I232" s="670"/>
      <c r="J232" s="670"/>
      <c r="K232" s="670"/>
      <c r="L232" s="670"/>
      <c r="M232" s="670"/>
      <c r="N232" s="390"/>
    </row>
    <row r="233" spans="1:14" s="593" customFormat="1" x14ac:dyDescent="0.2">
      <c r="A233" s="1614"/>
      <c r="B233" s="670"/>
      <c r="C233" s="1612"/>
      <c r="D233" s="670"/>
      <c r="E233" s="1638"/>
      <c r="F233" s="670"/>
      <c r="G233" s="670"/>
      <c r="H233" s="670"/>
      <c r="I233" s="670"/>
      <c r="J233" s="670"/>
      <c r="K233" s="670"/>
      <c r="L233" s="670"/>
      <c r="M233" s="670"/>
      <c r="N233" s="390"/>
    </row>
    <row r="234" spans="1:14" s="593" customFormat="1" x14ac:dyDescent="0.2">
      <c r="A234" s="1614"/>
      <c r="B234" s="670"/>
      <c r="C234" s="1612"/>
      <c r="D234" s="670"/>
      <c r="E234" s="1638"/>
      <c r="F234" s="670"/>
      <c r="G234" s="670"/>
      <c r="H234" s="670"/>
      <c r="I234" s="670"/>
      <c r="J234" s="670"/>
      <c r="K234" s="670"/>
      <c r="L234" s="670"/>
      <c r="M234" s="670"/>
      <c r="N234" s="390"/>
    </row>
    <row r="235" spans="1:14" s="593" customFormat="1" x14ac:dyDescent="0.2">
      <c r="A235" s="1614"/>
      <c r="B235" s="670"/>
      <c r="C235" s="1612"/>
      <c r="D235" s="670"/>
      <c r="E235" s="1638"/>
      <c r="F235" s="670"/>
      <c r="G235" s="670"/>
      <c r="H235" s="670"/>
      <c r="I235" s="670"/>
      <c r="J235" s="670"/>
      <c r="K235" s="670"/>
      <c r="L235" s="670"/>
      <c r="M235" s="670"/>
      <c r="N235" s="390"/>
    </row>
    <row r="236" spans="1:14" s="593" customFormat="1" x14ac:dyDescent="0.2">
      <c r="A236" s="1614"/>
      <c r="B236" s="670"/>
      <c r="C236" s="1612"/>
      <c r="D236" s="670"/>
      <c r="E236" s="1638"/>
      <c r="F236" s="670"/>
      <c r="G236" s="670"/>
      <c r="H236" s="670"/>
      <c r="I236" s="670"/>
      <c r="J236" s="670"/>
      <c r="K236" s="670"/>
      <c r="L236" s="670"/>
      <c r="M236" s="670"/>
      <c r="N236" s="390"/>
    </row>
    <row r="237" spans="1:14" s="593" customFormat="1" x14ac:dyDescent="0.2">
      <c r="A237" s="1614"/>
      <c r="B237" s="670"/>
      <c r="C237" s="1612"/>
      <c r="D237" s="670"/>
      <c r="E237" s="1638"/>
      <c r="F237" s="670"/>
      <c r="G237" s="670"/>
      <c r="H237" s="670"/>
      <c r="I237" s="670"/>
      <c r="J237" s="670"/>
      <c r="K237" s="670"/>
      <c r="L237" s="670"/>
      <c r="M237" s="670"/>
      <c r="N237" s="390"/>
    </row>
    <row r="238" spans="1:14" s="593" customFormat="1" x14ac:dyDescent="0.2">
      <c r="A238" s="1614"/>
      <c r="B238" s="670"/>
      <c r="C238" s="1612"/>
      <c r="D238" s="670"/>
      <c r="E238" s="1638"/>
      <c r="F238" s="670"/>
      <c r="G238" s="670"/>
      <c r="H238" s="670"/>
      <c r="I238" s="670"/>
      <c r="J238" s="670"/>
      <c r="K238" s="670"/>
      <c r="L238" s="670"/>
      <c r="M238" s="670"/>
      <c r="N238" s="390"/>
    </row>
    <row r="239" spans="1:14" s="593" customFormat="1" ht="13.5" thickBot="1" x14ac:dyDescent="0.25">
      <c r="A239" s="1618"/>
      <c r="B239" s="1619"/>
      <c r="C239" s="1620"/>
      <c r="D239" s="1619"/>
      <c r="E239" s="1640"/>
      <c r="F239" s="1619"/>
      <c r="G239" s="1619"/>
      <c r="H239" s="1619"/>
      <c r="I239" s="1619"/>
      <c r="J239" s="1619"/>
      <c r="K239" s="1619"/>
      <c r="L239" s="1619"/>
      <c r="M239" s="1619"/>
      <c r="N239" s="1622"/>
    </row>
    <row r="240" spans="1:14" s="593" customFormat="1" x14ac:dyDescent="0.2">
      <c r="C240" s="1636"/>
      <c r="E240" s="1638"/>
      <c r="N240" s="1636"/>
    </row>
    <row r="241" spans="3:14" s="593" customFormat="1" x14ac:dyDescent="0.2">
      <c r="C241" s="1636"/>
      <c r="E241" s="1638"/>
      <c r="N241" s="1636"/>
    </row>
    <row r="242" spans="3:14" s="593" customFormat="1" x14ac:dyDescent="0.2">
      <c r="C242" s="1636"/>
      <c r="E242" s="1638"/>
      <c r="N242" s="1636"/>
    </row>
    <row r="243" spans="3:14" s="593" customFormat="1" x14ac:dyDescent="0.2">
      <c r="C243" s="1636"/>
      <c r="E243" s="1638"/>
      <c r="N243" s="1636"/>
    </row>
    <row r="244" spans="3:14" s="593" customFormat="1" x14ac:dyDescent="0.2">
      <c r="C244" s="1636"/>
      <c r="E244" s="1638"/>
      <c r="N244" s="1636"/>
    </row>
    <row r="245" spans="3:14" s="593" customFormat="1" x14ac:dyDescent="0.2">
      <c r="C245" s="1636"/>
      <c r="E245" s="1638"/>
      <c r="N245" s="1636"/>
    </row>
    <row r="246" spans="3:14" s="593" customFormat="1" x14ac:dyDescent="0.2">
      <c r="C246" s="1636"/>
      <c r="E246" s="1638"/>
      <c r="N246" s="1636"/>
    </row>
    <row r="247" spans="3:14" s="593" customFormat="1" x14ac:dyDescent="0.2">
      <c r="C247" s="1636"/>
      <c r="E247" s="1638"/>
      <c r="N247" s="1636"/>
    </row>
    <row r="248" spans="3:14" s="593" customFormat="1" x14ac:dyDescent="0.2">
      <c r="C248" s="1636"/>
      <c r="E248" s="1638"/>
      <c r="N248" s="1636"/>
    </row>
    <row r="249" spans="3:14" s="593" customFormat="1" x14ac:dyDescent="0.2">
      <c r="C249" s="1636"/>
      <c r="E249" s="1638"/>
      <c r="N249" s="1636"/>
    </row>
    <row r="250" spans="3:14" s="593" customFormat="1" x14ac:dyDescent="0.2">
      <c r="C250" s="1636"/>
      <c r="E250" s="1638"/>
      <c r="N250" s="1636"/>
    </row>
    <row r="251" spans="3:14" s="593" customFormat="1" x14ac:dyDescent="0.2">
      <c r="C251" s="1636"/>
      <c r="E251" s="1638"/>
      <c r="N251" s="1636"/>
    </row>
    <row r="252" spans="3:14" s="593" customFormat="1" x14ac:dyDescent="0.2">
      <c r="C252" s="1636"/>
      <c r="E252" s="1638"/>
      <c r="N252" s="1636"/>
    </row>
    <row r="253" spans="3:14" s="593" customFormat="1" x14ac:dyDescent="0.2">
      <c r="C253" s="1636"/>
      <c r="E253" s="1638"/>
      <c r="N253" s="1636"/>
    </row>
    <row r="254" spans="3:14" s="593" customFormat="1" x14ac:dyDescent="0.2">
      <c r="C254" s="1636"/>
      <c r="E254" s="1638"/>
      <c r="N254" s="1636"/>
    </row>
    <row r="255" spans="3:14" s="593" customFormat="1" x14ac:dyDescent="0.2">
      <c r="C255" s="1636"/>
      <c r="E255" s="1638"/>
      <c r="N255" s="1636"/>
    </row>
    <row r="256" spans="3:14" s="593" customFormat="1" x14ac:dyDescent="0.2">
      <c r="C256" s="1636"/>
      <c r="E256" s="1638"/>
      <c r="N256" s="1636"/>
    </row>
    <row r="257" spans="1:14" s="593" customFormat="1" x14ac:dyDescent="0.2">
      <c r="C257" s="1636"/>
      <c r="E257" s="1638"/>
      <c r="N257" s="1636"/>
    </row>
    <row r="258" spans="1:14" s="593" customFormat="1" x14ac:dyDescent="0.2">
      <c r="C258" s="1636"/>
      <c r="E258" s="1638"/>
      <c r="N258" s="1636"/>
    </row>
    <row r="259" spans="1:14" s="593" customFormat="1" x14ac:dyDescent="0.2">
      <c r="C259" s="1636"/>
      <c r="E259" s="1638"/>
      <c r="N259" s="1636"/>
    </row>
    <row r="260" spans="1:14" s="593" customFormat="1" ht="13.5" thickBot="1" x14ac:dyDescent="0.25">
      <c r="C260" s="1636"/>
      <c r="E260" s="1638"/>
      <c r="N260" s="1636"/>
    </row>
    <row r="261" spans="1:14" s="593" customFormat="1" x14ac:dyDescent="0.2">
      <c r="A261" s="1623"/>
      <c r="B261" s="1624"/>
      <c r="C261" s="1625"/>
      <c r="D261" s="1624"/>
      <c r="E261" s="1639"/>
      <c r="F261" s="1624"/>
      <c r="G261" s="1624"/>
      <c r="H261" s="1624"/>
      <c r="I261" s="1624"/>
      <c r="J261" s="1624"/>
      <c r="K261" s="1624"/>
      <c r="L261" s="1624"/>
      <c r="M261" s="1624"/>
      <c r="N261" s="1627"/>
    </row>
    <row r="262" spans="1:14" s="593" customFormat="1" x14ac:dyDescent="0.2">
      <c r="A262" s="1614"/>
      <c r="B262" s="670"/>
      <c r="C262" s="1612"/>
      <c r="D262" s="670"/>
      <c r="E262" s="1638"/>
      <c r="F262" s="670"/>
      <c r="G262" s="670"/>
      <c r="H262" s="670"/>
      <c r="I262" s="670"/>
      <c r="J262" s="670"/>
      <c r="K262" s="670"/>
      <c r="L262" s="670"/>
      <c r="M262" s="670"/>
      <c r="N262" s="390"/>
    </row>
    <row r="263" spans="1:14" s="593" customFormat="1" x14ac:dyDescent="0.2">
      <c r="A263" s="1614"/>
      <c r="B263" s="670"/>
      <c r="C263" s="1612"/>
      <c r="D263" s="670"/>
      <c r="E263" s="1638"/>
      <c r="F263" s="670"/>
      <c r="G263" s="670"/>
      <c r="H263" s="670"/>
      <c r="I263" s="670"/>
      <c r="J263" s="670"/>
      <c r="K263" s="670"/>
      <c r="L263" s="670"/>
      <c r="M263" s="670"/>
      <c r="N263" s="390"/>
    </row>
    <row r="264" spans="1:14" s="593" customFormat="1" x14ac:dyDescent="0.2">
      <c r="A264" s="1614"/>
      <c r="B264" s="670"/>
      <c r="C264" s="1612"/>
      <c r="D264" s="670"/>
      <c r="E264" s="1638"/>
      <c r="F264" s="670"/>
      <c r="G264" s="670"/>
      <c r="H264" s="670"/>
      <c r="I264" s="670"/>
      <c r="J264" s="670"/>
      <c r="K264" s="670"/>
      <c r="L264" s="670"/>
      <c r="M264" s="670"/>
      <c r="N264" s="390"/>
    </row>
    <row r="265" spans="1:14" s="593" customFormat="1" x14ac:dyDescent="0.2">
      <c r="A265" s="1614"/>
      <c r="B265" s="670"/>
      <c r="C265" s="1612"/>
      <c r="D265" s="670"/>
      <c r="E265" s="1638"/>
      <c r="F265" s="670"/>
      <c r="G265" s="670"/>
      <c r="H265" s="670"/>
      <c r="I265" s="670"/>
      <c r="J265" s="670"/>
      <c r="K265" s="670"/>
      <c r="L265" s="670"/>
      <c r="M265" s="670"/>
      <c r="N265" s="390"/>
    </row>
    <row r="266" spans="1:14" s="593" customFormat="1" x14ac:dyDescent="0.2">
      <c r="A266" s="1614"/>
      <c r="B266" s="670"/>
      <c r="C266" s="1612"/>
      <c r="D266" s="670"/>
      <c r="E266" s="1638"/>
      <c r="F266" s="670"/>
      <c r="G266" s="670"/>
      <c r="H266" s="670"/>
      <c r="I266" s="670"/>
      <c r="J266" s="670"/>
      <c r="K266" s="670"/>
      <c r="L266" s="670"/>
      <c r="M266" s="670"/>
      <c r="N266" s="390"/>
    </row>
    <row r="267" spans="1:14" s="593" customFormat="1" x14ac:dyDescent="0.2">
      <c r="A267" s="1614"/>
      <c r="B267" s="670"/>
      <c r="C267" s="1612"/>
      <c r="D267" s="670"/>
      <c r="E267" s="1638"/>
      <c r="F267" s="670"/>
      <c r="G267" s="670"/>
      <c r="H267" s="670"/>
      <c r="I267" s="670"/>
      <c r="J267" s="670"/>
      <c r="K267" s="670"/>
      <c r="L267" s="670"/>
      <c r="M267" s="670"/>
      <c r="N267" s="390"/>
    </row>
    <row r="268" spans="1:14" s="593" customFormat="1" x14ac:dyDescent="0.2">
      <c r="A268" s="1614"/>
      <c r="B268" s="670"/>
      <c r="C268" s="1612"/>
      <c r="D268" s="670"/>
      <c r="E268" s="1638"/>
      <c r="F268" s="670"/>
      <c r="G268" s="670"/>
      <c r="H268" s="670"/>
      <c r="I268" s="670"/>
      <c r="J268" s="670"/>
      <c r="K268" s="670"/>
      <c r="L268" s="670"/>
      <c r="M268" s="670"/>
      <c r="N268" s="390"/>
    </row>
    <row r="269" spans="1:14" s="593" customFormat="1" ht="13.5" thickBot="1" x14ac:dyDescent="0.25">
      <c r="A269" s="1618"/>
      <c r="B269" s="1619"/>
      <c r="C269" s="1620"/>
      <c r="D269" s="1619"/>
      <c r="E269" s="1640"/>
      <c r="F269" s="1619"/>
      <c r="G269" s="1619"/>
      <c r="H269" s="1619"/>
      <c r="I269" s="1619"/>
      <c r="J269" s="1619"/>
      <c r="K269" s="1619"/>
      <c r="L269" s="1619"/>
      <c r="M269" s="1619"/>
      <c r="N269" s="1622"/>
    </row>
    <row r="270" spans="1:14" s="593" customFormat="1" x14ac:dyDescent="0.2">
      <c r="A270" s="1623"/>
      <c r="B270" s="1624"/>
      <c r="C270" s="1625"/>
      <c r="D270" s="1624"/>
      <c r="E270" s="1639"/>
      <c r="F270" s="1624"/>
      <c r="G270" s="1624"/>
      <c r="H270" s="1624"/>
      <c r="I270" s="1624"/>
      <c r="J270" s="1624"/>
      <c r="K270" s="1624"/>
      <c r="L270" s="1624"/>
      <c r="M270" s="1624"/>
      <c r="N270" s="1627"/>
    </row>
    <row r="271" spans="1:14" s="593" customFormat="1" x14ac:dyDescent="0.2">
      <c r="A271" s="1614"/>
      <c r="B271" s="670"/>
      <c r="C271" s="1612"/>
      <c r="D271" s="670"/>
      <c r="E271" s="1638"/>
      <c r="F271" s="670"/>
      <c r="G271" s="670"/>
      <c r="H271" s="670"/>
      <c r="I271" s="670"/>
      <c r="J271" s="670"/>
      <c r="K271" s="670"/>
      <c r="L271" s="670"/>
      <c r="M271" s="670"/>
      <c r="N271" s="390"/>
    </row>
    <row r="272" spans="1:14" s="593" customFormat="1" x14ac:dyDescent="0.2">
      <c r="A272" s="1614"/>
      <c r="B272" s="670"/>
      <c r="C272" s="1612"/>
      <c r="D272" s="670"/>
      <c r="E272" s="1638"/>
      <c r="F272" s="670"/>
      <c r="G272" s="670"/>
      <c r="H272" s="670"/>
      <c r="I272" s="670"/>
      <c r="J272" s="670"/>
      <c r="K272" s="670"/>
      <c r="L272" s="670"/>
      <c r="M272" s="670"/>
      <c r="N272" s="390"/>
    </row>
    <row r="273" spans="1:14" s="593" customFormat="1" x14ac:dyDescent="0.2">
      <c r="A273" s="1614"/>
      <c r="B273" s="670"/>
      <c r="C273" s="1612"/>
      <c r="D273" s="670"/>
      <c r="E273" s="1638"/>
      <c r="F273" s="670"/>
      <c r="G273" s="670"/>
      <c r="H273" s="670"/>
      <c r="I273" s="670"/>
      <c r="J273" s="670"/>
      <c r="K273" s="670"/>
      <c r="L273" s="670"/>
      <c r="M273" s="670"/>
      <c r="N273" s="390"/>
    </row>
    <row r="274" spans="1:14" s="593" customFormat="1" x14ac:dyDescent="0.2">
      <c r="A274" s="1614"/>
      <c r="B274" s="670"/>
      <c r="C274" s="1612"/>
      <c r="D274" s="670"/>
      <c r="E274" s="1638"/>
      <c r="F274" s="670"/>
      <c r="G274" s="670"/>
      <c r="H274" s="670"/>
      <c r="I274" s="670"/>
      <c r="J274" s="670"/>
      <c r="K274" s="670"/>
      <c r="L274" s="670"/>
      <c r="M274" s="670"/>
      <c r="N274" s="390"/>
    </row>
    <row r="275" spans="1:14" s="593" customFormat="1" x14ac:dyDescent="0.2">
      <c r="A275" s="1614"/>
      <c r="B275" s="670"/>
      <c r="C275" s="1612"/>
      <c r="D275" s="670"/>
      <c r="E275" s="1638"/>
      <c r="F275" s="670"/>
      <c r="G275" s="670"/>
      <c r="H275" s="670"/>
      <c r="I275" s="670"/>
      <c r="J275" s="670"/>
      <c r="K275" s="670"/>
      <c r="L275" s="670"/>
      <c r="M275" s="670"/>
      <c r="N275" s="390"/>
    </row>
    <row r="276" spans="1:14" s="593" customFormat="1" x14ac:dyDescent="0.2">
      <c r="A276" s="1614"/>
      <c r="B276" s="670"/>
      <c r="C276" s="1612"/>
      <c r="D276" s="670"/>
      <c r="E276" s="1638"/>
      <c r="F276" s="670"/>
      <c r="G276" s="670"/>
      <c r="H276" s="670"/>
      <c r="I276" s="670"/>
      <c r="J276" s="670"/>
      <c r="K276" s="670"/>
      <c r="L276" s="670"/>
      <c r="M276" s="670"/>
      <c r="N276" s="390"/>
    </row>
    <row r="277" spans="1:14" s="593" customFormat="1" x14ac:dyDescent="0.2">
      <c r="A277" s="1614"/>
      <c r="B277" s="670"/>
      <c r="C277" s="1612"/>
      <c r="D277" s="670"/>
      <c r="E277" s="1638"/>
      <c r="F277" s="670"/>
      <c r="G277" s="670"/>
      <c r="H277" s="670"/>
      <c r="I277" s="670"/>
      <c r="J277" s="670"/>
      <c r="K277" s="670"/>
      <c r="L277" s="670"/>
      <c r="M277" s="670"/>
      <c r="N277" s="390"/>
    </row>
    <row r="278" spans="1:14" s="593" customFormat="1" ht="13.5" thickBot="1" x14ac:dyDescent="0.25">
      <c r="A278" s="1618"/>
      <c r="B278" s="1619"/>
      <c r="C278" s="1620"/>
      <c r="D278" s="1619"/>
      <c r="E278" s="1640"/>
      <c r="F278" s="1619"/>
      <c r="G278" s="1619"/>
      <c r="H278" s="1619"/>
      <c r="I278" s="1619"/>
      <c r="J278" s="1619"/>
      <c r="K278" s="1619"/>
      <c r="L278" s="1619"/>
      <c r="M278" s="1619"/>
      <c r="N278" s="1622"/>
    </row>
    <row r="279" spans="1:14" s="593" customFormat="1" x14ac:dyDescent="0.2">
      <c r="C279" s="1636"/>
      <c r="E279" s="1638"/>
      <c r="N279" s="1636"/>
    </row>
    <row r="280" spans="1:14" s="593" customFormat="1" x14ac:dyDescent="0.2">
      <c r="C280" s="1636"/>
      <c r="E280" s="1638"/>
      <c r="N280" s="1636"/>
    </row>
    <row r="281" spans="1:14" s="593" customFormat="1" x14ac:dyDescent="0.2">
      <c r="C281" s="1636"/>
      <c r="E281" s="1638"/>
      <c r="N281" s="1636"/>
    </row>
    <row r="282" spans="1:14" s="593" customFormat="1" x14ac:dyDescent="0.2">
      <c r="C282" s="1636"/>
      <c r="E282" s="1638"/>
      <c r="N282" s="1636"/>
    </row>
    <row r="283" spans="1:14" s="593" customFormat="1" x14ac:dyDescent="0.2">
      <c r="C283" s="1636"/>
      <c r="E283" s="1638"/>
      <c r="N283" s="1636"/>
    </row>
    <row r="284" spans="1:14" s="593" customFormat="1" x14ac:dyDescent="0.2">
      <c r="C284" s="1636"/>
      <c r="E284" s="1638"/>
      <c r="N284" s="1636"/>
    </row>
    <row r="285" spans="1:14" s="593" customFormat="1" x14ac:dyDescent="0.2">
      <c r="C285" s="1636"/>
      <c r="E285" s="1638"/>
      <c r="N285" s="1636"/>
    </row>
    <row r="286" spans="1:14" s="593" customFormat="1" x14ac:dyDescent="0.2">
      <c r="C286" s="1636"/>
      <c r="E286" s="1638"/>
      <c r="N286" s="1636"/>
    </row>
    <row r="287" spans="1:14" s="593" customFormat="1" x14ac:dyDescent="0.2">
      <c r="C287" s="1636"/>
      <c r="E287" s="1638"/>
      <c r="N287" s="1636"/>
    </row>
    <row r="288" spans="1:14" s="593" customFormat="1" x14ac:dyDescent="0.2">
      <c r="C288" s="1636"/>
      <c r="E288" s="1638"/>
      <c r="N288" s="1636"/>
    </row>
    <row r="289" spans="1:14" s="593" customFormat="1" x14ac:dyDescent="0.2">
      <c r="C289" s="1636"/>
      <c r="E289" s="1638"/>
      <c r="N289" s="1636"/>
    </row>
    <row r="290" spans="1:14" s="593" customFormat="1" x14ac:dyDescent="0.2">
      <c r="C290" s="1636"/>
      <c r="E290" s="1638"/>
      <c r="N290" s="1636"/>
    </row>
    <row r="291" spans="1:14" s="593" customFormat="1" x14ac:dyDescent="0.2">
      <c r="C291" s="1636"/>
      <c r="E291" s="1638"/>
      <c r="N291" s="1636"/>
    </row>
    <row r="292" spans="1:14" s="593" customFormat="1" x14ac:dyDescent="0.2">
      <c r="C292" s="1636"/>
      <c r="E292" s="1638"/>
      <c r="N292" s="1636"/>
    </row>
    <row r="293" spans="1:14" s="593" customFormat="1" x14ac:dyDescent="0.2">
      <c r="C293" s="1636"/>
      <c r="E293" s="1638"/>
      <c r="N293" s="1636"/>
    </row>
    <row r="294" spans="1:14" s="593" customFormat="1" x14ac:dyDescent="0.2">
      <c r="C294" s="1636"/>
      <c r="E294" s="1638"/>
      <c r="N294" s="1636"/>
    </row>
    <row r="295" spans="1:14" s="593" customFormat="1" x14ac:dyDescent="0.2">
      <c r="C295" s="1636"/>
      <c r="E295" s="1638"/>
      <c r="N295" s="1636"/>
    </row>
    <row r="296" spans="1:14" s="593" customFormat="1" ht="13.5" thickBot="1" x14ac:dyDescent="0.25">
      <c r="C296" s="1636"/>
      <c r="E296" s="1638"/>
      <c r="N296" s="1636"/>
    </row>
    <row r="297" spans="1:14" s="593" customFormat="1" x14ac:dyDescent="0.2">
      <c r="A297" s="1623"/>
      <c r="B297" s="1624"/>
      <c r="C297" s="1625"/>
      <c r="D297" s="1624"/>
      <c r="E297" s="1639"/>
      <c r="F297" s="1624"/>
      <c r="G297" s="1624"/>
      <c r="H297" s="1624"/>
      <c r="I297" s="1624"/>
      <c r="J297" s="1624"/>
      <c r="K297" s="1624"/>
      <c r="L297" s="1624"/>
      <c r="M297" s="1624"/>
      <c r="N297" s="1627"/>
    </row>
    <row r="298" spans="1:14" s="593" customFormat="1" x14ac:dyDescent="0.2">
      <c r="A298" s="1614"/>
      <c r="B298" s="670"/>
      <c r="C298" s="1612"/>
      <c r="D298" s="670"/>
      <c r="E298" s="1638"/>
      <c r="F298" s="670"/>
      <c r="G298" s="670"/>
      <c r="H298" s="670"/>
      <c r="I298" s="670"/>
      <c r="J298" s="670"/>
      <c r="K298" s="670"/>
      <c r="L298" s="670"/>
      <c r="M298" s="670"/>
      <c r="N298" s="390"/>
    </row>
    <row r="299" spans="1:14" s="593" customFormat="1" x14ac:dyDescent="0.2">
      <c r="A299" s="1614"/>
      <c r="B299" s="670"/>
      <c r="C299" s="1612"/>
      <c r="D299" s="670"/>
      <c r="E299" s="1638"/>
      <c r="F299" s="670"/>
      <c r="G299" s="670"/>
      <c r="H299" s="670"/>
      <c r="I299" s="670"/>
      <c r="J299" s="670"/>
      <c r="K299" s="670"/>
      <c r="L299" s="670"/>
      <c r="M299" s="670"/>
      <c r="N299" s="390"/>
    </row>
    <row r="300" spans="1:14" s="593" customFormat="1" x14ac:dyDescent="0.2">
      <c r="A300" s="1614"/>
      <c r="B300" s="670"/>
      <c r="C300" s="1612"/>
      <c r="D300" s="670"/>
      <c r="E300" s="1638"/>
      <c r="F300" s="670"/>
      <c r="G300" s="670"/>
      <c r="H300" s="670"/>
      <c r="I300" s="670"/>
      <c r="J300" s="670"/>
      <c r="K300" s="670"/>
      <c r="L300" s="670"/>
      <c r="M300" s="670"/>
      <c r="N300" s="390"/>
    </row>
    <row r="301" spans="1:14" s="593" customFormat="1" x14ac:dyDescent="0.2">
      <c r="A301" s="1614"/>
      <c r="B301" s="670"/>
      <c r="C301" s="1612"/>
      <c r="D301" s="670"/>
      <c r="E301" s="1638"/>
      <c r="F301" s="670"/>
      <c r="G301" s="670"/>
      <c r="H301" s="670"/>
      <c r="I301" s="670"/>
      <c r="J301" s="670"/>
      <c r="K301" s="670"/>
      <c r="L301" s="670"/>
      <c r="M301" s="670"/>
      <c r="N301" s="390"/>
    </row>
    <row r="302" spans="1:14" s="593" customFormat="1" x14ac:dyDescent="0.2">
      <c r="A302" s="1614"/>
      <c r="B302" s="670"/>
      <c r="C302" s="1612"/>
      <c r="D302" s="670"/>
      <c r="E302" s="1638"/>
      <c r="F302" s="670"/>
      <c r="G302" s="670"/>
      <c r="H302" s="670"/>
      <c r="I302" s="670"/>
      <c r="J302" s="670"/>
      <c r="K302" s="670"/>
      <c r="L302" s="670"/>
      <c r="M302" s="670"/>
      <c r="N302" s="390"/>
    </row>
    <row r="303" spans="1:14" s="593" customFormat="1" x14ac:dyDescent="0.2">
      <c r="A303" s="1614"/>
      <c r="B303" s="670"/>
      <c r="C303" s="1612"/>
      <c r="D303" s="670"/>
      <c r="E303" s="1638"/>
      <c r="F303" s="670"/>
      <c r="G303" s="670"/>
      <c r="H303" s="670"/>
      <c r="I303" s="670"/>
      <c r="J303" s="670"/>
      <c r="K303" s="670"/>
      <c r="L303" s="670"/>
      <c r="M303" s="670"/>
      <c r="N303" s="390"/>
    </row>
    <row r="304" spans="1:14" s="593" customFormat="1" x14ac:dyDescent="0.2">
      <c r="A304" s="1614"/>
      <c r="B304" s="670"/>
      <c r="C304" s="1612"/>
      <c r="D304" s="670"/>
      <c r="E304" s="1638"/>
      <c r="F304" s="670"/>
      <c r="G304" s="670"/>
      <c r="H304" s="670"/>
      <c r="I304" s="670"/>
      <c r="J304" s="670"/>
      <c r="K304" s="670"/>
      <c r="L304" s="670"/>
      <c r="M304" s="670"/>
      <c r="N304" s="390"/>
    </row>
    <row r="305" spans="1:14" s="593" customFormat="1" ht="13.5" thickBot="1" x14ac:dyDescent="0.25">
      <c r="A305" s="1618"/>
      <c r="B305" s="1619"/>
      <c r="C305" s="1620"/>
      <c r="D305" s="1619"/>
      <c r="E305" s="1640"/>
      <c r="F305" s="1619"/>
      <c r="G305" s="1619"/>
      <c r="H305" s="1619"/>
      <c r="I305" s="1619"/>
      <c r="J305" s="1619"/>
      <c r="K305" s="1619"/>
      <c r="L305" s="1619"/>
      <c r="M305" s="1619"/>
      <c r="N305" s="1622"/>
    </row>
    <row r="306" spans="1:14" s="593" customFormat="1" x14ac:dyDescent="0.2">
      <c r="A306" s="1623"/>
      <c r="B306" s="1624"/>
      <c r="C306" s="1625"/>
      <c r="D306" s="1624"/>
      <c r="E306" s="1639"/>
      <c r="F306" s="1624"/>
      <c r="G306" s="1624"/>
      <c r="H306" s="1624"/>
      <c r="I306" s="1624"/>
      <c r="J306" s="1624"/>
      <c r="K306" s="1624"/>
      <c r="L306" s="1624"/>
      <c r="M306" s="1624"/>
      <c r="N306" s="1627"/>
    </row>
    <row r="307" spans="1:14" s="593" customFormat="1" x14ac:dyDescent="0.2">
      <c r="A307" s="1614"/>
      <c r="B307" s="670"/>
      <c r="C307" s="1612"/>
      <c r="D307" s="670"/>
      <c r="E307" s="1638"/>
      <c r="F307" s="670"/>
      <c r="G307" s="670"/>
      <c r="H307" s="670"/>
      <c r="I307" s="670"/>
      <c r="J307" s="670"/>
      <c r="K307" s="670"/>
      <c r="L307" s="670"/>
      <c r="M307" s="670"/>
      <c r="N307" s="390"/>
    </row>
    <row r="308" spans="1:14" s="593" customFormat="1" x14ac:dyDescent="0.2">
      <c r="A308" s="1614"/>
      <c r="B308" s="670"/>
      <c r="C308" s="1612"/>
      <c r="D308" s="670"/>
      <c r="E308" s="1638"/>
      <c r="F308" s="670"/>
      <c r="G308" s="670"/>
      <c r="H308" s="670"/>
      <c r="I308" s="670"/>
      <c r="J308" s="670"/>
      <c r="K308" s="670"/>
      <c r="L308" s="670"/>
      <c r="M308" s="670"/>
      <c r="N308" s="390"/>
    </row>
    <row r="309" spans="1:14" s="593" customFormat="1" x14ac:dyDescent="0.2">
      <c r="A309" s="1614"/>
      <c r="B309" s="670"/>
      <c r="C309" s="1612"/>
      <c r="D309" s="670"/>
      <c r="E309" s="1638"/>
      <c r="F309" s="670"/>
      <c r="G309" s="670"/>
      <c r="H309" s="670"/>
      <c r="I309" s="670"/>
      <c r="J309" s="670"/>
      <c r="K309" s="670"/>
      <c r="L309" s="670"/>
      <c r="M309" s="670"/>
      <c r="N309" s="390"/>
    </row>
    <row r="310" spans="1:14" s="593" customFormat="1" x14ac:dyDescent="0.2">
      <c r="A310" s="1614"/>
      <c r="B310" s="670"/>
      <c r="C310" s="1612"/>
      <c r="D310" s="670"/>
      <c r="E310" s="1638"/>
      <c r="F310" s="670"/>
      <c r="G310" s="670"/>
      <c r="H310" s="670"/>
      <c r="I310" s="670"/>
      <c r="J310" s="670"/>
      <c r="K310" s="670"/>
      <c r="L310" s="670"/>
      <c r="M310" s="670"/>
      <c r="N310" s="390"/>
    </row>
    <row r="311" spans="1:14" s="593" customFormat="1" x14ac:dyDescent="0.2">
      <c r="A311" s="1614"/>
      <c r="B311" s="670"/>
      <c r="C311" s="1612"/>
      <c r="D311" s="670"/>
      <c r="E311" s="1638"/>
      <c r="F311" s="670"/>
      <c r="G311" s="670"/>
      <c r="H311" s="670"/>
      <c r="I311" s="670"/>
      <c r="J311" s="670"/>
      <c r="K311" s="670"/>
      <c r="L311" s="670"/>
      <c r="M311" s="670"/>
      <c r="N311" s="390"/>
    </row>
    <row r="312" spans="1:14" s="593" customFormat="1" x14ac:dyDescent="0.2">
      <c r="A312" s="1614"/>
      <c r="B312" s="670"/>
      <c r="C312" s="1612"/>
      <c r="D312" s="670"/>
      <c r="E312" s="1638"/>
      <c r="F312" s="670"/>
      <c r="G312" s="670"/>
      <c r="H312" s="670"/>
      <c r="I312" s="670"/>
      <c r="J312" s="670"/>
      <c r="K312" s="670"/>
      <c r="L312" s="670"/>
      <c r="M312" s="670"/>
      <c r="N312" s="390"/>
    </row>
    <row r="313" spans="1:14" s="593" customFormat="1" x14ac:dyDescent="0.2">
      <c r="A313" s="1614"/>
      <c r="B313" s="670"/>
      <c r="C313" s="1612"/>
      <c r="D313" s="670"/>
      <c r="E313" s="1638"/>
      <c r="F313" s="670"/>
      <c r="G313" s="670"/>
      <c r="H313" s="670"/>
      <c r="I313" s="670"/>
      <c r="J313" s="670"/>
      <c r="K313" s="670"/>
      <c r="L313" s="670"/>
      <c r="M313" s="670"/>
      <c r="N313" s="390"/>
    </row>
    <row r="314" spans="1:14" s="593" customFormat="1" ht="13.5" thickBot="1" x14ac:dyDescent="0.25">
      <c r="A314" s="1618"/>
      <c r="B314" s="1619"/>
      <c r="C314" s="1620"/>
      <c r="D314" s="1619"/>
      <c r="E314" s="1640"/>
      <c r="F314" s="1619"/>
      <c r="G314" s="1619"/>
      <c r="H314" s="1619"/>
      <c r="I314" s="1619"/>
      <c r="J314" s="1619"/>
      <c r="K314" s="1619"/>
      <c r="L314" s="1619"/>
      <c r="M314" s="1619"/>
      <c r="N314" s="1622"/>
    </row>
    <row r="315" spans="1:14" s="593" customFormat="1" x14ac:dyDescent="0.2">
      <c r="C315" s="1636"/>
      <c r="E315" s="1638"/>
      <c r="N315" s="1636"/>
    </row>
    <row r="316" spans="1:14" s="593" customFormat="1" x14ac:dyDescent="0.2">
      <c r="C316" s="1636"/>
      <c r="E316" s="1638"/>
      <c r="N316" s="1636"/>
    </row>
    <row r="317" spans="1:14" s="593" customFormat="1" x14ac:dyDescent="0.2">
      <c r="C317" s="1636"/>
      <c r="E317" s="1638"/>
      <c r="N317" s="1636"/>
    </row>
    <row r="318" spans="1:14" s="593" customFormat="1" x14ac:dyDescent="0.2">
      <c r="C318" s="1636"/>
      <c r="E318" s="1638"/>
      <c r="N318" s="1636"/>
    </row>
    <row r="319" spans="1:14" s="593" customFormat="1" x14ac:dyDescent="0.2">
      <c r="C319" s="1636"/>
      <c r="E319" s="1638"/>
      <c r="N319" s="1636"/>
    </row>
    <row r="320" spans="1:14" s="593" customFormat="1" x14ac:dyDescent="0.2">
      <c r="C320" s="1636"/>
      <c r="E320" s="1638"/>
      <c r="N320" s="1636"/>
    </row>
    <row r="321" spans="1:14" s="593" customFormat="1" x14ac:dyDescent="0.2">
      <c r="C321" s="1636"/>
      <c r="E321" s="1638"/>
      <c r="N321" s="1636"/>
    </row>
    <row r="322" spans="1:14" s="593" customFormat="1" x14ac:dyDescent="0.2">
      <c r="C322" s="1636"/>
      <c r="E322" s="1638"/>
      <c r="N322" s="1636"/>
    </row>
    <row r="323" spans="1:14" s="593" customFormat="1" x14ac:dyDescent="0.2">
      <c r="C323" s="1636"/>
      <c r="E323" s="1638"/>
      <c r="N323" s="1636"/>
    </row>
    <row r="324" spans="1:14" s="593" customFormat="1" x14ac:dyDescent="0.2">
      <c r="C324" s="1636"/>
      <c r="E324" s="1638"/>
      <c r="N324" s="1636"/>
    </row>
    <row r="325" spans="1:14" s="593" customFormat="1" x14ac:dyDescent="0.2">
      <c r="C325" s="1636"/>
      <c r="E325" s="1638"/>
      <c r="N325" s="1636"/>
    </row>
    <row r="326" spans="1:14" s="593" customFormat="1" x14ac:dyDescent="0.2">
      <c r="C326" s="1636"/>
      <c r="E326" s="1638"/>
      <c r="N326" s="1636"/>
    </row>
    <row r="327" spans="1:14" s="593" customFormat="1" x14ac:dyDescent="0.2">
      <c r="C327" s="1636"/>
      <c r="E327" s="1638"/>
      <c r="N327" s="1636"/>
    </row>
    <row r="328" spans="1:14" s="593" customFormat="1" x14ac:dyDescent="0.2">
      <c r="C328" s="1636"/>
      <c r="E328" s="1638"/>
      <c r="N328" s="1636"/>
    </row>
    <row r="329" spans="1:14" s="593" customFormat="1" x14ac:dyDescent="0.2">
      <c r="C329" s="1636"/>
      <c r="E329" s="1638"/>
      <c r="N329" s="1636"/>
    </row>
    <row r="330" spans="1:14" s="593" customFormat="1" x14ac:dyDescent="0.2">
      <c r="C330" s="1636"/>
      <c r="E330" s="1638"/>
      <c r="N330" s="1636"/>
    </row>
    <row r="331" spans="1:14" s="593" customFormat="1" x14ac:dyDescent="0.2">
      <c r="C331" s="1636"/>
      <c r="E331" s="1638"/>
      <c r="N331" s="1636"/>
    </row>
    <row r="332" spans="1:14" s="593" customFormat="1" ht="13.5" thickBot="1" x14ac:dyDescent="0.25">
      <c r="C332" s="1636"/>
      <c r="E332" s="1638"/>
      <c r="N332" s="1636"/>
    </row>
    <row r="333" spans="1:14" s="593" customFormat="1" x14ac:dyDescent="0.2">
      <c r="A333" s="1623"/>
      <c r="B333" s="1624"/>
      <c r="C333" s="1625"/>
      <c r="D333" s="1624"/>
      <c r="E333" s="1639"/>
      <c r="F333" s="1624"/>
      <c r="G333" s="1624"/>
      <c r="H333" s="1624"/>
      <c r="I333" s="1624"/>
      <c r="J333" s="1624"/>
      <c r="K333" s="1624"/>
      <c r="L333" s="1624"/>
      <c r="M333" s="1624"/>
      <c r="N333" s="1627"/>
    </row>
    <row r="334" spans="1:14" s="593" customFormat="1" x14ac:dyDescent="0.2">
      <c r="A334" s="1614"/>
      <c r="B334" s="670"/>
      <c r="C334" s="1612"/>
      <c r="D334" s="670"/>
      <c r="E334" s="1638"/>
      <c r="F334" s="670"/>
      <c r="G334" s="670"/>
      <c r="H334" s="670"/>
      <c r="I334" s="670"/>
      <c r="J334" s="670"/>
      <c r="K334" s="670"/>
      <c r="L334" s="670"/>
      <c r="M334" s="670"/>
      <c r="N334" s="390"/>
    </row>
    <row r="335" spans="1:14" s="593" customFormat="1" x14ac:dyDescent="0.2">
      <c r="A335" s="1614"/>
      <c r="B335" s="670"/>
      <c r="C335" s="1612"/>
      <c r="D335" s="670"/>
      <c r="E335" s="1638"/>
      <c r="F335" s="670"/>
      <c r="G335" s="670"/>
      <c r="H335" s="670"/>
      <c r="I335" s="670"/>
      <c r="J335" s="670"/>
      <c r="K335" s="670"/>
      <c r="L335" s="670"/>
      <c r="M335" s="670"/>
      <c r="N335" s="390"/>
    </row>
    <row r="336" spans="1:14" s="593" customFormat="1" x14ac:dyDescent="0.2">
      <c r="A336" s="1614"/>
      <c r="B336" s="670"/>
      <c r="C336" s="1612"/>
      <c r="D336" s="670"/>
      <c r="E336" s="1638"/>
      <c r="F336" s="670"/>
      <c r="G336" s="670"/>
      <c r="H336" s="670"/>
      <c r="I336" s="670"/>
      <c r="J336" s="670"/>
      <c r="K336" s="670"/>
      <c r="L336" s="670"/>
      <c r="M336" s="670"/>
      <c r="N336" s="390"/>
    </row>
    <row r="337" spans="1:14" s="593" customFormat="1" x14ac:dyDescent="0.2">
      <c r="A337" s="1614"/>
      <c r="B337" s="670"/>
      <c r="C337" s="1612"/>
      <c r="D337" s="670"/>
      <c r="E337" s="1638"/>
      <c r="F337" s="670"/>
      <c r="G337" s="670"/>
      <c r="H337" s="670"/>
      <c r="I337" s="670"/>
      <c r="J337" s="670"/>
      <c r="K337" s="670"/>
      <c r="L337" s="670"/>
      <c r="M337" s="670"/>
      <c r="N337" s="390"/>
    </row>
    <row r="338" spans="1:14" s="593" customFormat="1" x14ac:dyDescent="0.2">
      <c r="A338" s="1614"/>
      <c r="B338" s="670"/>
      <c r="C338" s="1612"/>
      <c r="D338" s="670"/>
      <c r="E338" s="1638"/>
      <c r="F338" s="670"/>
      <c r="G338" s="670"/>
      <c r="H338" s="670"/>
      <c r="I338" s="670"/>
      <c r="J338" s="670"/>
      <c r="K338" s="670"/>
      <c r="L338" s="670"/>
      <c r="M338" s="670"/>
      <c r="N338" s="390"/>
    </row>
    <row r="339" spans="1:14" s="593" customFormat="1" x14ac:dyDescent="0.2">
      <c r="A339" s="1614"/>
      <c r="B339" s="670"/>
      <c r="C339" s="1612"/>
      <c r="D339" s="670"/>
      <c r="E339" s="1638"/>
      <c r="F339" s="670"/>
      <c r="G339" s="670"/>
      <c r="H339" s="670"/>
      <c r="I339" s="670"/>
      <c r="J339" s="670"/>
      <c r="K339" s="670"/>
      <c r="L339" s="670"/>
      <c r="M339" s="670"/>
      <c r="N339" s="390"/>
    </row>
    <row r="340" spans="1:14" s="593" customFormat="1" x14ac:dyDescent="0.2">
      <c r="A340" s="1614"/>
      <c r="B340" s="670"/>
      <c r="C340" s="1612"/>
      <c r="D340" s="670"/>
      <c r="E340" s="1638"/>
      <c r="F340" s="670"/>
      <c r="G340" s="670"/>
      <c r="H340" s="670"/>
      <c r="I340" s="670"/>
      <c r="J340" s="670"/>
      <c r="K340" s="670"/>
      <c r="L340" s="670"/>
      <c r="M340" s="670"/>
      <c r="N340" s="390"/>
    </row>
    <row r="341" spans="1:14" s="593" customFormat="1" ht="13.5" thickBot="1" x14ac:dyDescent="0.25">
      <c r="A341" s="1618"/>
      <c r="B341" s="1619"/>
      <c r="C341" s="1620"/>
      <c r="D341" s="1619"/>
      <c r="E341" s="1640"/>
      <c r="F341" s="1619"/>
      <c r="G341" s="1619"/>
      <c r="H341" s="1619"/>
      <c r="I341" s="1619"/>
      <c r="J341" s="1619"/>
      <c r="K341" s="1619"/>
      <c r="L341" s="1619"/>
      <c r="M341" s="1619"/>
      <c r="N341" s="1622"/>
    </row>
    <row r="342" spans="1:14" s="593" customFormat="1" x14ac:dyDescent="0.2">
      <c r="A342" s="1623"/>
      <c r="B342" s="1624"/>
      <c r="C342" s="1625"/>
      <c r="D342" s="1624"/>
      <c r="E342" s="1639"/>
      <c r="F342" s="1624"/>
      <c r="G342" s="1624"/>
      <c r="H342" s="1624"/>
      <c r="I342" s="1624"/>
      <c r="J342" s="1624"/>
      <c r="K342" s="1624"/>
      <c r="L342" s="1624"/>
      <c r="M342" s="1624"/>
      <c r="N342" s="1627"/>
    </row>
    <row r="343" spans="1:14" s="593" customFormat="1" x14ac:dyDescent="0.2">
      <c r="A343" s="1614"/>
      <c r="B343" s="670"/>
      <c r="C343" s="1612"/>
      <c r="D343" s="670"/>
      <c r="E343" s="1638"/>
      <c r="F343" s="670"/>
      <c r="G343" s="670"/>
      <c r="H343" s="670"/>
      <c r="I343" s="670"/>
      <c r="J343" s="670"/>
      <c r="K343" s="670"/>
      <c r="L343" s="670"/>
      <c r="M343" s="670"/>
      <c r="N343" s="390"/>
    </row>
    <row r="344" spans="1:14" s="593" customFormat="1" x14ac:dyDescent="0.2">
      <c r="A344" s="1614"/>
      <c r="B344" s="670"/>
      <c r="C344" s="1612"/>
      <c r="D344" s="670"/>
      <c r="E344" s="1638"/>
      <c r="F344" s="670"/>
      <c r="G344" s="670"/>
      <c r="H344" s="670"/>
      <c r="I344" s="670"/>
      <c r="J344" s="670"/>
      <c r="K344" s="670"/>
      <c r="L344" s="670"/>
      <c r="M344" s="670"/>
      <c r="N344" s="390"/>
    </row>
    <row r="345" spans="1:14" s="593" customFormat="1" x14ac:dyDescent="0.2">
      <c r="A345" s="1614"/>
      <c r="B345" s="670"/>
      <c r="C345" s="1612"/>
      <c r="D345" s="670"/>
      <c r="E345" s="1638"/>
      <c r="F345" s="670"/>
      <c r="G345" s="670"/>
      <c r="H345" s="670"/>
      <c r="I345" s="670"/>
      <c r="J345" s="670"/>
      <c r="K345" s="670"/>
      <c r="L345" s="670"/>
      <c r="M345" s="670"/>
      <c r="N345" s="390"/>
    </row>
    <row r="346" spans="1:14" s="593" customFormat="1" x14ac:dyDescent="0.2">
      <c r="A346" s="1614"/>
      <c r="B346" s="670"/>
      <c r="C346" s="1612"/>
      <c r="D346" s="670"/>
      <c r="E346" s="1638"/>
      <c r="F346" s="670"/>
      <c r="G346" s="670"/>
      <c r="H346" s="670"/>
      <c r="I346" s="670"/>
      <c r="J346" s="670"/>
      <c r="K346" s="670"/>
      <c r="L346" s="670"/>
      <c r="M346" s="670"/>
      <c r="N346" s="390"/>
    </row>
    <row r="347" spans="1:14" s="593" customFormat="1" x14ac:dyDescent="0.2">
      <c r="A347" s="1614"/>
      <c r="B347" s="670"/>
      <c r="C347" s="1612"/>
      <c r="D347" s="670"/>
      <c r="E347" s="1638"/>
      <c r="F347" s="670"/>
      <c r="G347" s="670"/>
      <c r="H347" s="670"/>
      <c r="I347" s="670"/>
      <c r="J347" s="670"/>
      <c r="K347" s="670"/>
      <c r="L347" s="670"/>
      <c r="M347" s="670"/>
      <c r="N347" s="390"/>
    </row>
    <row r="348" spans="1:14" s="593" customFormat="1" x14ac:dyDescent="0.2">
      <c r="A348" s="1614"/>
      <c r="B348" s="670"/>
      <c r="C348" s="1612"/>
      <c r="D348" s="670"/>
      <c r="E348" s="1638"/>
      <c r="F348" s="670"/>
      <c r="G348" s="670"/>
      <c r="H348" s="670"/>
      <c r="I348" s="670"/>
      <c r="J348" s="670"/>
      <c r="K348" s="670"/>
      <c r="L348" s="670"/>
      <c r="M348" s="670"/>
      <c r="N348" s="390"/>
    </row>
    <row r="349" spans="1:14" s="593" customFormat="1" x14ac:dyDescent="0.2">
      <c r="A349" s="1614"/>
      <c r="B349" s="670"/>
      <c r="C349" s="1612"/>
      <c r="D349" s="670"/>
      <c r="E349" s="1638"/>
      <c r="F349" s="670"/>
      <c r="G349" s="670"/>
      <c r="H349" s="670"/>
      <c r="I349" s="670"/>
      <c r="J349" s="670"/>
      <c r="K349" s="670"/>
      <c r="L349" s="670"/>
      <c r="M349" s="670"/>
      <c r="N349" s="390"/>
    </row>
    <row r="350" spans="1:14" s="593" customFormat="1" ht="13.5" thickBot="1" x14ac:dyDescent="0.25">
      <c r="A350" s="1618"/>
      <c r="B350" s="1619"/>
      <c r="C350" s="1620"/>
      <c r="D350" s="1619"/>
      <c r="E350" s="1640"/>
      <c r="F350" s="1619"/>
      <c r="G350" s="1619"/>
      <c r="H350" s="1619"/>
      <c r="I350" s="1619"/>
      <c r="J350" s="1619"/>
      <c r="K350" s="1619"/>
      <c r="L350" s="1619"/>
      <c r="M350" s="1619"/>
      <c r="N350" s="1622"/>
    </row>
    <row r="351" spans="1:14" s="593" customFormat="1" x14ac:dyDescent="0.2">
      <c r="C351" s="1636"/>
      <c r="E351" s="1638"/>
      <c r="N351" s="1636"/>
    </row>
    <row r="352" spans="1:14" s="593" customFormat="1" x14ac:dyDescent="0.2">
      <c r="C352" s="1636"/>
      <c r="E352" s="1638"/>
      <c r="N352" s="1636"/>
    </row>
    <row r="353" spans="3:14" s="593" customFormat="1" x14ac:dyDescent="0.2">
      <c r="C353" s="1636"/>
      <c r="E353" s="1638"/>
      <c r="N353" s="1636"/>
    </row>
    <row r="354" spans="3:14" s="593" customFormat="1" x14ac:dyDescent="0.2">
      <c r="C354" s="1636"/>
      <c r="E354" s="1638"/>
      <c r="N354" s="1636"/>
    </row>
    <row r="355" spans="3:14" s="593" customFormat="1" x14ac:dyDescent="0.2">
      <c r="C355" s="1636"/>
      <c r="E355" s="1638"/>
      <c r="N355" s="1636"/>
    </row>
    <row r="356" spans="3:14" s="593" customFormat="1" x14ac:dyDescent="0.2">
      <c r="C356" s="1636"/>
      <c r="E356" s="1638"/>
      <c r="N356" s="1636"/>
    </row>
    <row r="357" spans="3:14" s="593" customFormat="1" x14ac:dyDescent="0.2">
      <c r="C357" s="1636"/>
      <c r="E357" s="1638"/>
      <c r="N357" s="1636"/>
    </row>
    <row r="358" spans="3:14" s="593" customFormat="1" x14ac:dyDescent="0.2">
      <c r="C358" s="1636"/>
      <c r="E358" s="1638"/>
      <c r="N358" s="1636"/>
    </row>
    <row r="359" spans="3:14" s="593" customFormat="1" x14ac:dyDescent="0.2">
      <c r="C359" s="1636"/>
      <c r="E359" s="1638"/>
      <c r="N359" s="1636"/>
    </row>
    <row r="360" spans="3:14" s="593" customFormat="1" x14ac:dyDescent="0.2">
      <c r="C360" s="1636"/>
      <c r="E360" s="1638"/>
      <c r="N360" s="1636"/>
    </row>
    <row r="361" spans="3:14" s="593" customFormat="1" x14ac:dyDescent="0.2">
      <c r="C361" s="1636"/>
      <c r="E361" s="1638"/>
      <c r="N361" s="1636"/>
    </row>
    <row r="362" spans="3:14" s="593" customFormat="1" x14ac:dyDescent="0.2">
      <c r="C362" s="1636"/>
      <c r="E362" s="1638"/>
      <c r="N362" s="1636"/>
    </row>
    <row r="363" spans="3:14" s="593" customFormat="1" x14ac:dyDescent="0.2">
      <c r="C363" s="1636"/>
      <c r="E363" s="1638"/>
      <c r="N363" s="1636"/>
    </row>
    <row r="364" spans="3:14" s="593" customFormat="1" x14ac:dyDescent="0.2">
      <c r="C364" s="1636"/>
      <c r="E364" s="1638"/>
      <c r="N364" s="1636"/>
    </row>
    <row r="365" spans="3:14" s="593" customFormat="1" x14ac:dyDescent="0.2">
      <c r="C365" s="1636"/>
      <c r="E365" s="1638"/>
      <c r="N365" s="1636"/>
    </row>
    <row r="366" spans="3:14" s="593" customFormat="1" x14ac:dyDescent="0.2">
      <c r="C366" s="1636"/>
      <c r="E366" s="1638"/>
      <c r="N366" s="1636"/>
    </row>
    <row r="367" spans="3:14" s="593" customFormat="1" x14ac:dyDescent="0.2">
      <c r="C367" s="1636"/>
      <c r="E367" s="1638"/>
      <c r="N367" s="1636"/>
    </row>
    <row r="368" spans="3:14" s="593" customFormat="1" x14ac:dyDescent="0.2">
      <c r="C368" s="1636"/>
      <c r="E368" s="1638"/>
      <c r="N368" s="1636"/>
    </row>
    <row r="369" spans="1:14" s="593" customFormat="1" ht="13.5" thickBot="1" x14ac:dyDescent="0.25">
      <c r="C369" s="1636"/>
      <c r="E369" s="1638"/>
      <c r="N369" s="1636"/>
    </row>
    <row r="370" spans="1:14" s="593" customFormat="1" x14ac:dyDescent="0.2">
      <c r="A370" s="1623"/>
      <c r="B370" s="1624"/>
      <c r="C370" s="1625"/>
      <c r="D370" s="1624"/>
      <c r="E370" s="1639"/>
      <c r="F370" s="1624"/>
      <c r="G370" s="1624"/>
      <c r="H370" s="1624"/>
      <c r="I370" s="1624"/>
      <c r="J370" s="1624"/>
      <c r="K370" s="1624"/>
      <c r="L370" s="1624"/>
      <c r="M370" s="1624"/>
      <c r="N370" s="1627"/>
    </row>
    <row r="371" spans="1:14" s="593" customFormat="1" x14ac:dyDescent="0.2">
      <c r="A371" s="1614"/>
      <c r="B371" s="670"/>
      <c r="C371" s="1612"/>
      <c r="D371" s="670"/>
      <c r="E371" s="1638"/>
      <c r="F371" s="670"/>
      <c r="G371" s="670"/>
      <c r="H371" s="670"/>
      <c r="I371" s="670"/>
      <c r="J371" s="670"/>
      <c r="K371" s="670"/>
      <c r="L371" s="670"/>
      <c r="M371" s="670"/>
      <c r="N371" s="390"/>
    </row>
    <row r="372" spans="1:14" s="593" customFormat="1" x14ac:dyDescent="0.2">
      <c r="A372" s="1614"/>
      <c r="B372" s="670"/>
      <c r="C372" s="1612"/>
      <c r="D372" s="670"/>
      <c r="E372" s="1638"/>
      <c r="F372" s="670"/>
      <c r="G372" s="670"/>
      <c r="H372" s="670"/>
      <c r="I372" s="670"/>
      <c r="J372" s="670"/>
      <c r="K372" s="670"/>
      <c r="L372" s="670"/>
      <c r="M372" s="670"/>
      <c r="N372" s="390"/>
    </row>
    <row r="373" spans="1:14" s="593" customFormat="1" x14ac:dyDescent="0.2">
      <c r="A373" s="1614"/>
      <c r="B373" s="670"/>
      <c r="C373" s="1612"/>
      <c r="D373" s="670"/>
      <c r="E373" s="1638"/>
      <c r="F373" s="670"/>
      <c r="G373" s="670"/>
      <c r="H373" s="670"/>
      <c r="I373" s="670"/>
      <c r="J373" s="670"/>
      <c r="K373" s="670"/>
      <c r="L373" s="670"/>
      <c r="M373" s="670"/>
      <c r="N373" s="390"/>
    </row>
    <row r="374" spans="1:14" s="593" customFormat="1" x14ac:dyDescent="0.2">
      <c r="A374" s="1614"/>
      <c r="B374" s="670"/>
      <c r="C374" s="1612"/>
      <c r="D374" s="670"/>
      <c r="E374" s="1638"/>
      <c r="F374" s="670"/>
      <c r="G374" s="670"/>
      <c r="H374" s="670"/>
      <c r="I374" s="670"/>
      <c r="J374" s="670"/>
      <c r="K374" s="670"/>
      <c r="L374" s="670"/>
      <c r="M374" s="670"/>
      <c r="N374" s="390"/>
    </row>
    <row r="375" spans="1:14" s="593" customFormat="1" x14ac:dyDescent="0.2">
      <c r="A375" s="1614"/>
      <c r="B375" s="670"/>
      <c r="C375" s="1612"/>
      <c r="D375" s="670"/>
      <c r="E375" s="1638"/>
      <c r="F375" s="670"/>
      <c r="G375" s="670"/>
      <c r="H375" s="670"/>
      <c r="I375" s="670"/>
      <c r="J375" s="670"/>
      <c r="K375" s="670"/>
      <c r="L375" s="670"/>
      <c r="M375" s="670"/>
      <c r="N375" s="390"/>
    </row>
    <row r="376" spans="1:14" s="593" customFormat="1" x14ac:dyDescent="0.2">
      <c r="A376" s="1614"/>
      <c r="B376" s="670"/>
      <c r="C376" s="1612"/>
      <c r="D376" s="670"/>
      <c r="E376" s="1638"/>
      <c r="F376" s="670"/>
      <c r="G376" s="670"/>
      <c r="H376" s="670"/>
      <c r="I376" s="670"/>
      <c r="J376" s="670"/>
      <c r="K376" s="670"/>
      <c r="L376" s="670"/>
      <c r="M376" s="670"/>
      <c r="N376" s="390"/>
    </row>
    <row r="377" spans="1:14" s="593" customFormat="1" x14ac:dyDescent="0.2">
      <c r="A377" s="1614"/>
      <c r="B377" s="670"/>
      <c r="C377" s="1612"/>
      <c r="D377" s="670"/>
      <c r="E377" s="1638"/>
      <c r="F377" s="670"/>
      <c r="G377" s="670"/>
      <c r="H377" s="670"/>
      <c r="I377" s="670"/>
      <c r="J377" s="670"/>
      <c r="K377" s="670"/>
      <c r="L377" s="670"/>
      <c r="M377" s="670"/>
      <c r="N377" s="390"/>
    </row>
    <row r="378" spans="1:14" s="593" customFormat="1" ht="13.5" thickBot="1" x14ac:dyDescent="0.25">
      <c r="A378" s="1618"/>
      <c r="B378" s="1619"/>
      <c r="C378" s="1620"/>
      <c r="D378" s="1619"/>
      <c r="E378" s="1640"/>
      <c r="F378" s="1619"/>
      <c r="G378" s="1619"/>
      <c r="H378" s="1619"/>
      <c r="I378" s="1619"/>
      <c r="J378" s="1619"/>
      <c r="K378" s="1619"/>
      <c r="L378" s="1619"/>
      <c r="M378" s="1619"/>
      <c r="N378" s="1622"/>
    </row>
    <row r="379" spans="1:14" s="593" customFormat="1" x14ac:dyDescent="0.2">
      <c r="C379" s="1636"/>
      <c r="E379" s="1638"/>
      <c r="N379" s="1636"/>
    </row>
    <row r="380" spans="1:14" s="593" customFormat="1" x14ac:dyDescent="0.2">
      <c r="C380" s="1636"/>
      <c r="E380" s="1638"/>
      <c r="N380" s="1636"/>
    </row>
    <row r="381" spans="1:14" s="593" customFormat="1" x14ac:dyDescent="0.2">
      <c r="C381" s="1636"/>
      <c r="E381" s="1638"/>
      <c r="N381" s="1636"/>
    </row>
    <row r="382" spans="1:14" s="593" customFormat="1" x14ac:dyDescent="0.2">
      <c r="C382" s="1636"/>
      <c r="E382" s="1638"/>
      <c r="N382" s="1636"/>
    </row>
    <row r="383" spans="1:14" s="593" customFormat="1" x14ac:dyDescent="0.2">
      <c r="C383" s="1636"/>
      <c r="E383" s="1638"/>
      <c r="N383" s="1636"/>
    </row>
    <row r="384" spans="1:14" s="593" customFormat="1" x14ac:dyDescent="0.2">
      <c r="C384" s="1636"/>
      <c r="E384" s="1638"/>
      <c r="N384" s="1636"/>
    </row>
    <row r="385" spans="1:14" s="593" customFormat="1" x14ac:dyDescent="0.2">
      <c r="C385" s="1636"/>
      <c r="E385" s="1638"/>
      <c r="N385" s="1636"/>
    </row>
    <row r="386" spans="1:14" s="593" customFormat="1" x14ac:dyDescent="0.2">
      <c r="C386" s="1636"/>
      <c r="E386" s="1638"/>
      <c r="N386" s="1636"/>
    </row>
    <row r="387" spans="1:14" s="593" customFormat="1" ht="13.5" thickBot="1" x14ac:dyDescent="0.25">
      <c r="C387" s="1636"/>
      <c r="E387" s="1638"/>
      <c r="N387" s="1636"/>
    </row>
    <row r="388" spans="1:14" s="593" customFormat="1" x14ac:dyDescent="0.2">
      <c r="A388" s="1623"/>
      <c r="B388" s="1624"/>
      <c r="C388" s="1625"/>
      <c r="D388" s="1624"/>
      <c r="E388" s="1639"/>
      <c r="F388" s="1624"/>
      <c r="G388" s="1624"/>
      <c r="H388" s="1624"/>
      <c r="I388" s="1624"/>
      <c r="J388" s="1624"/>
      <c r="K388" s="1624"/>
      <c r="L388" s="1624"/>
      <c r="M388" s="1624"/>
      <c r="N388" s="1627"/>
    </row>
    <row r="389" spans="1:14" s="593" customFormat="1" x14ac:dyDescent="0.2">
      <c r="A389" s="1614"/>
      <c r="B389" s="670"/>
      <c r="C389" s="1612"/>
      <c r="D389" s="670"/>
      <c r="E389" s="1638"/>
      <c r="F389" s="670"/>
      <c r="G389" s="670"/>
      <c r="H389" s="670"/>
      <c r="I389" s="670"/>
      <c r="J389" s="670"/>
      <c r="K389" s="670"/>
      <c r="L389" s="670"/>
      <c r="M389" s="670"/>
      <c r="N389" s="390"/>
    </row>
    <row r="390" spans="1:14" s="593" customFormat="1" x14ac:dyDescent="0.2">
      <c r="A390" s="1614"/>
      <c r="B390" s="670"/>
      <c r="C390" s="1612"/>
      <c r="D390" s="670"/>
      <c r="E390" s="1638"/>
      <c r="F390" s="670"/>
      <c r="G390" s="670"/>
      <c r="H390" s="670"/>
      <c r="I390" s="670"/>
      <c r="J390" s="670"/>
      <c r="K390" s="670"/>
      <c r="L390" s="670"/>
      <c r="M390" s="670"/>
      <c r="N390" s="390"/>
    </row>
    <row r="391" spans="1:14" s="593" customFormat="1" x14ac:dyDescent="0.2">
      <c r="A391" s="1614"/>
      <c r="B391" s="670"/>
      <c r="C391" s="1612"/>
      <c r="D391" s="670"/>
      <c r="E391" s="1638"/>
      <c r="F391" s="670"/>
      <c r="G391" s="670"/>
      <c r="H391" s="670"/>
      <c r="I391" s="670"/>
      <c r="J391" s="670"/>
      <c r="K391" s="670"/>
      <c r="L391" s="670"/>
      <c r="M391" s="670"/>
      <c r="N391" s="390"/>
    </row>
    <row r="392" spans="1:14" s="593" customFormat="1" x14ac:dyDescent="0.2">
      <c r="A392" s="1614"/>
      <c r="B392" s="670"/>
      <c r="C392" s="1612"/>
      <c r="D392" s="670"/>
      <c r="E392" s="1638"/>
      <c r="F392" s="670"/>
      <c r="G392" s="670"/>
      <c r="H392" s="670"/>
      <c r="I392" s="670"/>
      <c r="J392" s="670"/>
      <c r="K392" s="670"/>
      <c r="L392" s="670"/>
      <c r="M392" s="670"/>
      <c r="N392" s="390"/>
    </row>
    <row r="393" spans="1:14" s="593" customFormat="1" x14ac:dyDescent="0.2">
      <c r="A393" s="1614"/>
      <c r="B393" s="670"/>
      <c r="C393" s="1612"/>
      <c r="D393" s="670"/>
      <c r="E393" s="1638"/>
      <c r="F393" s="670"/>
      <c r="G393" s="670"/>
      <c r="H393" s="670"/>
      <c r="I393" s="670"/>
      <c r="J393" s="670"/>
      <c r="K393" s="670"/>
      <c r="L393" s="670"/>
      <c r="M393" s="670"/>
      <c r="N393" s="390"/>
    </row>
    <row r="394" spans="1:14" s="593" customFormat="1" x14ac:dyDescent="0.2">
      <c r="A394" s="1614"/>
      <c r="B394" s="670"/>
      <c r="C394" s="1612"/>
      <c r="D394" s="670"/>
      <c r="E394" s="1638"/>
      <c r="F394" s="670"/>
      <c r="G394" s="670"/>
      <c r="H394" s="670"/>
      <c r="I394" s="670"/>
      <c r="J394" s="670"/>
      <c r="K394" s="670"/>
      <c r="L394" s="670"/>
      <c r="M394" s="670"/>
      <c r="N394" s="390"/>
    </row>
    <row r="395" spans="1:14" s="593" customFormat="1" x14ac:dyDescent="0.2">
      <c r="A395" s="1614"/>
      <c r="B395" s="670"/>
      <c r="C395" s="1612"/>
      <c r="D395" s="670"/>
      <c r="E395" s="1638"/>
      <c r="F395" s="670"/>
      <c r="G395" s="670"/>
      <c r="H395" s="670"/>
      <c r="I395" s="670"/>
      <c r="J395" s="670"/>
      <c r="K395" s="670"/>
      <c r="L395" s="670"/>
      <c r="M395" s="670"/>
      <c r="N395" s="390"/>
    </row>
    <row r="396" spans="1:14" s="593" customFormat="1" ht="13.5" thickBot="1" x14ac:dyDescent="0.25">
      <c r="A396" s="1618"/>
      <c r="B396" s="1619"/>
      <c r="C396" s="1620"/>
      <c r="D396" s="1619"/>
      <c r="E396" s="1640"/>
      <c r="F396" s="1619"/>
      <c r="G396" s="1619"/>
      <c r="H396" s="1619"/>
      <c r="I396" s="1619"/>
      <c r="J396" s="1619"/>
      <c r="K396" s="1619"/>
      <c r="L396" s="1619"/>
      <c r="M396" s="1619"/>
      <c r="N396" s="1622"/>
    </row>
    <row r="397" spans="1:14" s="593" customFormat="1" x14ac:dyDescent="0.2">
      <c r="C397" s="1636"/>
      <c r="E397" s="1638"/>
      <c r="N397" s="1636"/>
    </row>
    <row r="398" spans="1:14" s="593" customFormat="1" x14ac:dyDescent="0.2">
      <c r="C398" s="1636"/>
      <c r="E398" s="1638"/>
      <c r="N398" s="1636"/>
    </row>
    <row r="399" spans="1:14" s="593" customFormat="1" x14ac:dyDescent="0.2">
      <c r="C399" s="1636"/>
      <c r="E399" s="1638"/>
      <c r="N399" s="1636"/>
    </row>
    <row r="400" spans="1:14" s="593" customFormat="1" x14ac:dyDescent="0.2">
      <c r="C400" s="1636"/>
      <c r="E400" s="1638"/>
      <c r="N400" s="1636"/>
    </row>
    <row r="401" spans="3:14" s="593" customFormat="1" x14ac:dyDescent="0.2">
      <c r="C401" s="1636"/>
      <c r="E401" s="1638"/>
      <c r="N401" s="1636"/>
    </row>
    <row r="402" spans="3:14" s="593" customFormat="1" x14ac:dyDescent="0.2">
      <c r="C402" s="1636"/>
      <c r="E402" s="1638"/>
      <c r="N402" s="1636"/>
    </row>
    <row r="403" spans="3:14" s="593" customFormat="1" x14ac:dyDescent="0.2">
      <c r="C403" s="1636"/>
      <c r="E403" s="1638"/>
      <c r="N403" s="1636"/>
    </row>
    <row r="404" spans="3:14" s="593" customFormat="1" x14ac:dyDescent="0.2">
      <c r="C404" s="1636"/>
      <c r="E404" s="1638"/>
      <c r="N404" s="1636"/>
    </row>
    <row r="405" spans="3:14" s="593" customFormat="1" x14ac:dyDescent="0.2">
      <c r="C405" s="1636"/>
      <c r="E405" s="1638"/>
      <c r="N405" s="1636"/>
    </row>
    <row r="406" spans="3:14" s="593" customFormat="1" x14ac:dyDescent="0.2">
      <c r="C406" s="1636"/>
      <c r="E406" s="1638"/>
      <c r="N406" s="1636"/>
    </row>
    <row r="407" spans="3:14" s="593" customFormat="1" x14ac:dyDescent="0.2">
      <c r="C407" s="1636"/>
      <c r="E407" s="1638"/>
      <c r="N407" s="1636"/>
    </row>
    <row r="408" spans="3:14" s="593" customFormat="1" x14ac:dyDescent="0.2">
      <c r="C408" s="1636"/>
      <c r="E408" s="1638"/>
      <c r="N408" s="1636"/>
    </row>
    <row r="409" spans="3:14" s="593" customFormat="1" x14ac:dyDescent="0.2">
      <c r="C409" s="1636"/>
      <c r="E409" s="1638"/>
      <c r="N409" s="1636"/>
    </row>
    <row r="410" spans="3:14" s="593" customFormat="1" x14ac:dyDescent="0.2">
      <c r="C410" s="1636"/>
      <c r="E410" s="1638"/>
      <c r="N410" s="1636"/>
    </row>
    <row r="411" spans="3:14" s="593" customFormat="1" x14ac:dyDescent="0.2">
      <c r="C411" s="1636"/>
      <c r="E411" s="1638"/>
      <c r="N411" s="1636"/>
    </row>
    <row r="412" spans="3:14" s="593" customFormat="1" x14ac:dyDescent="0.2">
      <c r="C412" s="1636"/>
      <c r="E412" s="1638"/>
      <c r="N412" s="1636"/>
    </row>
    <row r="413" spans="3:14" s="593" customFormat="1" x14ac:dyDescent="0.2">
      <c r="C413" s="1636"/>
      <c r="E413" s="1638"/>
      <c r="N413" s="1636"/>
    </row>
    <row r="414" spans="3:14" s="593" customFormat="1" x14ac:dyDescent="0.2">
      <c r="C414" s="1636"/>
      <c r="E414" s="1638"/>
      <c r="N414" s="1636"/>
    </row>
    <row r="415" spans="3:14" s="593" customFormat="1" x14ac:dyDescent="0.2">
      <c r="C415" s="1636"/>
      <c r="E415" s="1638"/>
      <c r="N415" s="1636"/>
    </row>
    <row r="416" spans="3:14" s="593" customFormat="1" x14ac:dyDescent="0.2">
      <c r="C416" s="1636"/>
      <c r="E416" s="1638"/>
      <c r="N416" s="1636"/>
    </row>
    <row r="417" spans="1:14" s="593" customFormat="1" x14ac:dyDescent="0.2">
      <c r="C417" s="1636"/>
      <c r="E417" s="1638"/>
      <c r="N417" s="1636"/>
    </row>
    <row r="418" spans="1:14" s="593" customFormat="1" x14ac:dyDescent="0.2">
      <c r="C418" s="1636"/>
      <c r="E418" s="1638"/>
      <c r="N418" s="1636"/>
    </row>
    <row r="419" spans="1:14" s="593" customFormat="1" x14ac:dyDescent="0.2">
      <c r="C419" s="1636"/>
      <c r="E419" s="1638"/>
      <c r="N419" s="1636"/>
    </row>
    <row r="420" spans="1:14" s="593" customFormat="1" x14ac:dyDescent="0.2">
      <c r="C420" s="1636"/>
      <c r="E420" s="1638"/>
      <c r="N420" s="1636"/>
    </row>
    <row r="421" spans="1:14" s="593" customFormat="1" x14ac:dyDescent="0.2">
      <c r="C421" s="1636"/>
      <c r="E421" s="1638"/>
      <c r="N421" s="1636"/>
    </row>
    <row r="422" spans="1:14" s="593" customFormat="1" x14ac:dyDescent="0.2">
      <c r="C422" s="1636"/>
      <c r="E422" s="1638"/>
      <c r="N422" s="1636"/>
    </row>
    <row r="423" spans="1:14" s="593" customFormat="1" ht="13.5" thickBot="1" x14ac:dyDescent="0.25">
      <c r="C423" s="1636"/>
      <c r="E423" s="1638"/>
      <c r="N423" s="1636"/>
    </row>
    <row r="424" spans="1:14" s="593" customFormat="1" x14ac:dyDescent="0.2">
      <c r="A424" s="1623"/>
      <c r="B424" s="1624"/>
      <c r="C424" s="1625"/>
      <c r="D424" s="1624"/>
      <c r="E424" s="1639"/>
      <c r="F424" s="1624"/>
      <c r="G424" s="1624"/>
      <c r="H424" s="1624"/>
      <c r="I424" s="1624"/>
      <c r="J424" s="1624"/>
      <c r="K424" s="1624"/>
      <c r="L424" s="1624"/>
      <c r="M424" s="1624"/>
      <c r="N424" s="1627"/>
    </row>
    <row r="425" spans="1:14" s="593" customFormat="1" x14ac:dyDescent="0.2">
      <c r="A425" s="1614"/>
      <c r="B425" s="670"/>
      <c r="C425" s="1612"/>
      <c r="D425" s="670"/>
      <c r="E425" s="1638"/>
      <c r="F425" s="670"/>
      <c r="G425" s="670"/>
      <c r="H425" s="670"/>
      <c r="I425" s="670"/>
      <c r="J425" s="670"/>
      <c r="K425" s="670"/>
      <c r="L425" s="670"/>
      <c r="M425" s="670"/>
      <c r="N425" s="390"/>
    </row>
    <row r="426" spans="1:14" s="593" customFormat="1" x14ac:dyDescent="0.2">
      <c r="A426" s="1614"/>
      <c r="B426" s="670"/>
      <c r="C426" s="1612"/>
      <c r="D426" s="670"/>
      <c r="E426" s="1638"/>
      <c r="F426" s="670"/>
      <c r="G426" s="670"/>
      <c r="H426" s="670"/>
      <c r="I426" s="670"/>
      <c r="J426" s="670"/>
      <c r="K426" s="670"/>
      <c r="L426" s="670"/>
      <c r="M426" s="670"/>
      <c r="N426" s="390"/>
    </row>
    <row r="427" spans="1:14" s="593" customFormat="1" x14ac:dyDescent="0.2">
      <c r="A427" s="1614"/>
      <c r="B427" s="670"/>
      <c r="C427" s="1612"/>
      <c r="D427" s="670"/>
      <c r="E427" s="1638"/>
      <c r="F427" s="670"/>
      <c r="G427" s="670"/>
      <c r="H427" s="670"/>
      <c r="I427" s="670"/>
      <c r="J427" s="670"/>
      <c r="K427" s="670"/>
      <c r="L427" s="670"/>
      <c r="M427" s="670"/>
      <c r="N427" s="390"/>
    </row>
    <row r="428" spans="1:14" s="593" customFormat="1" x14ac:dyDescent="0.2">
      <c r="A428" s="1614"/>
      <c r="B428" s="670"/>
      <c r="C428" s="1612"/>
      <c r="D428" s="670"/>
      <c r="E428" s="1638"/>
      <c r="F428" s="670"/>
      <c r="G428" s="670"/>
      <c r="H428" s="670"/>
      <c r="I428" s="670"/>
      <c r="J428" s="670"/>
      <c r="K428" s="670"/>
      <c r="L428" s="670"/>
      <c r="M428" s="670"/>
      <c r="N428" s="390"/>
    </row>
    <row r="429" spans="1:14" s="593" customFormat="1" x14ac:dyDescent="0.2">
      <c r="A429" s="1614"/>
      <c r="B429" s="670"/>
      <c r="C429" s="1612"/>
      <c r="D429" s="670"/>
      <c r="E429" s="1638"/>
      <c r="F429" s="670"/>
      <c r="G429" s="670"/>
      <c r="H429" s="670"/>
      <c r="I429" s="670"/>
      <c r="J429" s="670"/>
      <c r="K429" s="670"/>
      <c r="L429" s="670"/>
      <c r="M429" s="670"/>
      <c r="N429" s="390"/>
    </row>
    <row r="430" spans="1:14" s="593" customFormat="1" x14ac:dyDescent="0.2">
      <c r="A430" s="1614"/>
      <c r="B430" s="670"/>
      <c r="C430" s="1612"/>
      <c r="D430" s="670"/>
      <c r="E430" s="1638"/>
      <c r="F430" s="670"/>
      <c r="G430" s="670"/>
      <c r="H430" s="670"/>
      <c r="I430" s="670"/>
      <c r="J430" s="670"/>
      <c r="K430" s="670"/>
      <c r="L430" s="670"/>
      <c r="M430" s="670"/>
      <c r="N430" s="390"/>
    </row>
    <row r="431" spans="1:14" s="593" customFormat="1" x14ac:dyDescent="0.2">
      <c r="A431" s="1614"/>
      <c r="B431" s="670"/>
      <c r="C431" s="1612"/>
      <c r="D431" s="670"/>
      <c r="E431" s="1638"/>
      <c r="F431" s="670"/>
      <c r="G431" s="670"/>
      <c r="H431" s="670"/>
      <c r="I431" s="670"/>
      <c r="J431" s="670"/>
      <c r="K431" s="670"/>
      <c r="L431" s="670"/>
      <c r="M431" s="670"/>
      <c r="N431" s="390"/>
    </row>
    <row r="432" spans="1:14" s="593" customFormat="1" x14ac:dyDescent="0.2">
      <c r="A432" s="1614"/>
      <c r="B432" s="670"/>
      <c r="C432" s="1612"/>
      <c r="D432" s="670"/>
      <c r="E432" s="1638"/>
      <c r="F432" s="670"/>
      <c r="G432" s="670"/>
      <c r="H432" s="670"/>
      <c r="I432" s="670"/>
      <c r="J432" s="670"/>
      <c r="K432" s="670"/>
      <c r="L432" s="670"/>
      <c r="M432" s="670"/>
      <c r="N432" s="390"/>
    </row>
    <row r="433" spans="1:14" s="593" customFormat="1" x14ac:dyDescent="0.2">
      <c r="A433" s="1614"/>
      <c r="B433" s="670"/>
      <c r="C433" s="1612"/>
      <c r="D433" s="670"/>
      <c r="E433" s="1638"/>
      <c r="F433" s="670"/>
      <c r="G433" s="670"/>
      <c r="H433" s="670"/>
      <c r="I433" s="670"/>
      <c r="J433" s="670"/>
      <c r="K433" s="670"/>
      <c r="L433" s="670"/>
      <c r="M433" s="670"/>
      <c r="N433" s="390"/>
    </row>
    <row r="434" spans="1:14" s="593" customFormat="1" x14ac:dyDescent="0.2">
      <c r="A434" s="1614"/>
      <c r="B434" s="670"/>
      <c r="C434" s="1612"/>
      <c r="D434" s="670"/>
      <c r="E434" s="1638"/>
      <c r="F434" s="670"/>
      <c r="G434" s="670"/>
      <c r="H434" s="670"/>
      <c r="I434" s="670"/>
      <c r="J434" s="670"/>
      <c r="K434" s="670"/>
      <c r="L434" s="670"/>
      <c r="M434" s="670"/>
      <c r="N434" s="390"/>
    </row>
    <row r="435" spans="1:14" s="593" customFormat="1" x14ac:dyDescent="0.2">
      <c r="A435" s="1614"/>
      <c r="B435" s="670"/>
      <c r="C435" s="1612"/>
      <c r="D435" s="670"/>
      <c r="E435" s="1638"/>
      <c r="F435" s="670"/>
      <c r="G435" s="670"/>
      <c r="H435" s="670"/>
      <c r="I435" s="670"/>
      <c r="J435" s="670"/>
      <c r="K435" s="670"/>
      <c r="L435" s="670"/>
      <c r="M435" s="670"/>
      <c r="N435" s="390"/>
    </row>
    <row r="436" spans="1:14" s="593" customFormat="1" x14ac:dyDescent="0.2">
      <c r="A436" s="1614"/>
      <c r="B436" s="670"/>
      <c r="C436" s="1612"/>
      <c r="D436" s="670"/>
      <c r="E436" s="1638"/>
      <c r="F436" s="670"/>
      <c r="G436" s="670"/>
      <c r="H436" s="670"/>
      <c r="I436" s="670"/>
      <c r="J436" s="670"/>
      <c r="K436" s="670"/>
      <c r="L436" s="670"/>
      <c r="M436" s="670"/>
      <c r="N436" s="390"/>
    </row>
    <row r="437" spans="1:14" s="593" customFormat="1" ht="13.5" thickBot="1" x14ac:dyDescent="0.25">
      <c r="A437" s="1618"/>
      <c r="B437" s="1619"/>
      <c r="C437" s="1620"/>
      <c r="D437" s="1619"/>
      <c r="E437" s="1640"/>
      <c r="F437" s="1619"/>
      <c r="G437" s="1619"/>
      <c r="H437" s="1619"/>
      <c r="I437" s="1619"/>
      <c r="J437" s="1619"/>
      <c r="K437" s="1619"/>
      <c r="L437" s="1619"/>
      <c r="M437" s="1619"/>
      <c r="N437" s="1622"/>
    </row>
    <row r="438" spans="1:14" s="593" customFormat="1" x14ac:dyDescent="0.2">
      <c r="A438" s="1623"/>
      <c r="B438" s="1624"/>
      <c r="C438" s="1625"/>
      <c r="D438" s="1624"/>
      <c r="E438" s="1639"/>
      <c r="F438" s="1624"/>
      <c r="G438" s="1624"/>
      <c r="H438" s="1624"/>
      <c r="I438" s="1624"/>
      <c r="J438" s="1624"/>
      <c r="K438" s="1624"/>
      <c r="L438" s="1624"/>
      <c r="M438" s="1624"/>
      <c r="N438" s="1627"/>
    </row>
    <row r="439" spans="1:14" s="593" customFormat="1" x14ac:dyDescent="0.2">
      <c r="A439" s="1614"/>
      <c r="B439" s="670"/>
      <c r="C439" s="1612"/>
      <c r="D439" s="670"/>
      <c r="E439" s="1638"/>
      <c r="F439" s="670"/>
      <c r="G439" s="670"/>
      <c r="H439" s="670"/>
      <c r="I439" s="670"/>
      <c r="J439" s="670"/>
      <c r="K439" s="670"/>
      <c r="L439" s="670"/>
      <c r="M439" s="670"/>
      <c r="N439" s="390"/>
    </row>
    <row r="440" spans="1:14" s="593" customFormat="1" x14ac:dyDescent="0.2">
      <c r="A440" s="1614"/>
      <c r="B440" s="670"/>
      <c r="C440" s="1612"/>
      <c r="D440" s="670"/>
      <c r="E440" s="1638"/>
      <c r="F440" s="670"/>
      <c r="G440" s="670"/>
      <c r="H440" s="670"/>
      <c r="I440" s="670"/>
      <c r="J440" s="670"/>
      <c r="K440" s="670"/>
      <c r="L440" s="670"/>
      <c r="M440" s="670"/>
      <c r="N440" s="390"/>
    </row>
    <row r="441" spans="1:14" s="593" customFormat="1" x14ac:dyDescent="0.2">
      <c r="A441" s="1614"/>
      <c r="B441" s="670"/>
      <c r="C441" s="1612"/>
      <c r="D441" s="670"/>
      <c r="E441" s="1638"/>
      <c r="F441" s="670"/>
      <c r="G441" s="670"/>
      <c r="H441" s="670"/>
      <c r="I441" s="670"/>
      <c r="J441" s="670"/>
      <c r="K441" s="670"/>
      <c r="L441" s="670"/>
      <c r="M441" s="670"/>
      <c r="N441" s="390"/>
    </row>
    <row r="442" spans="1:14" s="593" customFormat="1" x14ac:dyDescent="0.2">
      <c r="A442" s="1614"/>
      <c r="B442" s="670"/>
      <c r="C442" s="1612"/>
      <c r="D442" s="670"/>
      <c r="E442" s="1638"/>
      <c r="F442" s="670"/>
      <c r="G442" s="670"/>
      <c r="H442" s="670"/>
      <c r="I442" s="670"/>
      <c r="J442" s="670"/>
      <c r="K442" s="670"/>
      <c r="L442" s="670"/>
      <c r="M442" s="670"/>
      <c r="N442" s="390"/>
    </row>
    <row r="443" spans="1:14" s="593" customFormat="1" x14ac:dyDescent="0.2">
      <c r="A443" s="1614"/>
      <c r="B443" s="670"/>
      <c r="C443" s="1612"/>
      <c r="D443" s="670"/>
      <c r="E443" s="1638"/>
      <c r="F443" s="670"/>
      <c r="G443" s="670"/>
      <c r="H443" s="670"/>
      <c r="I443" s="670"/>
      <c r="J443" s="670"/>
      <c r="K443" s="670"/>
      <c r="L443" s="670"/>
      <c r="M443" s="670"/>
      <c r="N443" s="390"/>
    </row>
    <row r="444" spans="1:14" s="593" customFormat="1" x14ac:dyDescent="0.2">
      <c r="A444" s="1614"/>
      <c r="B444" s="670"/>
      <c r="C444" s="1612"/>
      <c r="D444" s="670"/>
      <c r="E444" s="1638"/>
      <c r="F444" s="670"/>
      <c r="G444" s="670"/>
      <c r="H444" s="670"/>
      <c r="I444" s="670"/>
      <c r="J444" s="670"/>
      <c r="K444" s="670"/>
      <c r="L444" s="670"/>
      <c r="M444" s="670"/>
      <c r="N444" s="390"/>
    </row>
    <row r="445" spans="1:14" s="593" customFormat="1" x14ac:dyDescent="0.2">
      <c r="A445" s="1614"/>
      <c r="B445" s="670"/>
      <c r="C445" s="1612"/>
      <c r="D445" s="670"/>
      <c r="E445" s="1638"/>
      <c r="F445" s="670"/>
      <c r="G445" s="670"/>
      <c r="H445" s="670"/>
      <c r="I445" s="670"/>
      <c r="J445" s="670"/>
      <c r="K445" s="670"/>
      <c r="L445" s="670"/>
      <c r="M445" s="670"/>
      <c r="N445" s="390"/>
    </row>
    <row r="446" spans="1:14" s="593" customFormat="1" x14ac:dyDescent="0.2">
      <c r="A446" s="1614"/>
      <c r="B446" s="670"/>
      <c r="C446" s="1612"/>
      <c r="D446" s="670"/>
      <c r="E446" s="1638"/>
      <c r="F446" s="670"/>
      <c r="G446" s="670"/>
      <c r="H446" s="670"/>
      <c r="I446" s="670"/>
      <c r="J446" s="670"/>
      <c r="K446" s="670"/>
      <c r="L446" s="670"/>
      <c r="M446" s="670"/>
      <c r="N446" s="390"/>
    </row>
    <row r="447" spans="1:14" s="593" customFormat="1" x14ac:dyDescent="0.2">
      <c r="A447" s="1614"/>
      <c r="B447" s="670"/>
      <c r="C447" s="1612"/>
      <c r="D447" s="670"/>
      <c r="E447" s="1638"/>
      <c r="F447" s="670"/>
      <c r="G447" s="670"/>
      <c r="H447" s="670"/>
      <c r="I447" s="670"/>
      <c r="J447" s="670"/>
      <c r="K447" s="670"/>
      <c r="L447" s="670"/>
      <c r="M447" s="670"/>
      <c r="N447" s="390"/>
    </row>
    <row r="448" spans="1:14" s="593" customFormat="1" x14ac:dyDescent="0.2">
      <c r="A448" s="1614"/>
      <c r="B448" s="670"/>
      <c r="C448" s="1612"/>
      <c r="D448" s="670"/>
      <c r="E448" s="1638"/>
      <c r="F448" s="670"/>
      <c r="G448" s="670"/>
      <c r="H448" s="670"/>
      <c r="I448" s="670"/>
      <c r="J448" s="670"/>
      <c r="K448" s="670"/>
      <c r="L448" s="670"/>
      <c r="M448" s="670"/>
      <c r="N448" s="390"/>
    </row>
    <row r="449" spans="1:14" s="593" customFormat="1" x14ac:dyDescent="0.2">
      <c r="A449" s="1614"/>
      <c r="B449" s="670"/>
      <c r="C449" s="1612"/>
      <c r="D449" s="670"/>
      <c r="E449" s="1638"/>
      <c r="F449" s="670"/>
      <c r="G449" s="670"/>
      <c r="H449" s="670"/>
      <c r="I449" s="670"/>
      <c r="J449" s="670"/>
      <c r="K449" s="670"/>
      <c r="L449" s="670"/>
      <c r="M449" s="670"/>
      <c r="N449" s="390"/>
    </row>
    <row r="450" spans="1:14" s="593" customFormat="1" x14ac:dyDescent="0.2">
      <c r="A450" s="1614"/>
      <c r="B450" s="670"/>
      <c r="C450" s="1612"/>
      <c r="D450" s="670"/>
      <c r="E450" s="1638"/>
      <c r="F450" s="670"/>
      <c r="G450" s="670"/>
      <c r="H450" s="670"/>
      <c r="I450" s="670"/>
      <c r="J450" s="670"/>
      <c r="K450" s="670"/>
      <c r="L450" s="670"/>
      <c r="M450" s="670"/>
      <c r="N450" s="390"/>
    </row>
    <row r="451" spans="1:14" s="593" customFormat="1" ht="13.5" thickBot="1" x14ac:dyDescent="0.25">
      <c r="A451" s="1618"/>
      <c r="B451" s="1619"/>
      <c r="C451" s="1620"/>
      <c r="D451" s="1619"/>
      <c r="E451" s="1640"/>
      <c r="F451" s="1619"/>
      <c r="G451" s="1619"/>
      <c r="H451" s="1619"/>
      <c r="I451" s="1619"/>
      <c r="J451" s="1619"/>
      <c r="K451" s="1619"/>
      <c r="L451" s="1619"/>
      <c r="M451" s="1619"/>
      <c r="N451" s="1622"/>
    </row>
    <row r="452" spans="1:14" s="593" customFormat="1" x14ac:dyDescent="0.2">
      <c r="C452" s="1636"/>
      <c r="E452" s="1638"/>
      <c r="N452" s="1636"/>
    </row>
    <row r="453" spans="1:14" s="593" customFormat="1" x14ac:dyDescent="0.2">
      <c r="C453" s="1636"/>
      <c r="E453" s="1638"/>
      <c r="N453" s="1636"/>
    </row>
    <row r="454" spans="1:14" s="593" customFormat="1" x14ac:dyDescent="0.2">
      <c r="C454" s="1636"/>
      <c r="E454" s="1638"/>
      <c r="N454" s="1636"/>
    </row>
    <row r="455" spans="1:14" s="593" customFormat="1" x14ac:dyDescent="0.2">
      <c r="C455" s="1636"/>
      <c r="E455" s="1638"/>
      <c r="N455" s="1636"/>
    </row>
    <row r="456" spans="1:14" s="593" customFormat="1" x14ac:dyDescent="0.2">
      <c r="C456" s="1636"/>
      <c r="E456" s="1638"/>
      <c r="N456" s="1636"/>
    </row>
    <row r="457" spans="1:14" s="593" customFormat="1" x14ac:dyDescent="0.2">
      <c r="C457" s="1636"/>
      <c r="E457" s="1638"/>
      <c r="N457" s="1636"/>
    </row>
    <row r="458" spans="1:14" s="593" customFormat="1" x14ac:dyDescent="0.2">
      <c r="C458" s="1636"/>
      <c r="E458" s="1638"/>
      <c r="N458" s="1636"/>
    </row>
    <row r="459" spans="1:14" s="593" customFormat="1" x14ac:dyDescent="0.2">
      <c r="C459" s="1636"/>
      <c r="E459" s="1638"/>
      <c r="N459" s="1636"/>
    </row>
    <row r="460" spans="1:14" s="593" customFormat="1" ht="13.5" thickBot="1" x14ac:dyDescent="0.25">
      <c r="C460" s="1636"/>
      <c r="E460" s="1638"/>
      <c r="N460" s="1636"/>
    </row>
    <row r="461" spans="1:14" s="593" customFormat="1" x14ac:dyDescent="0.2">
      <c r="A461" s="1623"/>
      <c r="B461" s="1624"/>
      <c r="C461" s="1625"/>
      <c r="D461" s="1624"/>
      <c r="E461" s="1639"/>
      <c r="F461" s="1624"/>
      <c r="G461" s="1624"/>
      <c r="H461" s="1624"/>
      <c r="I461" s="1624"/>
      <c r="J461" s="1624"/>
      <c r="K461" s="1624"/>
      <c r="L461" s="1624"/>
      <c r="M461" s="1624"/>
      <c r="N461" s="1627"/>
    </row>
    <row r="462" spans="1:14" s="593" customFormat="1" x14ac:dyDescent="0.2">
      <c r="A462" s="1614"/>
      <c r="B462" s="670"/>
      <c r="C462" s="1612"/>
      <c r="D462" s="670"/>
      <c r="E462" s="1638"/>
      <c r="F462" s="670"/>
      <c r="G462" s="670"/>
      <c r="H462" s="670"/>
      <c r="I462" s="670"/>
      <c r="J462" s="670"/>
      <c r="K462" s="670"/>
      <c r="L462" s="670"/>
      <c r="M462" s="670"/>
      <c r="N462" s="390"/>
    </row>
    <row r="463" spans="1:14" s="593" customFormat="1" x14ac:dyDescent="0.2">
      <c r="A463" s="1614"/>
      <c r="B463" s="670"/>
      <c r="C463" s="1612"/>
      <c r="D463" s="670"/>
      <c r="E463" s="1638"/>
      <c r="F463" s="670"/>
      <c r="G463" s="670"/>
      <c r="H463" s="670"/>
      <c r="I463" s="670"/>
      <c r="J463" s="670"/>
      <c r="K463" s="670"/>
      <c r="L463" s="670"/>
      <c r="M463" s="670"/>
      <c r="N463" s="390"/>
    </row>
    <row r="464" spans="1:14" s="593" customFormat="1" x14ac:dyDescent="0.2">
      <c r="A464" s="1614"/>
      <c r="B464" s="670"/>
      <c r="C464" s="1612"/>
      <c r="D464" s="670"/>
      <c r="E464" s="1638"/>
      <c r="F464" s="670"/>
      <c r="G464" s="670"/>
      <c r="H464" s="670"/>
      <c r="I464" s="670"/>
      <c r="J464" s="670"/>
      <c r="K464" s="670"/>
      <c r="L464" s="670"/>
      <c r="M464" s="670"/>
      <c r="N464" s="390"/>
    </row>
    <row r="465" spans="1:14" s="593" customFormat="1" x14ac:dyDescent="0.2">
      <c r="A465" s="1614"/>
      <c r="B465" s="670"/>
      <c r="C465" s="1612"/>
      <c r="D465" s="670"/>
      <c r="E465" s="1638"/>
      <c r="F465" s="670"/>
      <c r="G465" s="670"/>
      <c r="H465" s="670"/>
      <c r="I465" s="670"/>
      <c r="J465" s="670"/>
      <c r="K465" s="670"/>
      <c r="L465" s="670"/>
      <c r="M465" s="670"/>
      <c r="N465" s="390"/>
    </row>
    <row r="466" spans="1:14" s="593" customFormat="1" x14ac:dyDescent="0.2">
      <c r="A466" s="1614"/>
      <c r="B466" s="670"/>
      <c r="C466" s="1612"/>
      <c r="D466" s="670"/>
      <c r="E466" s="1638"/>
      <c r="F466" s="670"/>
      <c r="G466" s="670"/>
      <c r="H466" s="670"/>
      <c r="I466" s="670"/>
      <c r="J466" s="670"/>
      <c r="K466" s="670"/>
      <c r="L466" s="670"/>
      <c r="M466" s="670"/>
      <c r="N466" s="390"/>
    </row>
    <row r="467" spans="1:14" s="593" customFormat="1" x14ac:dyDescent="0.2">
      <c r="A467" s="1614"/>
      <c r="B467" s="670"/>
      <c r="C467" s="1612"/>
      <c r="D467" s="670"/>
      <c r="E467" s="1638"/>
      <c r="F467" s="670"/>
      <c r="G467" s="670"/>
      <c r="H467" s="670"/>
      <c r="I467" s="670"/>
      <c r="J467" s="670"/>
      <c r="K467" s="670"/>
      <c r="L467" s="670"/>
      <c r="M467" s="670"/>
      <c r="N467" s="390"/>
    </row>
    <row r="468" spans="1:14" s="593" customFormat="1" x14ac:dyDescent="0.2">
      <c r="A468" s="1614"/>
      <c r="B468" s="670"/>
      <c r="C468" s="1612"/>
      <c r="D468" s="670"/>
      <c r="E468" s="1638"/>
      <c r="F468" s="670"/>
      <c r="G468" s="670"/>
      <c r="H468" s="670"/>
      <c r="I468" s="670"/>
      <c r="J468" s="670"/>
      <c r="K468" s="670"/>
      <c r="L468" s="670"/>
      <c r="M468" s="670"/>
      <c r="N468" s="390"/>
    </row>
    <row r="469" spans="1:14" s="593" customFormat="1" ht="13.5" thickBot="1" x14ac:dyDescent="0.25">
      <c r="A469" s="1618"/>
      <c r="B469" s="1619"/>
      <c r="C469" s="1620"/>
      <c r="D469" s="1619"/>
      <c r="E469" s="1640"/>
      <c r="F469" s="1619"/>
      <c r="G469" s="1619"/>
      <c r="H469" s="1619"/>
      <c r="I469" s="1619"/>
      <c r="J469" s="1619"/>
      <c r="K469" s="1619"/>
      <c r="L469" s="1619"/>
      <c r="M469" s="1619"/>
      <c r="N469" s="1622"/>
    </row>
    <row r="470" spans="1:14" s="593" customFormat="1" x14ac:dyDescent="0.2">
      <c r="C470" s="1636"/>
      <c r="E470" s="1638"/>
      <c r="N470" s="1636"/>
    </row>
    <row r="471" spans="1:14" s="593" customFormat="1" x14ac:dyDescent="0.2">
      <c r="C471" s="1636"/>
      <c r="E471" s="1638"/>
      <c r="N471" s="1636"/>
    </row>
    <row r="472" spans="1:14" s="593" customFormat="1" x14ac:dyDescent="0.2">
      <c r="C472" s="1636"/>
      <c r="E472" s="1638"/>
      <c r="N472" s="1636"/>
    </row>
    <row r="473" spans="1:14" s="593" customFormat="1" x14ac:dyDescent="0.2">
      <c r="C473" s="1636"/>
      <c r="E473" s="1638"/>
      <c r="N473" s="1636"/>
    </row>
    <row r="474" spans="1:14" s="593" customFormat="1" x14ac:dyDescent="0.2">
      <c r="C474" s="1636"/>
      <c r="E474" s="1638"/>
      <c r="N474" s="1636"/>
    </row>
    <row r="475" spans="1:14" s="593" customFormat="1" x14ac:dyDescent="0.2">
      <c r="C475" s="1636"/>
      <c r="E475" s="1638"/>
      <c r="N475" s="1636"/>
    </row>
    <row r="476" spans="1:14" s="593" customFormat="1" x14ac:dyDescent="0.2">
      <c r="C476" s="1636"/>
      <c r="E476" s="1638"/>
      <c r="N476" s="1636"/>
    </row>
    <row r="477" spans="1:14" s="593" customFormat="1" x14ac:dyDescent="0.2">
      <c r="C477" s="1636"/>
      <c r="E477" s="1638"/>
      <c r="N477" s="1636"/>
    </row>
    <row r="478" spans="1:14" s="593" customFormat="1" x14ac:dyDescent="0.2">
      <c r="C478" s="1636"/>
      <c r="E478" s="1638"/>
      <c r="N478" s="1636"/>
    </row>
    <row r="479" spans="1:14" s="593" customFormat="1" x14ac:dyDescent="0.2">
      <c r="C479" s="1636"/>
      <c r="E479" s="1638"/>
      <c r="N479" s="1636"/>
    </row>
    <row r="480" spans="1:14" s="593" customFormat="1" x14ac:dyDescent="0.2">
      <c r="C480" s="1636"/>
      <c r="E480" s="1638"/>
      <c r="N480" s="1636"/>
    </row>
    <row r="481" spans="1:14" s="593" customFormat="1" x14ac:dyDescent="0.2">
      <c r="C481" s="1636"/>
      <c r="E481" s="1638"/>
      <c r="N481" s="1636"/>
    </row>
    <row r="482" spans="1:14" s="593" customFormat="1" x14ac:dyDescent="0.2">
      <c r="C482" s="1636"/>
      <c r="E482" s="1638"/>
      <c r="N482" s="1636"/>
    </row>
    <row r="483" spans="1:14" s="593" customFormat="1" x14ac:dyDescent="0.2">
      <c r="C483" s="1636"/>
      <c r="E483" s="1638"/>
      <c r="N483" s="1636"/>
    </row>
    <row r="484" spans="1:14" s="593" customFormat="1" x14ac:dyDescent="0.2">
      <c r="C484" s="1636"/>
      <c r="E484" s="1638"/>
      <c r="N484" s="1636"/>
    </row>
    <row r="485" spans="1:14" s="593" customFormat="1" x14ac:dyDescent="0.2">
      <c r="C485" s="1636"/>
      <c r="E485" s="1638"/>
      <c r="N485" s="1636"/>
    </row>
    <row r="486" spans="1:14" s="593" customFormat="1" x14ac:dyDescent="0.2">
      <c r="C486" s="1636"/>
      <c r="E486" s="1638"/>
      <c r="N486" s="1636"/>
    </row>
    <row r="487" spans="1:14" s="593" customFormat="1" x14ac:dyDescent="0.2">
      <c r="C487" s="1636"/>
      <c r="E487" s="1638"/>
      <c r="N487" s="1636"/>
    </row>
    <row r="488" spans="1:14" s="593" customFormat="1" x14ac:dyDescent="0.2">
      <c r="C488" s="1636"/>
      <c r="E488" s="1638"/>
      <c r="N488" s="1636"/>
    </row>
    <row r="489" spans="1:14" s="593" customFormat="1" x14ac:dyDescent="0.2">
      <c r="C489" s="1636"/>
      <c r="E489" s="1638"/>
      <c r="N489" s="1636"/>
    </row>
    <row r="490" spans="1:14" s="593" customFormat="1" x14ac:dyDescent="0.2">
      <c r="A490" s="1641"/>
      <c r="C490" s="1636"/>
      <c r="E490" s="1638"/>
      <c r="N490" s="1642"/>
    </row>
    <row r="491" spans="1:14" s="593" customFormat="1" x14ac:dyDescent="0.2">
      <c r="A491" s="1641"/>
      <c r="C491" s="1636"/>
      <c r="E491" s="1638"/>
      <c r="N491" s="1642"/>
    </row>
    <row r="492" spans="1:14" s="593" customFormat="1" x14ac:dyDescent="0.2">
      <c r="A492" s="1641"/>
      <c r="C492" s="1636"/>
      <c r="E492" s="1638"/>
      <c r="N492" s="1642"/>
    </row>
    <row r="493" spans="1:14" s="593" customFormat="1" x14ac:dyDescent="0.2">
      <c r="A493" s="1641"/>
      <c r="C493" s="1636"/>
      <c r="E493" s="1638"/>
      <c r="N493" s="1642"/>
    </row>
    <row r="494" spans="1:14" s="593" customFormat="1" x14ac:dyDescent="0.2">
      <c r="A494" s="1641"/>
      <c r="C494" s="1636"/>
      <c r="E494" s="1638"/>
      <c r="N494" s="1642"/>
    </row>
    <row r="495" spans="1:14" s="593" customFormat="1" x14ac:dyDescent="0.2">
      <c r="A495" s="1641"/>
      <c r="C495" s="1636"/>
      <c r="E495" s="1638"/>
      <c r="N495" s="1642"/>
    </row>
    <row r="496" spans="1:14" s="593" customFormat="1" x14ac:dyDescent="0.2">
      <c r="A496" s="1641"/>
      <c r="C496" s="1636"/>
      <c r="E496" s="1638"/>
      <c r="N496" s="1642"/>
    </row>
    <row r="497" spans="1:14" s="593" customFormat="1" ht="13.5" thickBot="1" x14ac:dyDescent="0.25">
      <c r="A497" s="1641"/>
      <c r="C497" s="1636"/>
      <c r="E497" s="1638"/>
      <c r="N497" s="1642"/>
    </row>
    <row r="498" spans="1:14" s="593" customFormat="1" ht="45" x14ac:dyDescent="0.2">
      <c r="A498" s="1643"/>
      <c r="B498" s="1644" t="s">
        <v>24</v>
      </c>
      <c r="C498" s="1644"/>
      <c r="D498" s="1624"/>
      <c r="E498" s="1639"/>
      <c r="F498" s="1624"/>
      <c r="G498" s="1624"/>
      <c r="H498" s="1624"/>
      <c r="I498" s="1624"/>
      <c r="J498" s="1624"/>
      <c r="K498" s="1624"/>
      <c r="L498" s="1624"/>
      <c r="M498" s="1624"/>
      <c r="N498" s="2801"/>
    </row>
    <row r="499" spans="1:14" s="593" customFormat="1" x14ac:dyDescent="0.2">
      <c r="A499" s="1611"/>
      <c r="B499" s="670"/>
      <c r="C499" s="1612"/>
      <c r="D499" s="670"/>
      <c r="E499" s="1638"/>
      <c r="F499" s="670"/>
      <c r="G499" s="670"/>
      <c r="H499" s="670"/>
      <c r="I499" s="670"/>
      <c r="J499" s="670"/>
      <c r="K499" s="670"/>
      <c r="L499" s="670"/>
      <c r="M499" s="670"/>
      <c r="N499" s="2802"/>
    </row>
    <row r="500" spans="1:14" s="593" customFormat="1" x14ac:dyDescent="0.2">
      <c r="A500" s="1611"/>
      <c r="B500" s="670"/>
      <c r="C500" s="1612"/>
      <c r="D500" s="670"/>
      <c r="E500" s="1638"/>
      <c r="F500" s="670"/>
      <c r="G500" s="670"/>
      <c r="H500" s="670"/>
      <c r="I500" s="670"/>
      <c r="J500" s="670"/>
      <c r="K500" s="670"/>
      <c r="L500" s="670"/>
      <c r="M500" s="670"/>
      <c r="N500" s="2802"/>
    </row>
    <row r="501" spans="1:14" s="593" customFormat="1" x14ac:dyDescent="0.2">
      <c r="A501" s="1611"/>
      <c r="B501" s="670"/>
      <c r="C501" s="1612"/>
      <c r="D501" s="670"/>
      <c r="E501" s="1638"/>
      <c r="F501" s="670"/>
      <c r="G501" s="670"/>
      <c r="H501" s="670"/>
      <c r="I501" s="670"/>
      <c r="J501" s="670"/>
      <c r="K501" s="670"/>
      <c r="L501" s="670"/>
      <c r="M501" s="670"/>
      <c r="N501" s="2802"/>
    </row>
    <row r="502" spans="1:14" s="593" customFormat="1" x14ac:dyDescent="0.2">
      <c r="A502" s="1611"/>
      <c r="B502" s="670"/>
      <c r="C502" s="1612"/>
      <c r="D502" s="670"/>
      <c r="E502" s="1638"/>
      <c r="F502" s="670"/>
      <c r="G502" s="670"/>
      <c r="H502" s="670"/>
      <c r="I502" s="670"/>
      <c r="J502" s="670"/>
      <c r="K502" s="670"/>
      <c r="L502" s="670"/>
      <c r="M502" s="670"/>
      <c r="N502" s="2802"/>
    </row>
    <row r="503" spans="1:14" s="593" customFormat="1" x14ac:dyDescent="0.2">
      <c r="A503" s="1611"/>
      <c r="B503" s="670"/>
      <c r="C503" s="1612"/>
      <c r="D503" s="670"/>
      <c r="E503" s="1638"/>
      <c r="F503" s="670"/>
      <c r="G503" s="670"/>
      <c r="H503" s="670"/>
      <c r="I503" s="670"/>
      <c r="J503" s="670"/>
      <c r="K503" s="670"/>
      <c r="L503" s="670"/>
      <c r="M503" s="670"/>
      <c r="N503" s="2802"/>
    </row>
    <row r="504" spans="1:14" s="593" customFormat="1" x14ac:dyDescent="0.2">
      <c r="A504" s="1611"/>
      <c r="B504" s="670"/>
      <c r="C504" s="1612"/>
      <c r="D504" s="670"/>
      <c r="E504" s="1638"/>
      <c r="F504" s="670"/>
      <c r="G504" s="670"/>
      <c r="H504" s="670"/>
      <c r="I504" s="670"/>
      <c r="J504" s="670"/>
      <c r="K504" s="670"/>
      <c r="L504" s="670"/>
      <c r="M504" s="670"/>
      <c r="N504" s="2802"/>
    </row>
    <row r="505" spans="1:14" s="593" customFormat="1" x14ac:dyDescent="0.2">
      <c r="A505" s="1611"/>
      <c r="B505" s="670"/>
      <c r="C505" s="1612"/>
      <c r="D505" s="670"/>
      <c r="E505" s="1638"/>
      <c r="F505" s="670"/>
      <c r="G505" s="670"/>
      <c r="H505" s="670"/>
      <c r="I505" s="670"/>
      <c r="J505" s="670"/>
      <c r="K505" s="670"/>
      <c r="L505" s="670"/>
      <c r="M505" s="670"/>
      <c r="N505" s="2802"/>
    </row>
    <row r="506" spans="1:14" s="593" customFormat="1" x14ac:dyDescent="0.2">
      <c r="A506" s="1611"/>
      <c r="B506" s="670"/>
      <c r="C506" s="1612"/>
      <c r="D506" s="670"/>
      <c r="E506" s="1638"/>
      <c r="F506" s="670"/>
      <c r="G506" s="670"/>
      <c r="H506" s="670"/>
      <c r="I506" s="670"/>
      <c r="J506" s="670"/>
      <c r="K506" s="670"/>
      <c r="L506" s="670"/>
      <c r="M506" s="670"/>
      <c r="N506" s="2802"/>
    </row>
    <row r="507" spans="1:14" s="593" customFormat="1" x14ac:dyDescent="0.2">
      <c r="A507" s="1611"/>
      <c r="B507" s="670"/>
      <c r="C507" s="1612"/>
      <c r="D507" s="670"/>
      <c r="E507" s="1638"/>
      <c r="G507" s="670"/>
      <c r="H507" s="670"/>
      <c r="I507" s="670"/>
      <c r="J507" s="670"/>
      <c r="K507" s="670"/>
      <c r="L507" s="670"/>
      <c r="M507" s="670"/>
      <c r="N507" s="2802"/>
    </row>
    <row r="508" spans="1:14" s="593" customFormat="1" x14ac:dyDescent="0.2">
      <c r="A508" s="1611"/>
      <c r="B508" s="670"/>
      <c r="C508" s="1612"/>
      <c r="D508" s="670"/>
      <c r="E508" s="1638"/>
      <c r="F508" s="670"/>
      <c r="G508" s="670"/>
      <c r="H508" s="670"/>
      <c r="I508" s="670"/>
      <c r="J508" s="670"/>
      <c r="K508" s="670"/>
      <c r="L508" s="670"/>
      <c r="M508" s="670"/>
      <c r="N508" s="2802"/>
    </row>
    <row r="509" spans="1:14" s="593" customFormat="1" ht="13.5" thickBot="1" x14ac:dyDescent="0.25">
      <c r="A509" s="1645"/>
      <c r="B509" s="1619"/>
      <c r="C509" s="1620"/>
      <c r="D509" s="1619"/>
      <c r="E509" s="1640"/>
      <c r="F509" s="1619"/>
      <c r="G509" s="1619"/>
      <c r="H509" s="1619"/>
      <c r="I509" s="1619"/>
      <c r="J509" s="1619"/>
      <c r="K509" s="1619"/>
      <c r="L509" s="1619"/>
      <c r="M509" s="1619"/>
      <c r="N509" s="2803"/>
    </row>
    <row r="510" spans="1:14" s="593" customFormat="1" x14ac:dyDescent="0.2">
      <c r="A510" s="1641"/>
      <c r="C510" s="1636"/>
      <c r="E510" s="1638"/>
      <c r="F510" s="593">
        <v>415162</v>
      </c>
      <c r="N510" s="1642"/>
    </row>
    <row r="511" spans="1:14" s="593" customFormat="1" x14ac:dyDescent="0.2">
      <c r="A511" s="1641"/>
      <c r="C511" s="1636"/>
      <c r="E511" s="1638"/>
      <c r="N511" s="1642"/>
    </row>
    <row r="512" spans="1:14" s="593" customFormat="1" x14ac:dyDescent="0.2">
      <c r="A512" s="1641"/>
      <c r="C512" s="1636"/>
      <c r="E512" s="1638"/>
      <c r="N512" s="1642"/>
    </row>
    <row r="513" spans="1:14" s="593" customFormat="1" x14ac:dyDescent="0.2">
      <c r="A513" s="1641"/>
      <c r="C513" s="1636"/>
      <c r="E513" s="1638"/>
      <c r="N513" s="1642"/>
    </row>
    <row r="514" spans="1:14" s="593" customFormat="1" x14ac:dyDescent="0.2">
      <c r="A514" s="1641"/>
      <c r="C514" s="1636"/>
      <c r="E514" s="1638"/>
      <c r="N514" s="1642"/>
    </row>
    <row r="515" spans="1:14" s="593" customFormat="1" x14ac:dyDescent="0.2">
      <c r="A515" s="1641"/>
      <c r="C515" s="1636"/>
      <c r="E515" s="1638"/>
      <c r="N515" s="1642"/>
    </row>
    <row r="516" spans="1:14" s="593" customFormat="1" x14ac:dyDescent="0.2">
      <c r="A516" s="1641"/>
      <c r="C516" s="1636"/>
      <c r="E516" s="1638"/>
      <c r="N516" s="1642"/>
    </row>
    <row r="517" spans="1:14" s="593" customFormat="1" x14ac:dyDescent="0.2">
      <c r="A517" s="1641"/>
      <c r="C517" s="1636"/>
      <c r="E517" s="1638"/>
      <c r="N517" s="1642"/>
    </row>
    <row r="518" spans="1:14" s="593" customFormat="1" x14ac:dyDescent="0.2">
      <c r="A518" s="1641"/>
      <c r="C518" s="1636"/>
      <c r="E518" s="1638"/>
      <c r="N518" s="1642"/>
    </row>
    <row r="519" spans="1:14" s="593" customFormat="1" x14ac:dyDescent="0.2">
      <c r="A519" s="1641"/>
      <c r="C519" s="1636"/>
      <c r="E519" s="1638"/>
      <c r="N519" s="1642"/>
    </row>
    <row r="520" spans="1:14" s="593" customFormat="1" x14ac:dyDescent="0.2">
      <c r="A520" s="1641"/>
      <c r="C520" s="1636"/>
      <c r="E520" s="1638"/>
      <c r="N520" s="1642"/>
    </row>
    <row r="521" spans="1:14" s="593" customFormat="1" x14ac:dyDescent="0.2">
      <c r="A521" s="1641"/>
      <c r="C521" s="1636"/>
      <c r="E521" s="1638"/>
      <c r="N521" s="1642"/>
    </row>
    <row r="522" spans="1:14" s="593" customFormat="1" x14ac:dyDescent="0.2">
      <c r="C522" s="1636"/>
      <c r="E522" s="1638"/>
      <c r="N522" s="1636"/>
    </row>
    <row r="523" spans="1:14" s="593" customFormat="1" x14ac:dyDescent="0.2">
      <c r="C523" s="1636"/>
      <c r="E523" s="1638"/>
      <c r="N523" s="1636"/>
    </row>
    <row r="524" spans="1:14" s="593" customFormat="1" x14ac:dyDescent="0.2">
      <c r="C524" s="1636"/>
      <c r="E524" s="1638"/>
      <c r="N524" s="1636"/>
    </row>
    <row r="525" spans="1:14" s="593" customFormat="1" x14ac:dyDescent="0.2">
      <c r="C525" s="1636"/>
      <c r="E525" s="1638"/>
      <c r="N525" s="1636"/>
    </row>
    <row r="526" spans="1:14" s="593" customFormat="1" x14ac:dyDescent="0.2">
      <c r="C526" s="1636"/>
      <c r="E526" s="1638"/>
      <c r="N526" s="1636"/>
    </row>
    <row r="527" spans="1:14" s="593" customFormat="1" x14ac:dyDescent="0.2">
      <c r="C527" s="1636"/>
      <c r="E527" s="1638"/>
      <c r="N527" s="1636"/>
    </row>
    <row r="528" spans="1:14" s="593" customFormat="1" x14ac:dyDescent="0.2">
      <c r="C528" s="1636"/>
      <c r="E528" s="1638"/>
      <c r="N528" s="1636"/>
    </row>
    <row r="529" spans="1:14" s="593" customFormat="1" x14ac:dyDescent="0.2">
      <c r="C529" s="1636"/>
      <c r="E529" s="1638"/>
      <c r="N529" s="1636"/>
    </row>
    <row r="530" spans="1:14" s="593" customFormat="1" x14ac:dyDescent="0.2">
      <c r="C530" s="1636"/>
      <c r="E530" s="1638"/>
      <c r="N530" s="1636"/>
    </row>
    <row r="531" spans="1:14" s="593" customFormat="1" x14ac:dyDescent="0.2">
      <c r="C531" s="1636"/>
      <c r="E531" s="1638"/>
      <c r="N531" s="1636"/>
    </row>
    <row r="532" spans="1:14" s="593" customFormat="1" x14ac:dyDescent="0.2">
      <c r="C532" s="1636"/>
      <c r="E532" s="1638"/>
      <c r="N532" s="1636"/>
    </row>
    <row r="533" spans="1:14" s="593" customFormat="1" x14ac:dyDescent="0.2">
      <c r="C533" s="1636"/>
      <c r="E533" s="1638"/>
      <c r="N533" s="1636"/>
    </row>
    <row r="534" spans="1:14" s="593" customFormat="1" x14ac:dyDescent="0.2">
      <c r="C534" s="1636"/>
      <c r="E534" s="1638"/>
      <c r="N534" s="1636"/>
    </row>
    <row r="535" spans="1:14" s="593" customFormat="1" x14ac:dyDescent="0.2">
      <c r="C535" s="1636"/>
      <c r="E535" s="1638"/>
      <c r="N535" s="1636"/>
    </row>
    <row r="536" spans="1:14" s="593" customFormat="1" x14ac:dyDescent="0.2">
      <c r="C536" s="1636"/>
      <c r="E536" s="1638"/>
      <c r="N536" s="1636"/>
    </row>
    <row r="537" spans="1:14" s="593" customFormat="1" x14ac:dyDescent="0.2">
      <c r="C537" s="1636"/>
      <c r="E537" s="1638"/>
      <c r="N537" s="1636"/>
    </row>
    <row r="538" spans="1:14" s="593" customFormat="1" x14ac:dyDescent="0.2">
      <c r="C538" s="1636"/>
      <c r="E538" s="1638"/>
      <c r="N538" s="1636"/>
    </row>
    <row r="539" spans="1:14" s="593" customFormat="1" x14ac:dyDescent="0.2">
      <c r="C539" s="1636"/>
      <c r="E539" s="1638"/>
      <c r="N539" s="1636"/>
    </row>
    <row r="540" spans="1:14" s="593" customFormat="1" x14ac:dyDescent="0.2">
      <c r="C540" s="1636"/>
      <c r="E540" s="1638"/>
      <c r="N540" s="1636"/>
    </row>
    <row r="541" spans="1:14" s="593" customFormat="1" x14ac:dyDescent="0.2">
      <c r="C541" s="1636"/>
      <c r="E541" s="1638"/>
      <c r="N541" s="1636"/>
    </row>
    <row r="542" spans="1:14" s="593" customFormat="1" ht="13.5" thickBot="1" x14ac:dyDescent="0.25">
      <c r="C542" s="1636"/>
      <c r="E542" s="1638"/>
      <c r="N542" s="1636"/>
    </row>
    <row r="543" spans="1:14" s="593" customFormat="1" x14ac:dyDescent="0.2">
      <c r="A543" s="1623"/>
      <c r="B543" s="1624"/>
      <c r="C543" s="1625"/>
      <c r="D543" s="1624"/>
      <c r="E543" s="1639"/>
      <c r="F543" s="1624"/>
      <c r="G543" s="1624"/>
      <c r="H543" s="1624"/>
      <c r="I543" s="1624"/>
      <c r="J543" s="1624"/>
      <c r="K543" s="1624"/>
      <c r="L543" s="1624"/>
      <c r="M543" s="1624"/>
      <c r="N543" s="1627"/>
    </row>
    <row r="544" spans="1:14" s="593" customFormat="1" x14ac:dyDescent="0.2">
      <c r="A544" s="1614"/>
      <c r="B544" s="670"/>
      <c r="C544" s="1612"/>
      <c r="D544" s="670"/>
      <c r="E544" s="1638"/>
      <c r="F544" s="670"/>
      <c r="G544" s="670"/>
      <c r="H544" s="670"/>
      <c r="I544" s="670"/>
      <c r="J544" s="670"/>
      <c r="K544" s="670"/>
      <c r="L544" s="670"/>
      <c r="M544" s="670"/>
      <c r="N544" s="390"/>
    </row>
    <row r="545" spans="1:14" s="593" customFormat="1" x14ac:dyDescent="0.2">
      <c r="A545" s="1614"/>
      <c r="B545" s="670"/>
      <c r="C545" s="1612"/>
      <c r="D545" s="670"/>
      <c r="E545" s="1638"/>
      <c r="F545" s="670"/>
      <c r="G545" s="670"/>
      <c r="H545" s="670"/>
      <c r="I545" s="670"/>
      <c r="J545" s="670"/>
      <c r="K545" s="670"/>
      <c r="L545" s="670"/>
      <c r="M545" s="670"/>
      <c r="N545" s="390"/>
    </row>
    <row r="546" spans="1:14" s="593" customFormat="1" x14ac:dyDescent="0.2">
      <c r="A546" s="1614"/>
      <c r="B546" s="670"/>
      <c r="C546" s="1612"/>
      <c r="D546" s="670"/>
      <c r="E546" s="1638"/>
      <c r="F546" s="670"/>
      <c r="G546" s="670"/>
      <c r="H546" s="670"/>
      <c r="I546" s="670"/>
      <c r="J546" s="670"/>
      <c r="K546" s="670"/>
      <c r="L546" s="670"/>
      <c r="M546" s="670"/>
      <c r="N546" s="390"/>
    </row>
    <row r="547" spans="1:14" s="593" customFormat="1" x14ac:dyDescent="0.2">
      <c r="A547" s="1614"/>
      <c r="B547" s="670"/>
      <c r="C547" s="1612"/>
      <c r="D547" s="670"/>
      <c r="E547" s="1638"/>
      <c r="F547" s="670"/>
      <c r="G547" s="670"/>
      <c r="H547" s="670"/>
      <c r="I547" s="670"/>
      <c r="J547" s="670"/>
      <c r="K547" s="670"/>
      <c r="L547" s="670"/>
      <c r="M547" s="670"/>
      <c r="N547" s="390"/>
    </row>
    <row r="548" spans="1:14" s="593" customFormat="1" x14ac:dyDescent="0.2">
      <c r="A548" s="1614"/>
      <c r="B548" s="670"/>
      <c r="C548" s="1612"/>
      <c r="D548" s="670"/>
      <c r="E548" s="1638"/>
      <c r="F548" s="670"/>
      <c r="G548" s="670"/>
      <c r="H548" s="670"/>
      <c r="I548" s="670"/>
      <c r="J548" s="670"/>
      <c r="K548" s="670"/>
      <c r="L548" s="670"/>
      <c r="M548" s="670"/>
      <c r="N548" s="390"/>
    </row>
    <row r="549" spans="1:14" s="593" customFormat="1" x14ac:dyDescent="0.2">
      <c r="A549" s="1614"/>
      <c r="B549" s="670"/>
      <c r="C549" s="1612"/>
      <c r="D549" s="670"/>
      <c r="E549" s="1638"/>
      <c r="F549" s="670"/>
      <c r="G549" s="670"/>
      <c r="H549" s="670"/>
      <c r="I549" s="670"/>
      <c r="J549" s="670"/>
      <c r="K549" s="670"/>
      <c r="L549" s="670"/>
      <c r="M549" s="670"/>
      <c r="N549" s="390"/>
    </row>
    <row r="550" spans="1:14" s="593" customFormat="1" ht="13.5" thickBot="1" x14ac:dyDescent="0.25">
      <c r="A550" s="1618"/>
      <c r="B550" s="1619"/>
      <c r="C550" s="1620"/>
      <c r="D550" s="1619"/>
      <c r="E550" s="1640"/>
      <c r="F550" s="1619"/>
      <c r="G550" s="1619"/>
      <c r="H550" s="1619"/>
      <c r="I550" s="1619"/>
      <c r="J550" s="1619"/>
      <c r="K550" s="1619"/>
      <c r="L550" s="1619"/>
      <c r="M550" s="1619"/>
      <c r="N550" s="1622"/>
    </row>
    <row r="551" spans="1:14" s="593" customFormat="1" x14ac:dyDescent="0.2">
      <c r="A551" s="1623"/>
      <c r="B551" s="1624"/>
      <c r="C551" s="1625"/>
      <c r="D551" s="1624"/>
      <c r="E551" s="1639"/>
      <c r="F551" s="1624"/>
      <c r="G551" s="1624"/>
      <c r="H551" s="1624"/>
      <c r="I551" s="1624"/>
      <c r="J551" s="1624"/>
      <c r="K551" s="1624"/>
      <c r="L551" s="1624"/>
      <c r="M551" s="1624"/>
      <c r="N551" s="1627"/>
    </row>
    <row r="552" spans="1:14" s="593" customFormat="1" x14ac:dyDescent="0.2">
      <c r="A552" s="1614"/>
      <c r="B552" s="670"/>
      <c r="C552" s="1612"/>
      <c r="D552" s="670"/>
      <c r="E552" s="1638"/>
      <c r="F552" s="670"/>
      <c r="G552" s="670"/>
      <c r="H552" s="670"/>
      <c r="I552" s="670"/>
      <c r="J552" s="670"/>
      <c r="K552" s="670"/>
      <c r="L552" s="670"/>
      <c r="M552" s="670"/>
      <c r="N552" s="390"/>
    </row>
    <row r="553" spans="1:14" s="593" customFormat="1" x14ac:dyDescent="0.2">
      <c r="A553" s="1614"/>
      <c r="B553" s="670"/>
      <c r="C553" s="1612"/>
      <c r="D553" s="670"/>
      <c r="E553" s="1638"/>
      <c r="F553" s="670"/>
      <c r="G553" s="670"/>
      <c r="H553" s="670"/>
      <c r="I553" s="670"/>
      <c r="J553" s="670"/>
      <c r="K553" s="670"/>
      <c r="L553" s="670"/>
      <c r="M553" s="670"/>
      <c r="N553" s="390"/>
    </row>
    <row r="554" spans="1:14" s="593" customFormat="1" ht="13.5" thickBot="1" x14ac:dyDescent="0.25">
      <c r="A554" s="1618"/>
      <c r="B554" s="1619"/>
      <c r="C554" s="1620"/>
      <c r="D554" s="1619"/>
      <c r="E554" s="1640"/>
      <c r="F554" s="1619"/>
      <c r="G554" s="1619"/>
      <c r="H554" s="1619"/>
      <c r="I554" s="1619"/>
      <c r="J554" s="1619"/>
      <c r="K554" s="1619"/>
      <c r="L554" s="1619"/>
      <c r="M554" s="1619"/>
      <c r="N554" s="1622"/>
    </row>
    <row r="555" spans="1:14" s="593" customFormat="1" x14ac:dyDescent="0.2">
      <c r="C555" s="1636"/>
      <c r="E555" s="1638"/>
      <c r="N555" s="1636"/>
    </row>
    <row r="556" spans="1:14" s="593" customFormat="1" x14ac:dyDescent="0.2">
      <c r="C556" s="1636"/>
      <c r="E556" s="1638"/>
      <c r="N556" s="1636"/>
    </row>
    <row r="557" spans="1:14" s="593" customFormat="1" x14ac:dyDescent="0.2">
      <c r="C557" s="1636"/>
      <c r="E557" s="1638"/>
      <c r="N557" s="1636"/>
    </row>
    <row r="558" spans="1:14" s="593" customFormat="1" x14ac:dyDescent="0.2">
      <c r="C558" s="1636"/>
      <c r="E558" s="1638"/>
      <c r="N558" s="1636"/>
    </row>
    <row r="559" spans="1:14" s="593" customFormat="1" x14ac:dyDescent="0.2">
      <c r="C559" s="1636"/>
      <c r="E559" s="1638"/>
      <c r="N559" s="1636"/>
    </row>
    <row r="560" spans="1:14" s="593" customFormat="1" x14ac:dyDescent="0.2">
      <c r="C560" s="1636"/>
      <c r="E560" s="1638"/>
      <c r="N560" s="1636"/>
    </row>
    <row r="561" spans="3:14" s="593" customFormat="1" x14ac:dyDescent="0.2">
      <c r="C561" s="1636"/>
      <c r="E561" s="1638"/>
      <c r="N561" s="1636"/>
    </row>
    <row r="562" spans="3:14" s="593" customFormat="1" x14ac:dyDescent="0.2">
      <c r="C562" s="1636"/>
      <c r="E562" s="1638"/>
      <c r="N562" s="1636"/>
    </row>
    <row r="563" spans="3:14" s="593" customFormat="1" x14ac:dyDescent="0.2">
      <c r="C563" s="1636"/>
      <c r="E563" s="1638"/>
      <c r="N563" s="1636"/>
    </row>
    <row r="564" spans="3:14" s="593" customFormat="1" x14ac:dyDescent="0.2">
      <c r="C564" s="1636"/>
      <c r="E564" s="1638"/>
      <c r="N564" s="1636"/>
    </row>
    <row r="565" spans="3:14" s="593" customFormat="1" x14ac:dyDescent="0.2">
      <c r="C565" s="1636"/>
      <c r="E565" s="1638"/>
      <c r="N565" s="1636"/>
    </row>
    <row r="566" spans="3:14" s="593" customFormat="1" x14ac:dyDescent="0.2">
      <c r="C566" s="1636"/>
      <c r="E566" s="1638"/>
      <c r="N566" s="1636"/>
    </row>
    <row r="567" spans="3:14" s="593" customFormat="1" x14ac:dyDescent="0.2">
      <c r="C567" s="1636"/>
      <c r="E567" s="1638"/>
      <c r="N567" s="1636"/>
    </row>
    <row r="568" spans="3:14" s="593" customFormat="1" x14ac:dyDescent="0.2">
      <c r="C568" s="1636"/>
      <c r="E568" s="1638"/>
      <c r="N568" s="1636"/>
    </row>
    <row r="569" spans="3:14" s="593" customFormat="1" x14ac:dyDescent="0.2">
      <c r="C569" s="1636"/>
      <c r="E569" s="1638"/>
      <c r="N569" s="1636"/>
    </row>
    <row r="570" spans="3:14" s="593" customFormat="1" x14ac:dyDescent="0.2">
      <c r="C570" s="1636"/>
      <c r="E570" s="1638"/>
      <c r="N570" s="1636"/>
    </row>
    <row r="571" spans="3:14" s="593" customFormat="1" x14ac:dyDescent="0.2">
      <c r="C571" s="1636"/>
      <c r="E571" s="1638"/>
      <c r="N571" s="1636"/>
    </row>
    <row r="572" spans="3:14" s="593" customFormat="1" x14ac:dyDescent="0.2">
      <c r="C572" s="1636"/>
      <c r="E572" s="1638"/>
      <c r="N572" s="1636"/>
    </row>
    <row r="573" spans="3:14" s="593" customFormat="1" x14ac:dyDescent="0.2">
      <c r="C573" s="1636"/>
      <c r="E573" s="1638"/>
      <c r="N573" s="1636"/>
    </row>
    <row r="574" spans="3:14" s="593" customFormat="1" x14ac:dyDescent="0.2">
      <c r="C574" s="1636"/>
      <c r="E574" s="1638"/>
      <c r="N574" s="1636"/>
    </row>
    <row r="575" spans="3:14" s="593" customFormat="1" x14ac:dyDescent="0.2">
      <c r="C575" s="1636"/>
      <c r="E575" s="1638"/>
      <c r="N575" s="1636"/>
    </row>
    <row r="576" spans="3:14" s="593" customFormat="1" x14ac:dyDescent="0.2">
      <c r="C576" s="1636"/>
      <c r="E576" s="1638"/>
      <c r="N576" s="1636"/>
    </row>
    <row r="577" spans="3:14" s="593" customFormat="1" x14ac:dyDescent="0.2">
      <c r="C577" s="1636"/>
      <c r="E577" s="1638"/>
      <c r="N577" s="1636"/>
    </row>
    <row r="578" spans="3:14" s="593" customFormat="1" x14ac:dyDescent="0.2">
      <c r="C578" s="1636"/>
      <c r="E578" s="1638"/>
      <c r="N578" s="1636"/>
    </row>
    <row r="579" spans="3:14" s="593" customFormat="1" x14ac:dyDescent="0.2">
      <c r="C579" s="1636"/>
      <c r="E579" s="1638"/>
      <c r="N579" s="1636"/>
    </row>
    <row r="580" spans="3:14" s="593" customFormat="1" x14ac:dyDescent="0.2">
      <c r="C580" s="1636"/>
      <c r="E580" s="1638"/>
      <c r="N580" s="1636"/>
    </row>
    <row r="581" spans="3:14" s="593" customFormat="1" x14ac:dyDescent="0.2">
      <c r="C581" s="1636"/>
      <c r="E581" s="1638"/>
      <c r="N581" s="1636"/>
    </row>
    <row r="582" spans="3:14" s="593" customFormat="1" x14ac:dyDescent="0.2">
      <c r="C582" s="1636"/>
      <c r="E582" s="1638"/>
      <c r="N582" s="1636"/>
    </row>
    <row r="583" spans="3:14" s="593" customFormat="1" x14ac:dyDescent="0.2">
      <c r="C583" s="1636"/>
      <c r="E583" s="1638"/>
      <c r="N583" s="1636"/>
    </row>
    <row r="584" spans="3:14" s="593" customFormat="1" x14ac:dyDescent="0.2">
      <c r="C584" s="1636"/>
      <c r="E584" s="1638"/>
      <c r="N584" s="1636"/>
    </row>
    <row r="585" spans="3:14" s="593" customFormat="1" x14ac:dyDescent="0.2">
      <c r="C585" s="1636"/>
      <c r="E585" s="1638"/>
      <c r="N585" s="1636"/>
    </row>
    <row r="586" spans="3:14" s="593" customFormat="1" x14ac:dyDescent="0.2">
      <c r="C586" s="1636"/>
      <c r="E586" s="1638"/>
      <c r="N586" s="1636"/>
    </row>
    <row r="587" spans="3:14" s="593" customFormat="1" x14ac:dyDescent="0.2">
      <c r="C587" s="1636"/>
      <c r="E587" s="1638"/>
      <c r="N587" s="1636"/>
    </row>
    <row r="588" spans="3:14" s="593" customFormat="1" x14ac:dyDescent="0.2">
      <c r="C588" s="1636"/>
      <c r="E588" s="1638"/>
      <c r="N588" s="1636"/>
    </row>
    <row r="589" spans="3:14" s="593" customFormat="1" x14ac:dyDescent="0.2">
      <c r="C589" s="1636"/>
      <c r="E589" s="1638"/>
      <c r="N589" s="1636"/>
    </row>
    <row r="590" spans="3:14" s="593" customFormat="1" x14ac:dyDescent="0.2">
      <c r="C590" s="1636"/>
      <c r="E590" s="1638"/>
      <c r="N590" s="1636"/>
    </row>
    <row r="591" spans="3:14" s="593" customFormat="1" x14ac:dyDescent="0.2">
      <c r="C591" s="1636"/>
      <c r="E591" s="1638"/>
      <c r="N591" s="1636"/>
    </row>
    <row r="592" spans="3:14" s="593" customFormat="1" x14ac:dyDescent="0.2">
      <c r="C592" s="1636"/>
      <c r="E592" s="1638"/>
      <c r="N592" s="1636"/>
    </row>
    <row r="593" spans="3:14" s="593" customFormat="1" x14ac:dyDescent="0.2">
      <c r="C593" s="1636"/>
      <c r="E593" s="1638"/>
      <c r="N593" s="1636"/>
    </row>
    <row r="594" spans="3:14" s="593" customFormat="1" x14ac:dyDescent="0.2">
      <c r="C594" s="1636"/>
      <c r="E594" s="1638"/>
      <c r="N594" s="1636"/>
    </row>
    <row r="595" spans="3:14" s="593" customFormat="1" x14ac:dyDescent="0.2">
      <c r="C595" s="1636"/>
      <c r="E595" s="1638"/>
      <c r="N595" s="1636"/>
    </row>
    <row r="596" spans="3:14" s="593" customFormat="1" x14ac:dyDescent="0.2">
      <c r="C596" s="1636"/>
      <c r="E596" s="1638"/>
      <c r="N596" s="1636"/>
    </row>
    <row r="597" spans="3:14" s="593" customFormat="1" x14ac:dyDescent="0.2">
      <c r="C597" s="1636"/>
      <c r="E597" s="1638"/>
      <c r="N597" s="1636"/>
    </row>
    <row r="598" spans="3:14" s="593" customFormat="1" x14ac:dyDescent="0.2">
      <c r="C598" s="1636"/>
      <c r="E598" s="1638"/>
      <c r="N598" s="1636"/>
    </row>
    <row r="599" spans="3:14" s="593" customFormat="1" x14ac:dyDescent="0.2">
      <c r="C599" s="1636"/>
      <c r="E599" s="1638"/>
      <c r="N599" s="1636"/>
    </row>
    <row r="600" spans="3:14" s="593" customFormat="1" x14ac:dyDescent="0.2">
      <c r="C600" s="1636"/>
      <c r="E600" s="1638"/>
      <c r="N600" s="1636"/>
    </row>
    <row r="601" spans="3:14" s="593" customFormat="1" x14ac:dyDescent="0.2">
      <c r="C601" s="1636"/>
      <c r="E601" s="1638"/>
      <c r="N601" s="1636"/>
    </row>
    <row r="602" spans="3:14" s="593" customFormat="1" x14ac:dyDescent="0.2">
      <c r="C602" s="1636"/>
      <c r="E602" s="1638"/>
      <c r="N602" s="1636"/>
    </row>
    <row r="603" spans="3:14" s="593" customFormat="1" x14ac:dyDescent="0.2">
      <c r="C603" s="1636"/>
      <c r="E603" s="1638"/>
      <c r="N603" s="1636"/>
    </row>
    <row r="604" spans="3:14" s="593" customFormat="1" x14ac:dyDescent="0.2">
      <c r="C604" s="1636"/>
      <c r="E604" s="1638"/>
      <c r="N604" s="1636"/>
    </row>
    <row r="605" spans="3:14" s="593" customFormat="1" x14ac:dyDescent="0.2">
      <c r="C605" s="1636"/>
      <c r="E605" s="1638"/>
      <c r="N605" s="1636"/>
    </row>
    <row r="606" spans="3:14" s="593" customFormat="1" x14ac:dyDescent="0.2">
      <c r="C606" s="1636"/>
      <c r="E606" s="1638"/>
      <c r="N606" s="1636"/>
    </row>
    <row r="607" spans="3:14" s="593" customFormat="1" x14ac:dyDescent="0.2">
      <c r="C607" s="1636"/>
      <c r="E607" s="1638"/>
      <c r="N607" s="1636"/>
    </row>
    <row r="608" spans="3:14" s="593" customFormat="1" x14ac:dyDescent="0.2">
      <c r="C608" s="1636"/>
      <c r="E608" s="1638"/>
      <c r="N608" s="1636"/>
    </row>
    <row r="609" spans="3:14" s="593" customFormat="1" x14ac:dyDescent="0.2">
      <c r="C609" s="1636"/>
      <c r="E609" s="1638"/>
      <c r="N609" s="1636"/>
    </row>
    <row r="610" spans="3:14" s="593" customFormat="1" x14ac:dyDescent="0.2">
      <c r="C610" s="1636"/>
      <c r="E610" s="1638"/>
      <c r="N610" s="1636"/>
    </row>
    <row r="611" spans="3:14" s="593" customFormat="1" x14ac:dyDescent="0.2">
      <c r="C611" s="1636"/>
      <c r="E611" s="1638"/>
      <c r="N611" s="1636"/>
    </row>
    <row r="612" spans="3:14" s="593" customFormat="1" x14ac:dyDescent="0.2">
      <c r="C612" s="1636"/>
      <c r="E612" s="1638"/>
      <c r="N612" s="1636"/>
    </row>
    <row r="613" spans="3:14" s="593" customFormat="1" x14ac:dyDescent="0.2">
      <c r="C613" s="1636"/>
      <c r="E613" s="1638"/>
      <c r="N613" s="1636"/>
    </row>
    <row r="614" spans="3:14" s="593" customFormat="1" x14ac:dyDescent="0.2">
      <c r="C614" s="1636"/>
      <c r="E614" s="1638"/>
      <c r="N614" s="1636"/>
    </row>
    <row r="615" spans="3:14" s="593" customFormat="1" x14ac:dyDescent="0.2">
      <c r="C615" s="1636"/>
      <c r="E615" s="1638"/>
      <c r="N615" s="1636"/>
    </row>
    <row r="616" spans="3:14" s="593" customFormat="1" x14ac:dyDescent="0.2">
      <c r="C616" s="1636"/>
      <c r="E616" s="1638"/>
      <c r="N616" s="1636"/>
    </row>
    <row r="617" spans="3:14" s="593" customFormat="1" x14ac:dyDescent="0.2">
      <c r="C617" s="1636"/>
      <c r="E617" s="1638"/>
      <c r="N617" s="1636"/>
    </row>
    <row r="618" spans="3:14" s="593" customFormat="1" x14ac:dyDescent="0.2">
      <c r="C618" s="1636"/>
      <c r="E618" s="1638"/>
      <c r="N618" s="1636"/>
    </row>
    <row r="619" spans="3:14" s="593" customFormat="1" x14ac:dyDescent="0.2">
      <c r="C619" s="1636"/>
      <c r="E619" s="1638"/>
      <c r="N619" s="1636"/>
    </row>
    <row r="620" spans="3:14" s="593" customFormat="1" x14ac:dyDescent="0.2">
      <c r="C620" s="1636"/>
      <c r="E620" s="1638"/>
      <c r="N620" s="1636"/>
    </row>
    <row r="621" spans="3:14" s="593" customFormat="1" x14ac:dyDescent="0.2">
      <c r="C621" s="1636"/>
      <c r="E621" s="1638"/>
      <c r="N621" s="1636"/>
    </row>
    <row r="622" spans="3:14" s="593" customFormat="1" x14ac:dyDescent="0.2">
      <c r="C622" s="1636"/>
      <c r="E622" s="1638"/>
      <c r="N622" s="1636"/>
    </row>
    <row r="623" spans="3:14" s="593" customFormat="1" x14ac:dyDescent="0.2">
      <c r="C623" s="1636"/>
      <c r="E623" s="1638"/>
      <c r="N623" s="1636"/>
    </row>
    <row r="624" spans="3:14" s="593" customFormat="1" x14ac:dyDescent="0.2">
      <c r="C624" s="1636"/>
      <c r="E624" s="1638"/>
      <c r="N624" s="1636"/>
    </row>
    <row r="625" spans="3:14" s="593" customFormat="1" x14ac:dyDescent="0.2">
      <c r="C625" s="1636"/>
      <c r="E625" s="1638"/>
      <c r="N625" s="1636"/>
    </row>
    <row r="626" spans="3:14" s="593" customFormat="1" x14ac:dyDescent="0.2">
      <c r="C626" s="1636"/>
      <c r="E626" s="1638"/>
      <c r="N626" s="1636"/>
    </row>
    <row r="627" spans="3:14" s="593" customFormat="1" x14ac:dyDescent="0.2">
      <c r="C627" s="1636"/>
      <c r="E627" s="1638"/>
      <c r="N627" s="1636"/>
    </row>
    <row r="628" spans="3:14" s="593" customFormat="1" x14ac:dyDescent="0.2">
      <c r="C628" s="1636"/>
      <c r="E628" s="1638"/>
      <c r="N628" s="1636"/>
    </row>
    <row r="629" spans="3:14" s="593" customFormat="1" x14ac:dyDescent="0.2">
      <c r="C629" s="1636"/>
      <c r="E629" s="1638"/>
      <c r="N629" s="1636"/>
    </row>
    <row r="630" spans="3:14" s="593" customFormat="1" x14ac:dyDescent="0.2">
      <c r="C630" s="1636"/>
      <c r="E630" s="1638"/>
      <c r="N630" s="1636"/>
    </row>
    <row r="631" spans="3:14" s="593" customFormat="1" x14ac:dyDescent="0.2">
      <c r="C631" s="1636"/>
      <c r="E631" s="1638"/>
      <c r="N631" s="1636"/>
    </row>
    <row r="632" spans="3:14" s="593" customFormat="1" x14ac:dyDescent="0.2">
      <c r="C632" s="1636"/>
      <c r="E632" s="1638"/>
      <c r="N632" s="1636"/>
    </row>
    <row r="633" spans="3:14" s="593" customFormat="1" x14ac:dyDescent="0.2">
      <c r="C633" s="1636"/>
      <c r="E633" s="1638"/>
      <c r="N633" s="1636"/>
    </row>
    <row r="634" spans="3:14" s="593" customFormat="1" x14ac:dyDescent="0.2">
      <c r="C634" s="1636"/>
      <c r="E634" s="1638"/>
      <c r="N634" s="1636"/>
    </row>
    <row r="635" spans="3:14" s="593" customFormat="1" x14ac:dyDescent="0.2">
      <c r="C635" s="1636"/>
      <c r="E635" s="1638"/>
      <c r="N635" s="1636"/>
    </row>
    <row r="636" spans="3:14" s="593" customFormat="1" x14ac:dyDescent="0.2">
      <c r="C636" s="1636"/>
      <c r="E636" s="1638"/>
      <c r="N636" s="1636"/>
    </row>
    <row r="637" spans="3:14" s="593" customFormat="1" x14ac:dyDescent="0.2">
      <c r="C637" s="1636"/>
      <c r="E637" s="1638"/>
      <c r="N637" s="1636"/>
    </row>
    <row r="638" spans="3:14" s="593" customFormat="1" x14ac:dyDescent="0.2">
      <c r="C638" s="1636"/>
      <c r="E638" s="1638"/>
      <c r="N638" s="1636"/>
    </row>
    <row r="639" spans="3:14" s="593" customFormat="1" x14ac:dyDescent="0.2">
      <c r="C639" s="1636"/>
      <c r="E639" s="1638"/>
      <c r="N639" s="1636"/>
    </row>
    <row r="640" spans="3:14" s="593" customFormat="1" x14ac:dyDescent="0.2">
      <c r="C640" s="1636"/>
      <c r="E640" s="1638"/>
      <c r="N640" s="1636"/>
    </row>
    <row r="641" spans="3:14" s="593" customFormat="1" x14ac:dyDescent="0.2">
      <c r="C641" s="1636"/>
      <c r="E641" s="1638"/>
      <c r="N641" s="1636"/>
    </row>
    <row r="642" spans="3:14" s="593" customFormat="1" x14ac:dyDescent="0.2">
      <c r="C642" s="1636"/>
      <c r="E642" s="1638"/>
      <c r="N642" s="1636"/>
    </row>
    <row r="643" spans="3:14" s="593" customFormat="1" x14ac:dyDescent="0.2">
      <c r="C643" s="1636"/>
      <c r="E643" s="1638"/>
      <c r="N643" s="1636"/>
    </row>
    <row r="644" spans="3:14" s="593" customFormat="1" x14ac:dyDescent="0.2">
      <c r="C644" s="1636"/>
      <c r="E644" s="1638"/>
      <c r="N644" s="1636"/>
    </row>
    <row r="645" spans="3:14" s="593" customFormat="1" x14ac:dyDescent="0.2">
      <c r="C645" s="1636"/>
      <c r="E645" s="1638"/>
      <c r="N645" s="1636"/>
    </row>
    <row r="646" spans="3:14" s="593" customFormat="1" x14ac:dyDescent="0.2">
      <c r="C646" s="1636"/>
      <c r="E646" s="1638"/>
      <c r="N646" s="1636"/>
    </row>
    <row r="647" spans="3:14" s="593" customFormat="1" x14ac:dyDescent="0.2">
      <c r="C647" s="1636"/>
      <c r="E647" s="1638"/>
      <c r="N647" s="1636"/>
    </row>
    <row r="648" spans="3:14" s="593" customFormat="1" x14ac:dyDescent="0.2">
      <c r="C648" s="1636"/>
      <c r="E648" s="1638"/>
      <c r="N648" s="1636"/>
    </row>
    <row r="649" spans="3:14" s="593" customFormat="1" x14ac:dyDescent="0.2">
      <c r="C649" s="1636"/>
      <c r="E649" s="1638"/>
      <c r="N649" s="1636"/>
    </row>
    <row r="650" spans="3:14" s="593" customFormat="1" x14ac:dyDescent="0.2">
      <c r="C650" s="1636"/>
      <c r="E650" s="1638"/>
      <c r="N650" s="1636"/>
    </row>
    <row r="651" spans="3:14" s="593" customFormat="1" x14ac:dyDescent="0.2">
      <c r="C651" s="1636"/>
      <c r="E651" s="1638"/>
      <c r="N651" s="1636"/>
    </row>
    <row r="652" spans="3:14" s="593" customFormat="1" x14ac:dyDescent="0.2">
      <c r="C652" s="1636"/>
      <c r="E652" s="1638"/>
      <c r="N652" s="1636"/>
    </row>
    <row r="653" spans="3:14" s="593" customFormat="1" x14ac:dyDescent="0.2">
      <c r="C653" s="1636"/>
      <c r="E653" s="1638"/>
      <c r="N653" s="1636"/>
    </row>
    <row r="654" spans="3:14" s="593" customFormat="1" x14ac:dyDescent="0.2">
      <c r="C654" s="1636"/>
      <c r="E654" s="1638"/>
      <c r="N654" s="1636"/>
    </row>
    <row r="655" spans="3:14" s="593" customFormat="1" x14ac:dyDescent="0.2">
      <c r="C655" s="1636"/>
      <c r="E655" s="1638"/>
      <c r="N655" s="1636"/>
    </row>
    <row r="656" spans="3:14" s="593" customFormat="1" x14ac:dyDescent="0.2">
      <c r="C656" s="1636"/>
      <c r="E656" s="1638"/>
      <c r="N656" s="1636"/>
    </row>
    <row r="657" spans="3:14" s="593" customFormat="1" x14ac:dyDescent="0.2">
      <c r="C657" s="1636"/>
      <c r="E657" s="1638"/>
      <c r="N657" s="1636"/>
    </row>
    <row r="658" spans="3:14" s="593" customFormat="1" x14ac:dyDescent="0.2">
      <c r="C658" s="1636"/>
      <c r="E658" s="1638"/>
      <c r="N658" s="1636"/>
    </row>
    <row r="659" spans="3:14" s="593" customFormat="1" x14ac:dyDescent="0.2">
      <c r="C659" s="1636"/>
      <c r="E659" s="1638"/>
      <c r="N659" s="1636"/>
    </row>
    <row r="660" spans="3:14" s="593" customFormat="1" x14ac:dyDescent="0.2">
      <c r="C660" s="1636"/>
      <c r="E660" s="1638"/>
      <c r="N660" s="1636"/>
    </row>
    <row r="661" spans="3:14" s="593" customFormat="1" x14ac:dyDescent="0.2">
      <c r="C661" s="1636"/>
      <c r="E661" s="1638"/>
      <c r="N661" s="1636"/>
    </row>
    <row r="662" spans="3:14" s="593" customFormat="1" x14ac:dyDescent="0.2">
      <c r="C662" s="1636"/>
      <c r="E662" s="1638"/>
      <c r="N662" s="1636"/>
    </row>
    <row r="663" spans="3:14" s="593" customFormat="1" x14ac:dyDescent="0.2">
      <c r="C663" s="1636"/>
      <c r="E663" s="1638"/>
      <c r="N663" s="1636"/>
    </row>
    <row r="664" spans="3:14" s="593" customFormat="1" x14ac:dyDescent="0.2">
      <c r="C664" s="1636"/>
      <c r="E664" s="1638"/>
      <c r="N664" s="1636"/>
    </row>
    <row r="665" spans="3:14" s="593" customFormat="1" x14ac:dyDescent="0.2">
      <c r="C665" s="1636"/>
      <c r="E665" s="1638"/>
      <c r="N665" s="1636"/>
    </row>
    <row r="666" spans="3:14" s="593" customFormat="1" x14ac:dyDescent="0.2">
      <c r="C666" s="1636"/>
      <c r="E666" s="1638"/>
      <c r="N666" s="1636"/>
    </row>
    <row r="667" spans="3:14" s="593" customFormat="1" x14ac:dyDescent="0.2">
      <c r="C667" s="1636"/>
      <c r="E667" s="1638"/>
      <c r="N667" s="1636"/>
    </row>
    <row r="668" spans="3:14" s="593" customFormat="1" x14ac:dyDescent="0.2">
      <c r="C668" s="1636"/>
      <c r="E668" s="1638"/>
      <c r="N668" s="1636"/>
    </row>
    <row r="669" spans="3:14" s="593" customFormat="1" x14ac:dyDescent="0.2">
      <c r="C669" s="1636"/>
      <c r="E669" s="1638"/>
      <c r="N669" s="1636"/>
    </row>
    <row r="670" spans="3:14" s="593" customFormat="1" x14ac:dyDescent="0.2">
      <c r="C670" s="1636"/>
      <c r="E670" s="1638"/>
      <c r="N670" s="1636"/>
    </row>
    <row r="671" spans="3:14" s="593" customFormat="1" x14ac:dyDescent="0.2">
      <c r="C671" s="1636"/>
      <c r="E671" s="1638"/>
      <c r="N671" s="1636"/>
    </row>
    <row r="672" spans="3:14" s="593" customFormat="1" x14ac:dyDescent="0.2">
      <c r="C672" s="1636"/>
      <c r="E672" s="1638"/>
      <c r="N672" s="1636"/>
    </row>
    <row r="673" spans="3:14" s="593" customFormat="1" x14ac:dyDescent="0.2">
      <c r="C673" s="1636"/>
      <c r="E673" s="1638"/>
      <c r="N673" s="1636"/>
    </row>
    <row r="674" spans="3:14" s="593" customFormat="1" x14ac:dyDescent="0.2">
      <c r="C674" s="1636"/>
      <c r="E674" s="1638"/>
      <c r="N674" s="1636"/>
    </row>
    <row r="675" spans="3:14" s="593" customFormat="1" x14ac:dyDescent="0.2">
      <c r="C675" s="1636"/>
      <c r="E675" s="1638"/>
      <c r="N675" s="1636"/>
    </row>
    <row r="676" spans="3:14" s="593" customFormat="1" x14ac:dyDescent="0.2">
      <c r="C676" s="1636"/>
      <c r="E676" s="1638"/>
      <c r="N676" s="1636"/>
    </row>
    <row r="677" spans="3:14" s="593" customFormat="1" x14ac:dyDescent="0.2">
      <c r="C677" s="1636"/>
      <c r="E677" s="1638"/>
      <c r="N677" s="1636"/>
    </row>
    <row r="678" spans="3:14" s="593" customFormat="1" x14ac:dyDescent="0.2">
      <c r="C678" s="1636"/>
      <c r="E678" s="1638"/>
      <c r="N678" s="1636"/>
    </row>
    <row r="679" spans="3:14" s="593" customFormat="1" x14ac:dyDescent="0.2">
      <c r="C679" s="1636"/>
      <c r="E679" s="1638"/>
      <c r="N679" s="1636"/>
    </row>
    <row r="680" spans="3:14" s="593" customFormat="1" x14ac:dyDescent="0.2">
      <c r="C680" s="1636"/>
      <c r="E680" s="1638"/>
      <c r="N680" s="1636"/>
    </row>
    <row r="681" spans="3:14" s="593" customFormat="1" x14ac:dyDescent="0.2">
      <c r="C681" s="1636"/>
      <c r="E681" s="1638"/>
      <c r="N681" s="1636"/>
    </row>
    <row r="682" spans="3:14" s="593" customFormat="1" x14ac:dyDescent="0.2">
      <c r="C682" s="1636"/>
      <c r="E682" s="1638"/>
      <c r="N682" s="1636"/>
    </row>
    <row r="683" spans="3:14" s="593" customFormat="1" x14ac:dyDescent="0.2">
      <c r="C683" s="1636"/>
      <c r="E683" s="1638"/>
      <c r="N683" s="1636"/>
    </row>
    <row r="684" spans="3:14" s="593" customFormat="1" x14ac:dyDescent="0.2">
      <c r="C684" s="1636"/>
      <c r="E684" s="1638"/>
      <c r="N684" s="1636"/>
    </row>
    <row r="685" spans="3:14" s="593" customFormat="1" x14ac:dyDescent="0.2">
      <c r="C685" s="1636"/>
      <c r="E685" s="1638"/>
      <c r="N685" s="1636"/>
    </row>
    <row r="686" spans="3:14" s="593" customFormat="1" x14ac:dyDescent="0.2">
      <c r="C686" s="1636"/>
      <c r="E686" s="1638"/>
      <c r="N686" s="1636"/>
    </row>
    <row r="687" spans="3:14" s="593" customFormat="1" x14ac:dyDescent="0.2">
      <c r="C687" s="1636"/>
      <c r="E687" s="1638"/>
      <c r="N687" s="1636"/>
    </row>
    <row r="688" spans="3:14" s="593" customFormat="1" x14ac:dyDescent="0.2">
      <c r="C688" s="1636"/>
      <c r="E688" s="1638"/>
      <c r="N688" s="1636"/>
    </row>
    <row r="689" spans="3:14" s="593" customFormat="1" x14ac:dyDescent="0.2">
      <c r="C689" s="1636"/>
      <c r="E689" s="1638"/>
      <c r="N689" s="1636"/>
    </row>
    <row r="690" spans="3:14" s="593" customFormat="1" x14ac:dyDescent="0.2">
      <c r="C690" s="1636"/>
      <c r="E690" s="1638"/>
      <c r="N690" s="1636"/>
    </row>
    <row r="691" spans="3:14" s="593" customFormat="1" x14ac:dyDescent="0.2">
      <c r="C691" s="1636"/>
      <c r="E691" s="1638"/>
      <c r="N691" s="1636"/>
    </row>
    <row r="692" spans="3:14" s="593" customFormat="1" x14ac:dyDescent="0.2">
      <c r="C692" s="1636"/>
      <c r="E692" s="1638"/>
      <c r="N692" s="1636"/>
    </row>
    <row r="693" spans="3:14" s="593" customFormat="1" x14ac:dyDescent="0.2">
      <c r="C693" s="1636"/>
      <c r="E693" s="1638"/>
      <c r="N693" s="1636"/>
    </row>
    <row r="694" spans="3:14" s="593" customFormat="1" x14ac:dyDescent="0.2">
      <c r="C694" s="1636"/>
      <c r="E694" s="1638"/>
      <c r="N694" s="1636"/>
    </row>
    <row r="695" spans="3:14" s="593" customFormat="1" x14ac:dyDescent="0.2">
      <c r="C695" s="1636"/>
      <c r="E695" s="1638"/>
      <c r="N695" s="1636"/>
    </row>
    <row r="696" spans="3:14" s="593" customFormat="1" x14ac:dyDescent="0.2">
      <c r="C696" s="1636"/>
      <c r="E696" s="1638"/>
      <c r="N696" s="1636"/>
    </row>
    <row r="697" spans="3:14" s="593" customFormat="1" x14ac:dyDescent="0.2">
      <c r="C697" s="1636"/>
      <c r="E697" s="1638"/>
      <c r="N697" s="1636"/>
    </row>
    <row r="698" spans="3:14" s="593" customFormat="1" x14ac:dyDescent="0.2">
      <c r="C698" s="1636"/>
      <c r="E698" s="1638"/>
      <c r="N698" s="1636"/>
    </row>
    <row r="699" spans="3:14" s="593" customFormat="1" x14ac:dyDescent="0.2">
      <c r="C699" s="1636"/>
      <c r="E699" s="1638"/>
      <c r="N699" s="1636"/>
    </row>
    <row r="700" spans="3:14" s="593" customFormat="1" x14ac:dyDescent="0.2">
      <c r="C700" s="1636"/>
      <c r="E700" s="1638"/>
      <c r="N700" s="1636"/>
    </row>
    <row r="701" spans="3:14" s="593" customFormat="1" x14ac:dyDescent="0.2">
      <c r="C701" s="1636"/>
      <c r="E701" s="1638"/>
      <c r="N701" s="1636"/>
    </row>
    <row r="702" spans="3:14" s="593" customFormat="1" x14ac:dyDescent="0.2">
      <c r="C702" s="1636"/>
      <c r="E702" s="1638"/>
      <c r="N702" s="1636"/>
    </row>
    <row r="703" spans="3:14" s="593" customFormat="1" x14ac:dyDescent="0.2">
      <c r="C703" s="1636"/>
      <c r="E703" s="1638"/>
      <c r="N703" s="1636"/>
    </row>
    <row r="704" spans="3:14" s="593" customFormat="1" x14ac:dyDescent="0.2">
      <c r="C704" s="1636"/>
      <c r="E704" s="1638"/>
      <c r="N704" s="1636"/>
    </row>
    <row r="705" spans="3:14" s="593" customFormat="1" x14ac:dyDescent="0.2">
      <c r="C705" s="1636"/>
      <c r="E705" s="1638"/>
      <c r="N705" s="1636"/>
    </row>
    <row r="706" spans="3:14" s="593" customFormat="1" x14ac:dyDescent="0.2">
      <c r="C706" s="1636"/>
      <c r="E706" s="1638"/>
      <c r="N706" s="1636"/>
    </row>
    <row r="707" spans="3:14" s="593" customFormat="1" x14ac:dyDescent="0.2">
      <c r="C707" s="1636"/>
      <c r="E707" s="1638"/>
      <c r="N707" s="1636"/>
    </row>
    <row r="708" spans="3:14" s="593" customFormat="1" x14ac:dyDescent="0.2">
      <c r="C708" s="1636"/>
      <c r="E708" s="1638"/>
      <c r="N708" s="1636"/>
    </row>
    <row r="709" spans="3:14" s="593" customFormat="1" x14ac:dyDescent="0.2">
      <c r="C709" s="1636"/>
      <c r="E709" s="1638"/>
      <c r="N709" s="1636"/>
    </row>
    <row r="710" spans="3:14" s="593" customFormat="1" x14ac:dyDescent="0.2">
      <c r="C710" s="1636"/>
      <c r="E710" s="1638"/>
      <c r="N710" s="1636"/>
    </row>
    <row r="711" spans="3:14" s="593" customFormat="1" x14ac:dyDescent="0.2">
      <c r="C711" s="1636"/>
      <c r="E711" s="1638"/>
      <c r="N711" s="1636"/>
    </row>
    <row r="712" spans="3:14" s="593" customFormat="1" x14ac:dyDescent="0.2">
      <c r="C712" s="1636"/>
      <c r="E712" s="1638"/>
      <c r="N712" s="1636"/>
    </row>
    <row r="713" spans="3:14" s="593" customFormat="1" x14ac:dyDescent="0.2">
      <c r="C713" s="1636"/>
      <c r="E713" s="1638"/>
      <c r="N713" s="1636"/>
    </row>
    <row r="714" spans="3:14" s="593" customFormat="1" x14ac:dyDescent="0.2">
      <c r="C714" s="1636"/>
      <c r="E714" s="1638"/>
      <c r="N714" s="1636"/>
    </row>
    <row r="715" spans="3:14" s="593" customFormat="1" x14ac:dyDescent="0.2">
      <c r="C715" s="1636"/>
      <c r="E715" s="1638"/>
      <c r="N715" s="1636"/>
    </row>
    <row r="716" spans="3:14" s="593" customFormat="1" x14ac:dyDescent="0.2">
      <c r="C716" s="1636"/>
      <c r="E716" s="1638"/>
      <c r="N716" s="1636"/>
    </row>
    <row r="717" spans="3:14" s="593" customFormat="1" x14ac:dyDescent="0.2">
      <c r="C717" s="1636"/>
      <c r="E717" s="1638"/>
      <c r="N717" s="1636"/>
    </row>
    <row r="718" spans="3:14" s="593" customFormat="1" x14ac:dyDescent="0.2">
      <c r="C718" s="1636"/>
      <c r="E718" s="1638"/>
      <c r="N718" s="1636"/>
    </row>
    <row r="719" spans="3:14" s="593" customFormat="1" x14ac:dyDescent="0.2">
      <c r="C719" s="1636"/>
      <c r="E719" s="1638"/>
      <c r="N719" s="1636"/>
    </row>
    <row r="720" spans="3:14" s="593" customFormat="1" x14ac:dyDescent="0.2">
      <c r="C720" s="1636"/>
      <c r="E720" s="1638"/>
      <c r="N720" s="1636"/>
    </row>
    <row r="721" spans="3:14" s="593" customFormat="1" x14ac:dyDescent="0.2">
      <c r="C721" s="1636"/>
      <c r="E721" s="1638"/>
      <c r="N721" s="1636"/>
    </row>
    <row r="722" spans="3:14" s="593" customFormat="1" x14ac:dyDescent="0.2">
      <c r="C722" s="1636"/>
      <c r="E722" s="1638"/>
      <c r="N722" s="1636"/>
    </row>
    <row r="723" spans="3:14" s="593" customFormat="1" x14ac:dyDescent="0.2">
      <c r="C723" s="1636"/>
      <c r="E723" s="1638"/>
      <c r="N723" s="1636"/>
    </row>
    <row r="724" spans="3:14" s="593" customFormat="1" x14ac:dyDescent="0.2">
      <c r="C724" s="1636"/>
      <c r="E724" s="1638"/>
      <c r="N724" s="1636"/>
    </row>
    <row r="725" spans="3:14" s="593" customFormat="1" x14ac:dyDescent="0.2">
      <c r="C725" s="1636"/>
      <c r="E725" s="1638"/>
      <c r="N725" s="1636"/>
    </row>
    <row r="726" spans="3:14" s="593" customFormat="1" x14ac:dyDescent="0.2">
      <c r="C726" s="1636"/>
      <c r="E726" s="1638"/>
      <c r="N726" s="1636"/>
    </row>
    <row r="727" spans="3:14" s="593" customFormat="1" x14ac:dyDescent="0.2">
      <c r="C727" s="1636"/>
      <c r="E727" s="1638"/>
      <c r="N727" s="1636"/>
    </row>
    <row r="728" spans="3:14" s="593" customFormat="1" x14ac:dyDescent="0.2">
      <c r="C728" s="1636"/>
      <c r="E728" s="1638"/>
      <c r="N728" s="1636"/>
    </row>
    <row r="729" spans="3:14" s="593" customFormat="1" x14ac:dyDescent="0.2">
      <c r="C729" s="1636"/>
      <c r="E729" s="1638"/>
      <c r="N729" s="1636"/>
    </row>
    <row r="730" spans="3:14" s="593" customFormat="1" x14ac:dyDescent="0.2">
      <c r="C730" s="1636"/>
      <c r="E730" s="1638"/>
      <c r="N730" s="1636"/>
    </row>
    <row r="731" spans="3:14" s="593" customFormat="1" x14ac:dyDescent="0.2">
      <c r="C731" s="1636"/>
      <c r="E731" s="1638"/>
      <c r="N731" s="1636"/>
    </row>
    <row r="732" spans="3:14" s="593" customFormat="1" x14ac:dyDescent="0.2">
      <c r="C732" s="1636"/>
      <c r="E732" s="1638"/>
      <c r="N732" s="1636"/>
    </row>
    <row r="733" spans="3:14" s="593" customFormat="1" x14ac:dyDescent="0.2">
      <c r="C733" s="1636"/>
      <c r="E733" s="1638"/>
      <c r="N733" s="1636"/>
    </row>
    <row r="734" spans="3:14" s="593" customFormat="1" x14ac:dyDescent="0.2">
      <c r="C734" s="1636"/>
      <c r="E734" s="1638"/>
      <c r="N734" s="1636"/>
    </row>
    <row r="735" spans="3:14" s="593" customFormat="1" x14ac:dyDescent="0.2">
      <c r="C735" s="1636"/>
      <c r="E735" s="1638"/>
      <c r="N735" s="1636"/>
    </row>
    <row r="736" spans="3:14" s="593" customFormat="1" x14ac:dyDescent="0.2">
      <c r="C736" s="1636"/>
      <c r="E736" s="1638"/>
      <c r="N736" s="1636"/>
    </row>
    <row r="737" spans="3:14" s="593" customFormat="1" x14ac:dyDescent="0.2">
      <c r="C737" s="1636"/>
      <c r="E737" s="1638"/>
      <c r="N737" s="1636"/>
    </row>
    <row r="738" spans="3:14" s="593" customFormat="1" x14ac:dyDescent="0.2">
      <c r="C738" s="1636"/>
      <c r="E738" s="1638"/>
      <c r="N738" s="1636"/>
    </row>
    <row r="739" spans="3:14" s="593" customFormat="1" x14ac:dyDescent="0.2">
      <c r="C739" s="1636"/>
      <c r="E739" s="1638"/>
      <c r="N739" s="1636"/>
    </row>
    <row r="740" spans="3:14" s="593" customFormat="1" x14ac:dyDescent="0.2">
      <c r="C740" s="1636"/>
      <c r="E740" s="1638"/>
      <c r="N740" s="1636"/>
    </row>
    <row r="741" spans="3:14" s="593" customFormat="1" x14ac:dyDescent="0.2">
      <c r="C741" s="1636"/>
      <c r="E741" s="1638"/>
      <c r="N741" s="1636"/>
    </row>
    <row r="742" spans="3:14" s="593" customFormat="1" x14ac:dyDescent="0.2">
      <c r="C742" s="1636"/>
      <c r="E742" s="1638"/>
      <c r="N742" s="1636"/>
    </row>
    <row r="743" spans="3:14" s="593" customFormat="1" x14ac:dyDescent="0.2">
      <c r="C743" s="1636"/>
      <c r="E743" s="1638"/>
      <c r="N743" s="1636"/>
    </row>
    <row r="744" spans="3:14" s="593" customFormat="1" x14ac:dyDescent="0.2">
      <c r="C744" s="1636"/>
      <c r="E744" s="1638"/>
      <c r="N744" s="1636"/>
    </row>
    <row r="745" spans="3:14" s="593" customFormat="1" x14ac:dyDescent="0.2">
      <c r="C745" s="1636"/>
      <c r="E745" s="1638"/>
      <c r="N745" s="1636"/>
    </row>
    <row r="746" spans="3:14" s="593" customFormat="1" x14ac:dyDescent="0.2">
      <c r="C746" s="1636"/>
      <c r="E746" s="1638"/>
      <c r="N746" s="1636"/>
    </row>
    <row r="747" spans="3:14" s="593" customFormat="1" x14ac:dyDescent="0.2">
      <c r="C747" s="1636"/>
      <c r="E747" s="1638"/>
      <c r="N747" s="1636"/>
    </row>
    <row r="748" spans="3:14" s="593" customFormat="1" x14ac:dyDescent="0.2">
      <c r="C748" s="1636"/>
      <c r="E748" s="1638"/>
      <c r="N748" s="1636"/>
    </row>
    <row r="749" spans="3:14" s="593" customFormat="1" x14ac:dyDescent="0.2">
      <c r="C749" s="1636"/>
      <c r="E749" s="1638"/>
      <c r="N749" s="1636"/>
    </row>
    <row r="750" spans="3:14" s="593" customFormat="1" x14ac:dyDescent="0.2">
      <c r="C750" s="1636"/>
      <c r="E750" s="1638"/>
      <c r="N750" s="1636"/>
    </row>
    <row r="751" spans="3:14" s="593" customFormat="1" x14ac:dyDescent="0.2">
      <c r="C751" s="1636"/>
      <c r="E751" s="1638"/>
      <c r="N751" s="1636"/>
    </row>
    <row r="752" spans="3:14" s="593" customFormat="1" x14ac:dyDescent="0.2">
      <c r="C752" s="1636"/>
      <c r="E752" s="1638"/>
      <c r="N752" s="1636"/>
    </row>
    <row r="753" spans="3:14" s="593" customFormat="1" x14ac:dyDescent="0.2">
      <c r="C753" s="1636"/>
      <c r="E753" s="1638"/>
      <c r="N753" s="1636"/>
    </row>
    <row r="754" spans="3:14" s="593" customFormat="1" x14ac:dyDescent="0.2">
      <c r="C754" s="1636"/>
      <c r="E754" s="1638"/>
      <c r="N754" s="1636"/>
    </row>
    <row r="755" spans="3:14" s="593" customFormat="1" x14ac:dyDescent="0.2">
      <c r="C755" s="1636"/>
      <c r="E755" s="1638"/>
      <c r="N755" s="1636"/>
    </row>
    <row r="756" spans="3:14" s="593" customFormat="1" x14ac:dyDescent="0.2">
      <c r="C756" s="1636"/>
      <c r="E756" s="1638"/>
      <c r="N756" s="1636"/>
    </row>
    <row r="757" spans="3:14" s="593" customFormat="1" x14ac:dyDescent="0.2">
      <c r="C757" s="1636"/>
      <c r="E757" s="1638"/>
      <c r="N757" s="1636"/>
    </row>
    <row r="758" spans="3:14" s="593" customFormat="1" x14ac:dyDescent="0.2">
      <c r="C758" s="1636"/>
      <c r="E758" s="1638"/>
      <c r="N758" s="1636"/>
    </row>
    <row r="759" spans="3:14" s="593" customFormat="1" x14ac:dyDescent="0.2">
      <c r="C759" s="1636"/>
      <c r="E759" s="1638"/>
      <c r="N759" s="1636"/>
    </row>
    <row r="760" spans="3:14" s="593" customFormat="1" x14ac:dyDescent="0.2">
      <c r="C760" s="1636"/>
      <c r="E760" s="1638"/>
      <c r="N760" s="1636"/>
    </row>
    <row r="761" spans="3:14" s="593" customFormat="1" x14ac:dyDescent="0.2">
      <c r="C761" s="1636"/>
      <c r="E761" s="1638"/>
      <c r="N761" s="1636"/>
    </row>
    <row r="762" spans="3:14" s="593" customFormat="1" x14ac:dyDescent="0.2">
      <c r="C762" s="1636"/>
      <c r="E762" s="1638"/>
      <c r="N762" s="1636"/>
    </row>
    <row r="763" spans="3:14" s="593" customFormat="1" x14ac:dyDescent="0.2">
      <c r="C763" s="1636"/>
      <c r="E763" s="1638"/>
      <c r="N763" s="1636"/>
    </row>
    <row r="764" spans="3:14" s="593" customFormat="1" x14ac:dyDescent="0.2">
      <c r="C764" s="1636"/>
      <c r="E764" s="1638"/>
      <c r="N764" s="1636"/>
    </row>
    <row r="765" spans="3:14" s="593" customFormat="1" x14ac:dyDescent="0.2">
      <c r="C765" s="1636"/>
      <c r="E765" s="1638"/>
      <c r="N765" s="1636"/>
    </row>
    <row r="766" spans="3:14" s="593" customFormat="1" x14ac:dyDescent="0.2">
      <c r="C766" s="1636"/>
      <c r="E766" s="1638"/>
      <c r="N766" s="1636"/>
    </row>
    <row r="767" spans="3:14" s="593" customFormat="1" x14ac:dyDescent="0.2">
      <c r="C767" s="1636"/>
      <c r="E767" s="1638"/>
      <c r="N767" s="1636"/>
    </row>
    <row r="768" spans="3:14" s="593" customFormat="1" x14ac:dyDescent="0.2">
      <c r="C768" s="1636"/>
      <c r="E768" s="1638"/>
      <c r="N768" s="1636"/>
    </row>
    <row r="769" spans="3:14" s="593" customFormat="1" x14ac:dyDescent="0.2">
      <c r="C769" s="1636"/>
      <c r="E769" s="1638"/>
      <c r="N769" s="1636"/>
    </row>
    <row r="770" spans="3:14" s="593" customFormat="1" x14ac:dyDescent="0.2">
      <c r="C770" s="1636"/>
      <c r="E770" s="1638"/>
      <c r="N770" s="1636"/>
    </row>
    <row r="771" spans="3:14" s="593" customFormat="1" x14ac:dyDescent="0.2">
      <c r="C771" s="1636"/>
      <c r="E771" s="1638"/>
      <c r="N771" s="1636"/>
    </row>
    <row r="772" spans="3:14" s="593" customFormat="1" x14ac:dyDescent="0.2">
      <c r="C772" s="1636"/>
      <c r="E772" s="1638"/>
      <c r="N772" s="1636"/>
    </row>
    <row r="773" spans="3:14" s="593" customFormat="1" x14ac:dyDescent="0.2">
      <c r="C773" s="1636"/>
      <c r="E773" s="1638"/>
      <c r="N773" s="1636"/>
    </row>
    <row r="774" spans="3:14" s="593" customFormat="1" x14ac:dyDescent="0.2">
      <c r="C774" s="1636"/>
      <c r="E774" s="1638"/>
      <c r="N774" s="1636"/>
    </row>
    <row r="775" spans="3:14" s="593" customFormat="1" x14ac:dyDescent="0.2">
      <c r="C775" s="1636"/>
      <c r="E775" s="1638"/>
      <c r="N775" s="1636"/>
    </row>
    <row r="776" spans="3:14" s="593" customFormat="1" x14ac:dyDescent="0.2">
      <c r="C776" s="1636"/>
      <c r="E776" s="1638"/>
      <c r="N776" s="1636"/>
    </row>
    <row r="777" spans="3:14" s="593" customFormat="1" x14ac:dyDescent="0.2">
      <c r="C777" s="1636"/>
      <c r="E777" s="1638"/>
      <c r="N777" s="1636"/>
    </row>
    <row r="778" spans="3:14" s="593" customFormat="1" x14ac:dyDescent="0.2">
      <c r="C778" s="1636"/>
      <c r="E778" s="1638"/>
      <c r="N778" s="1636"/>
    </row>
    <row r="779" spans="3:14" s="593" customFormat="1" x14ac:dyDescent="0.2">
      <c r="C779" s="1636"/>
      <c r="E779" s="1638"/>
      <c r="N779" s="1636"/>
    </row>
    <row r="780" spans="3:14" s="593" customFormat="1" x14ac:dyDescent="0.2">
      <c r="C780" s="1636"/>
      <c r="E780" s="1638"/>
      <c r="N780" s="1636"/>
    </row>
    <row r="781" spans="3:14" s="593" customFormat="1" x14ac:dyDescent="0.2">
      <c r="C781" s="1636"/>
      <c r="E781" s="1638"/>
      <c r="N781" s="1636"/>
    </row>
    <row r="782" spans="3:14" s="593" customFormat="1" x14ac:dyDescent="0.2">
      <c r="C782" s="1636"/>
      <c r="E782" s="1638"/>
      <c r="N782" s="1636"/>
    </row>
    <row r="783" spans="3:14" s="593" customFormat="1" x14ac:dyDescent="0.2">
      <c r="C783" s="1636"/>
      <c r="E783" s="1638"/>
      <c r="N783" s="1636"/>
    </row>
    <row r="784" spans="3:14" s="593" customFormat="1" x14ac:dyDescent="0.2">
      <c r="C784" s="1636"/>
      <c r="E784" s="1638"/>
      <c r="N784" s="1636"/>
    </row>
    <row r="785" spans="3:14" s="593" customFormat="1" x14ac:dyDescent="0.2">
      <c r="C785" s="1636"/>
      <c r="E785" s="1638"/>
      <c r="N785" s="1636"/>
    </row>
    <row r="786" spans="3:14" s="593" customFormat="1" x14ac:dyDescent="0.2">
      <c r="C786" s="1636"/>
      <c r="E786" s="1638"/>
      <c r="N786" s="1636"/>
    </row>
    <row r="787" spans="3:14" s="593" customFormat="1" x14ac:dyDescent="0.2">
      <c r="C787" s="1636"/>
      <c r="E787" s="1638"/>
      <c r="N787" s="1636"/>
    </row>
    <row r="788" spans="3:14" s="593" customFormat="1" x14ac:dyDescent="0.2">
      <c r="C788" s="1636"/>
      <c r="E788" s="1638"/>
      <c r="N788" s="1636"/>
    </row>
    <row r="789" spans="3:14" s="593" customFormat="1" x14ac:dyDescent="0.2">
      <c r="C789" s="1636"/>
      <c r="E789" s="1638"/>
      <c r="N789" s="1636"/>
    </row>
    <row r="790" spans="3:14" s="593" customFormat="1" x14ac:dyDescent="0.2">
      <c r="C790" s="1636"/>
      <c r="E790" s="1638"/>
      <c r="N790" s="1636"/>
    </row>
    <row r="791" spans="3:14" s="593" customFormat="1" x14ac:dyDescent="0.2">
      <c r="C791" s="1636"/>
      <c r="E791" s="1638"/>
      <c r="N791" s="1636"/>
    </row>
    <row r="792" spans="3:14" s="593" customFormat="1" x14ac:dyDescent="0.2">
      <c r="C792" s="1636"/>
      <c r="E792" s="1638"/>
      <c r="N792" s="1636"/>
    </row>
    <row r="793" spans="3:14" s="593" customFormat="1" x14ac:dyDescent="0.2">
      <c r="C793" s="1636"/>
      <c r="E793" s="1638"/>
      <c r="N793" s="1636"/>
    </row>
    <row r="794" spans="3:14" s="593" customFormat="1" x14ac:dyDescent="0.2">
      <c r="C794" s="1636"/>
      <c r="E794" s="1638"/>
      <c r="N794" s="1636"/>
    </row>
    <row r="795" spans="3:14" s="593" customFormat="1" x14ac:dyDescent="0.2">
      <c r="C795" s="1636"/>
      <c r="E795" s="1638"/>
      <c r="N795" s="1636"/>
    </row>
    <row r="796" spans="3:14" s="593" customFormat="1" x14ac:dyDescent="0.2">
      <c r="C796" s="1636"/>
      <c r="E796" s="1638"/>
      <c r="N796" s="1636"/>
    </row>
    <row r="797" spans="3:14" s="593" customFormat="1" x14ac:dyDescent="0.2">
      <c r="C797" s="1636"/>
      <c r="E797" s="1638"/>
      <c r="N797" s="1636"/>
    </row>
    <row r="798" spans="3:14" s="593" customFormat="1" x14ac:dyDescent="0.2">
      <c r="C798" s="1636"/>
      <c r="E798" s="1638"/>
      <c r="N798" s="1636"/>
    </row>
    <row r="799" spans="3:14" s="593" customFormat="1" x14ac:dyDescent="0.2">
      <c r="C799" s="1636"/>
      <c r="E799" s="1638"/>
      <c r="N799" s="1636"/>
    </row>
    <row r="800" spans="3:14" s="593" customFormat="1" x14ac:dyDescent="0.2">
      <c r="C800" s="1636"/>
      <c r="E800" s="1638"/>
      <c r="N800" s="1636"/>
    </row>
    <row r="801" spans="1:14" s="593" customFormat="1" x14ac:dyDescent="0.2">
      <c r="C801" s="1636"/>
      <c r="E801" s="1638"/>
      <c r="N801" s="1636"/>
    </row>
    <row r="802" spans="1:14" s="593" customFormat="1" x14ac:dyDescent="0.2">
      <c r="C802" s="1636"/>
      <c r="E802" s="1638"/>
      <c r="N802" s="1636"/>
    </row>
    <row r="803" spans="1:14" s="593" customFormat="1" x14ac:dyDescent="0.2">
      <c r="C803" s="1636"/>
      <c r="E803" s="1638"/>
      <c r="N803" s="1636"/>
    </row>
    <row r="804" spans="1:14" s="593" customFormat="1" x14ac:dyDescent="0.2">
      <c r="A804" s="1641"/>
      <c r="C804" s="1636"/>
      <c r="N804" s="1642"/>
    </row>
    <row r="805" spans="1:14" s="593" customFormat="1" x14ac:dyDescent="0.2">
      <c r="A805" s="1641"/>
      <c r="C805" s="1636"/>
      <c r="N805" s="1642"/>
    </row>
    <row r="806" spans="1:14" s="593" customFormat="1" x14ac:dyDescent="0.2">
      <c r="A806" s="1641"/>
      <c r="C806" s="1636"/>
      <c r="N806" s="1642"/>
    </row>
    <row r="807" spans="1:14" s="593" customFormat="1" x14ac:dyDescent="0.2">
      <c r="A807" s="1641"/>
      <c r="C807" s="1636"/>
      <c r="N807" s="1642"/>
    </row>
    <row r="808" spans="1:14" s="593" customFormat="1" x14ac:dyDescent="0.2">
      <c r="A808" s="1641"/>
      <c r="C808" s="1636"/>
      <c r="N808" s="1642"/>
    </row>
    <row r="809" spans="1:14" s="593" customFormat="1" x14ac:dyDescent="0.2">
      <c r="A809" s="1641"/>
      <c r="C809" s="1636"/>
      <c r="N809" s="1642"/>
    </row>
    <row r="810" spans="1:14" s="593" customFormat="1" x14ac:dyDescent="0.2">
      <c r="A810" s="1641"/>
      <c r="C810" s="1636"/>
      <c r="N810" s="1642"/>
    </row>
    <row r="811" spans="1:14" s="593" customFormat="1" x14ac:dyDescent="0.2">
      <c r="A811" s="1641"/>
      <c r="C811" s="1636"/>
      <c r="N811" s="1642"/>
    </row>
    <row r="812" spans="1:14" s="593" customFormat="1" x14ac:dyDescent="0.2">
      <c r="A812" s="1641"/>
      <c r="C812" s="1636"/>
      <c r="N812" s="1642"/>
    </row>
    <row r="813" spans="1:14" s="593" customFormat="1" x14ac:dyDescent="0.2">
      <c r="A813" s="1641"/>
      <c r="C813" s="1636"/>
      <c r="N813" s="1642"/>
    </row>
  </sheetData>
  <mergeCells count="79">
    <mergeCell ref="A133:A136"/>
    <mergeCell ref="N133:N136"/>
    <mergeCell ref="C135:C136"/>
    <mergeCell ref="M1:N1"/>
    <mergeCell ref="A129:A132"/>
    <mergeCell ref="N129:N132"/>
    <mergeCell ref="C131:C132"/>
    <mergeCell ref="A110:A112"/>
    <mergeCell ref="N110:N112"/>
    <mergeCell ref="C111:C112"/>
    <mergeCell ref="A125:A128"/>
    <mergeCell ref="N125:N128"/>
    <mergeCell ref="C127:C128"/>
    <mergeCell ref="A46:A56"/>
    <mergeCell ref="N46:N56"/>
    <mergeCell ref="C53:C56"/>
    <mergeCell ref="A57:A67"/>
    <mergeCell ref="N57:N67"/>
    <mergeCell ref="C59:C62"/>
    <mergeCell ref="C64:C67"/>
    <mergeCell ref="A35:A45"/>
    <mergeCell ref="N35:N45"/>
    <mergeCell ref="C37:C40"/>
    <mergeCell ref="C42:C45"/>
    <mergeCell ref="C48:C51"/>
    <mergeCell ref="A121:A124"/>
    <mergeCell ref="N121:N124"/>
    <mergeCell ref="C123:C124"/>
    <mergeCell ref="A4:N4"/>
    <mergeCell ref="A5:A8"/>
    <mergeCell ref="B5:B8"/>
    <mergeCell ref="C5:C8"/>
    <mergeCell ref="D5:H5"/>
    <mergeCell ref="D6:D8"/>
    <mergeCell ref="E6:E8"/>
    <mergeCell ref="F6:F8"/>
    <mergeCell ref="I6:I8"/>
    <mergeCell ref="K7:K8"/>
    <mergeCell ref="L7:L8"/>
    <mergeCell ref="G6:H6"/>
    <mergeCell ref="G7:G8"/>
    <mergeCell ref="A93:A101"/>
    <mergeCell ref="N93:N101"/>
    <mergeCell ref="C95:C98"/>
    <mergeCell ref="C100:C101"/>
    <mergeCell ref="A117:A120"/>
    <mergeCell ref="N117:N120"/>
    <mergeCell ref="C119:C120"/>
    <mergeCell ref="A113:A116"/>
    <mergeCell ref="N113:N116"/>
    <mergeCell ref="C115:C116"/>
    <mergeCell ref="A102:N105"/>
    <mergeCell ref="N82:N92"/>
    <mergeCell ref="C84:C87"/>
    <mergeCell ref="C89:C92"/>
    <mergeCell ref="A68:A74"/>
    <mergeCell ref="N68:N74"/>
    <mergeCell ref="C70:C71"/>
    <mergeCell ref="C73:C74"/>
    <mergeCell ref="A75:A81"/>
    <mergeCell ref="N75:N81"/>
    <mergeCell ref="C77:C78"/>
    <mergeCell ref="C80:C81"/>
    <mergeCell ref="A82:A92"/>
    <mergeCell ref="I5:M5"/>
    <mergeCell ref="N5:N8"/>
    <mergeCell ref="N13:N23"/>
    <mergeCell ref="A24:A34"/>
    <mergeCell ref="N24:N34"/>
    <mergeCell ref="C26:C29"/>
    <mergeCell ref="C31:C34"/>
    <mergeCell ref="H7:H8"/>
    <mergeCell ref="A13:A23"/>
    <mergeCell ref="C14:C18"/>
    <mergeCell ref="C20:C23"/>
    <mergeCell ref="M7:M8"/>
    <mergeCell ref="J6:J8"/>
    <mergeCell ref="K6:M6"/>
    <mergeCell ref="A9:B9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0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3" manualBreakCount="3">
    <brk id="45" max="13" man="1"/>
    <brk id="81" max="13" man="1"/>
    <brk id="120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X550"/>
  <sheetViews>
    <sheetView showGridLines="0" view="pageBreakPreview" zoomScaleNormal="100" zoomScaleSheetLayoutView="100" workbookViewId="0">
      <pane xSplit="4" ySplit="7" topLeftCell="E8" activePane="bottomRight" state="frozen"/>
      <selection activeCell="A5" sqref="A5:N5"/>
      <selection pane="topRight" activeCell="A5" sqref="A5:N5"/>
      <selection pane="bottomLeft" activeCell="A5" sqref="A5:N5"/>
      <selection pane="bottomRight" activeCell="A4" sqref="A4:N7"/>
    </sheetView>
  </sheetViews>
  <sheetFormatPr defaultRowHeight="11.25" x14ac:dyDescent="0.2"/>
  <cols>
    <col min="1" max="1" width="4.140625" style="177" customWidth="1"/>
    <col min="2" max="2" width="47.28515625" style="145" customWidth="1"/>
    <col min="3" max="3" width="11.42578125" style="145" customWidth="1"/>
    <col min="4" max="4" width="14.5703125" style="145" customWidth="1"/>
    <col min="5" max="5" width="11.85546875" style="145" customWidth="1"/>
    <col min="6" max="6" width="13.85546875" style="145" customWidth="1"/>
    <col min="7" max="7" width="12.7109375" style="145" customWidth="1"/>
    <col min="8" max="8" width="13.7109375" style="145" customWidth="1"/>
    <col min="9" max="9" width="12.140625" style="182" customWidth="1"/>
    <col min="10" max="10" width="10.7109375" style="182" customWidth="1"/>
    <col min="11" max="11" width="12.28515625" style="182" customWidth="1"/>
    <col min="12" max="12" width="12.7109375" style="182" customWidth="1"/>
    <col min="13" max="13" width="15.28515625" style="182" customWidth="1"/>
    <col min="14" max="14" width="15.140625" style="183" customWidth="1"/>
    <col min="15" max="15" width="14.5703125" style="145" customWidth="1"/>
    <col min="16" max="16" width="13" style="145" customWidth="1"/>
    <col min="17" max="17" width="9.85546875" style="145" customWidth="1"/>
    <col min="18" max="18" width="12.42578125" style="145" customWidth="1"/>
    <col min="19" max="19" width="18.28515625" style="145" customWidth="1"/>
    <col min="20" max="20" width="13.5703125" style="145" customWidth="1"/>
    <col min="21" max="33" width="18.28515625" style="145" customWidth="1"/>
    <col min="34" max="75" width="3.28515625" style="145" customWidth="1"/>
    <col min="76" max="16384" width="9.140625" style="145"/>
  </cols>
  <sheetData>
    <row r="1" spans="1:76" s="126" customFormat="1" ht="25.5" customHeight="1" x14ac:dyDescent="0.3">
      <c r="A1" s="118"/>
      <c r="B1" s="119"/>
      <c r="C1" s="120"/>
      <c r="D1" s="121"/>
      <c r="E1" s="122"/>
      <c r="F1" s="121"/>
      <c r="G1" s="121"/>
      <c r="H1" s="121"/>
      <c r="I1" s="5"/>
      <c r="J1" s="121"/>
      <c r="K1" s="121"/>
      <c r="L1" s="868"/>
      <c r="M1" s="3029" t="s">
        <v>354</v>
      </c>
      <c r="N1" s="3029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5"/>
    </row>
    <row r="2" spans="1:76" s="126" customFormat="1" ht="10.5" customHeight="1" thickBot="1" x14ac:dyDescent="0.3">
      <c r="A2" s="127"/>
      <c r="B2" s="119"/>
      <c r="C2" s="120"/>
      <c r="D2" s="121"/>
      <c r="E2" s="122"/>
      <c r="F2" s="121"/>
      <c r="G2" s="121"/>
      <c r="H2" s="121"/>
      <c r="I2" s="128"/>
      <c r="J2" s="121"/>
      <c r="K2" s="121"/>
      <c r="L2" s="121"/>
      <c r="M2" s="121"/>
      <c r="N2" s="123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5"/>
    </row>
    <row r="3" spans="1:76" s="131" customFormat="1" ht="40.5" customHeight="1" thickBot="1" x14ac:dyDescent="0.25">
      <c r="A3" s="2648" t="s">
        <v>235</v>
      </c>
      <c r="B3" s="2649"/>
      <c r="C3" s="2650"/>
      <c r="D3" s="2649"/>
      <c r="E3" s="2651"/>
      <c r="F3" s="2649"/>
      <c r="G3" s="2649"/>
      <c r="H3" s="2649"/>
      <c r="I3" s="2649"/>
      <c r="J3" s="2649"/>
      <c r="K3" s="2649"/>
      <c r="L3" s="2649"/>
      <c r="M3" s="2649"/>
      <c r="N3" s="2652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30"/>
    </row>
    <row r="4" spans="1:76" s="132" customFormat="1" ht="44.25" customHeight="1" x14ac:dyDescent="0.2">
      <c r="A4" s="3489" t="s">
        <v>25</v>
      </c>
      <c r="B4" s="3492" t="s">
        <v>26</v>
      </c>
      <c r="C4" s="3495" t="s">
        <v>27</v>
      </c>
      <c r="D4" s="3026" t="s">
        <v>338</v>
      </c>
      <c r="E4" s="3027"/>
      <c r="F4" s="3027"/>
      <c r="G4" s="3027"/>
      <c r="H4" s="3028"/>
      <c r="I4" s="3026" t="s">
        <v>316</v>
      </c>
      <c r="J4" s="3027"/>
      <c r="K4" s="3027"/>
      <c r="L4" s="3027"/>
      <c r="M4" s="3028"/>
      <c r="N4" s="3060" t="s">
        <v>28</v>
      </c>
    </row>
    <row r="5" spans="1:76" s="125" customFormat="1" ht="38.25" customHeight="1" x14ac:dyDescent="0.2">
      <c r="A5" s="3490"/>
      <c r="B5" s="3493"/>
      <c r="C5" s="3496"/>
      <c r="D5" s="3011" t="s">
        <v>0</v>
      </c>
      <c r="E5" s="3014" t="s">
        <v>188</v>
      </c>
      <c r="F5" s="3017" t="s">
        <v>332</v>
      </c>
      <c r="G5" s="3020" t="s">
        <v>292</v>
      </c>
      <c r="H5" s="3021"/>
      <c r="I5" s="3002" t="s">
        <v>302</v>
      </c>
      <c r="J5" s="3064" t="s">
        <v>339</v>
      </c>
      <c r="K5" s="3424" t="s">
        <v>321</v>
      </c>
      <c r="L5" s="3425"/>
      <c r="M5" s="3426"/>
      <c r="N5" s="3061"/>
    </row>
    <row r="6" spans="1:76" s="125" customFormat="1" ht="41.25" customHeight="1" x14ac:dyDescent="0.2">
      <c r="A6" s="3490"/>
      <c r="B6" s="3493"/>
      <c r="C6" s="3496"/>
      <c r="D6" s="3012"/>
      <c r="E6" s="3015"/>
      <c r="F6" s="3018"/>
      <c r="G6" s="3022" t="s">
        <v>301</v>
      </c>
      <c r="H6" s="3024" t="s">
        <v>251</v>
      </c>
      <c r="I6" s="3003"/>
      <c r="J6" s="3065"/>
      <c r="K6" s="3022" t="s">
        <v>304</v>
      </c>
      <c r="L6" s="3468" t="s">
        <v>340</v>
      </c>
      <c r="M6" s="3422" t="s">
        <v>341</v>
      </c>
      <c r="N6" s="3062"/>
    </row>
    <row r="7" spans="1:76" s="125" customFormat="1" ht="72" customHeight="1" thickBot="1" x14ac:dyDescent="0.25">
      <c r="A7" s="3491"/>
      <c r="B7" s="3494"/>
      <c r="C7" s="3497"/>
      <c r="D7" s="3013"/>
      <c r="E7" s="3016"/>
      <c r="F7" s="3019"/>
      <c r="G7" s="3023"/>
      <c r="H7" s="3025"/>
      <c r="I7" s="3004"/>
      <c r="J7" s="3066"/>
      <c r="K7" s="3023"/>
      <c r="L7" s="3469"/>
      <c r="M7" s="3423"/>
      <c r="N7" s="3063"/>
    </row>
    <row r="8" spans="1:76" s="137" customFormat="1" ht="14.25" customHeight="1" thickBot="1" x14ac:dyDescent="0.25">
      <c r="A8" s="3500">
        <v>1</v>
      </c>
      <c r="B8" s="3501"/>
      <c r="C8" s="133">
        <v>2</v>
      </c>
      <c r="D8" s="1538">
        <v>3</v>
      </c>
      <c r="E8" s="1539">
        <v>4</v>
      </c>
      <c r="F8" s="1539">
        <v>5</v>
      </c>
      <c r="G8" s="1539">
        <v>6</v>
      </c>
      <c r="H8" s="1646">
        <v>7</v>
      </c>
      <c r="I8" s="1538">
        <v>8</v>
      </c>
      <c r="J8" s="1647">
        <v>9</v>
      </c>
      <c r="K8" s="1647">
        <v>10</v>
      </c>
      <c r="L8" s="1648">
        <v>11</v>
      </c>
      <c r="M8" s="1649">
        <v>12</v>
      </c>
      <c r="N8" s="1541">
        <v>13</v>
      </c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</row>
    <row r="9" spans="1:76" ht="19.5" customHeight="1" thickBot="1" x14ac:dyDescent="0.25">
      <c r="A9" s="138"/>
      <c r="B9" s="139" t="s">
        <v>189</v>
      </c>
      <c r="C9" s="1835"/>
      <c r="D9" s="21">
        <f t="shared" ref="D9:H9" si="0">D10+D11</f>
        <v>51242999</v>
      </c>
      <c r="E9" s="21">
        <f t="shared" si="0"/>
        <v>4495363</v>
      </c>
      <c r="F9" s="21">
        <f t="shared" si="0"/>
        <v>5779854</v>
      </c>
      <c r="G9" s="21">
        <f t="shared" si="0"/>
        <v>26915841</v>
      </c>
      <c r="H9" s="22">
        <f t="shared" si="0"/>
        <v>14051941</v>
      </c>
      <c r="I9" s="140">
        <f>I10+I11</f>
        <v>11626092</v>
      </c>
      <c r="J9" s="94">
        <f>I9/D9*100</f>
        <v>22.688156873878519</v>
      </c>
      <c r="K9" s="21">
        <f>K10+K11</f>
        <v>1350875</v>
      </c>
      <c r="L9" s="94">
        <f>K9/G9*100</f>
        <v>5.0188846040515696</v>
      </c>
      <c r="M9" s="21">
        <f>+K9-G9*0.5</f>
        <v>-12107045.5</v>
      </c>
      <c r="N9" s="143"/>
      <c r="O9" s="160">
        <f>+K9-G9/2</f>
        <v>-12107045.5</v>
      </c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</row>
    <row r="10" spans="1:76" ht="14.25" customHeight="1" thickTop="1" x14ac:dyDescent="0.2">
      <c r="A10" s="146"/>
      <c r="B10" s="147" t="s">
        <v>190</v>
      </c>
      <c r="C10" s="148"/>
      <c r="D10" s="149">
        <v>0</v>
      </c>
      <c r="E10" s="1484">
        <v>0</v>
      </c>
      <c r="F10" s="149">
        <v>0</v>
      </c>
      <c r="G10" s="149">
        <v>0</v>
      </c>
      <c r="H10" s="150">
        <v>0</v>
      </c>
      <c r="I10" s="1836">
        <v>0</v>
      </c>
      <c r="J10" s="210">
        <v>0</v>
      </c>
      <c r="K10" s="1836">
        <v>0</v>
      </c>
      <c r="L10" s="210">
        <v>0</v>
      </c>
      <c r="M10" s="149">
        <f t="shared" ref="M10:M69" si="1">+K10-G10*0.5</f>
        <v>0</v>
      </c>
      <c r="N10" s="143"/>
      <c r="O10" s="144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</row>
    <row r="11" spans="1:76" ht="14.25" customHeight="1" thickBot="1" x14ac:dyDescent="0.25">
      <c r="A11" s="152"/>
      <c r="B11" s="153" t="s">
        <v>191</v>
      </c>
      <c r="C11" s="1837"/>
      <c r="D11" s="154">
        <f t="shared" ref="D11:I11" si="2">D26+D36+D47+D58+D66+D78</f>
        <v>51242999</v>
      </c>
      <c r="E11" s="155">
        <f t="shared" si="2"/>
        <v>4495363</v>
      </c>
      <c r="F11" s="155">
        <f t="shared" si="2"/>
        <v>5779854</v>
      </c>
      <c r="G11" s="155">
        <f t="shared" si="2"/>
        <v>26915841</v>
      </c>
      <c r="H11" s="154">
        <f t="shared" si="2"/>
        <v>14051941</v>
      </c>
      <c r="I11" s="156">
        <f t="shared" si="2"/>
        <v>11626092</v>
      </c>
      <c r="J11" s="37">
        <f t="shared" ref="J11:J22" si="3">I11/D11*100</f>
        <v>22.688156873878519</v>
      </c>
      <c r="K11" s="154">
        <f>K26+K36+K47+K58+K66+K78</f>
        <v>1350875</v>
      </c>
      <c r="L11" s="99">
        <f>K11/G11*100</f>
        <v>5.0188846040515696</v>
      </c>
      <c r="M11" s="158">
        <f t="shared" si="1"/>
        <v>-12107045.5</v>
      </c>
      <c r="N11" s="143"/>
      <c r="O11" s="144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</row>
    <row r="12" spans="1:76" s="161" customFormat="1" ht="15" customHeight="1" x14ac:dyDescent="0.2">
      <c r="A12" s="3513"/>
      <c r="B12" s="217" t="s">
        <v>3</v>
      </c>
      <c r="C12" s="1838"/>
      <c r="D12" s="1098">
        <f t="shared" ref="D12:H12" si="4">+D13+D16</f>
        <v>123654051</v>
      </c>
      <c r="E12" s="1839">
        <f t="shared" si="4"/>
        <v>5743059</v>
      </c>
      <c r="F12" s="1839">
        <f t="shared" si="4"/>
        <v>11865637</v>
      </c>
      <c r="G12" s="1839">
        <f t="shared" si="4"/>
        <v>61020871</v>
      </c>
      <c r="H12" s="1840">
        <f t="shared" si="4"/>
        <v>45024484</v>
      </c>
      <c r="I12" s="1841">
        <f>+I13+I16</f>
        <v>22007741</v>
      </c>
      <c r="J12" s="1099">
        <f t="shared" si="3"/>
        <v>17.797832599920241</v>
      </c>
      <c r="K12" s="1096">
        <f>+K13+K16</f>
        <v>4399045</v>
      </c>
      <c r="L12" s="1099">
        <f>K12/G12*100</f>
        <v>7.2090826104399595</v>
      </c>
      <c r="M12" s="1842">
        <f t="shared" si="1"/>
        <v>-26111390.5</v>
      </c>
      <c r="N12" s="3535"/>
      <c r="O12" s="160"/>
      <c r="P12" s="160"/>
      <c r="Q12" s="160"/>
      <c r="R12" s="160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</row>
    <row r="13" spans="1:76" s="161" customFormat="1" ht="14.1" customHeight="1" x14ac:dyDescent="0.2">
      <c r="A13" s="3513"/>
      <c r="B13" s="442" t="s">
        <v>4</v>
      </c>
      <c r="C13" s="3498" t="s">
        <v>89</v>
      </c>
      <c r="D13" s="1843">
        <f t="shared" ref="D13:H13" si="5">+D15+D14</f>
        <v>51638772</v>
      </c>
      <c r="E13" s="1844">
        <f t="shared" si="5"/>
        <v>4854271</v>
      </c>
      <c r="F13" s="1844">
        <f t="shared" si="5"/>
        <v>5782066</v>
      </c>
      <c r="G13" s="1844">
        <f t="shared" si="5"/>
        <v>26950494</v>
      </c>
      <c r="H13" s="1845">
        <f t="shared" si="5"/>
        <v>14051941</v>
      </c>
      <c r="I13" s="1846">
        <f t="shared" ref="I13" si="6">+I15+I14</f>
        <v>12315630</v>
      </c>
      <c r="J13" s="1847">
        <f t="shared" si="3"/>
        <v>23.849579536864276</v>
      </c>
      <c r="K13" s="1848">
        <f>+K15+K14</f>
        <v>1679293</v>
      </c>
      <c r="L13" s="1847">
        <f>K13/G13*100</f>
        <v>6.2310286408850244</v>
      </c>
      <c r="M13" s="1849">
        <f t="shared" si="1"/>
        <v>-11795954</v>
      </c>
      <c r="N13" s="3535"/>
      <c r="O13" s="160"/>
      <c r="P13" s="160"/>
      <c r="Q13" s="160"/>
      <c r="R13" s="160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</row>
    <row r="14" spans="1:76" s="161" customFormat="1" ht="14.1" customHeight="1" x14ac:dyDescent="0.2">
      <c r="A14" s="3513"/>
      <c r="B14" s="449" t="s">
        <v>7</v>
      </c>
      <c r="C14" s="3498"/>
      <c r="D14" s="470">
        <f>+D65+D35+D77</f>
        <v>395773</v>
      </c>
      <c r="E14" s="1850">
        <f t="shared" ref="E14:I14" si="7">+E65+E35+E77</f>
        <v>358908</v>
      </c>
      <c r="F14" s="1850">
        <f t="shared" si="7"/>
        <v>2212</v>
      </c>
      <c r="G14" s="472">
        <f t="shared" si="7"/>
        <v>34653</v>
      </c>
      <c r="H14" s="234">
        <f t="shared" si="7"/>
        <v>0</v>
      </c>
      <c r="I14" s="1851">
        <f t="shared" si="7"/>
        <v>689538</v>
      </c>
      <c r="J14" s="1847">
        <f t="shared" si="3"/>
        <v>174.22562933802962</v>
      </c>
      <c r="K14" s="472">
        <f>+K65+K35+K77</f>
        <v>328418</v>
      </c>
      <c r="L14" s="1852">
        <v>0</v>
      </c>
      <c r="M14" s="1853">
        <f>+M65+M35+M77</f>
        <v>311091.5</v>
      </c>
      <c r="N14" s="3535"/>
      <c r="O14" s="160">
        <f>+I14+I17</f>
        <v>10381649</v>
      </c>
      <c r="P14" s="160">
        <f t="shared" ref="P14:Q14" si="8">+J14+J17</f>
        <v>187.6840386292024</v>
      </c>
      <c r="Q14" s="160">
        <f t="shared" si="8"/>
        <v>3048170</v>
      </c>
      <c r="R14" s="160"/>
      <c r="S14" s="160">
        <f>+K14+K17</f>
        <v>3048170</v>
      </c>
      <c r="T14" s="160">
        <f>+I14+I17</f>
        <v>10381649</v>
      </c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</row>
    <row r="15" spans="1:76" s="161" customFormat="1" ht="14.1" customHeight="1" x14ac:dyDescent="0.2">
      <c r="A15" s="3513"/>
      <c r="B15" s="455" t="s">
        <v>173</v>
      </c>
      <c r="C15" s="3498"/>
      <c r="D15" s="470">
        <f t="shared" ref="D15:I15" si="9">+D26+D36+D47+D58+D78+D66</f>
        <v>51242999</v>
      </c>
      <c r="E15" s="472">
        <f t="shared" si="9"/>
        <v>4495363</v>
      </c>
      <c r="F15" s="472">
        <f t="shared" si="9"/>
        <v>5779854</v>
      </c>
      <c r="G15" s="472">
        <f t="shared" si="9"/>
        <v>26915841</v>
      </c>
      <c r="H15" s="1854">
        <f t="shared" si="9"/>
        <v>14051941</v>
      </c>
      <c r="I15" s="470">
        <f t="shared" si="9"/>
        <v>11626092</v>
      </c>
      <c r="J15" s="1855">
        <f t="shared" si="3"/>
        <v>22.688156873878519</v>
      </c>
      <c r="K15" s="472">
        <f>+K26+K36+K47+K58+K78+K66</f>
        <v>1350875</v>
      </c>
      <c r="L15" s="1855">
        <f t="shared" ref="L15:L22" si="10">K15/G15*100</f>
        <v>5.0188846040515696</v>
      </c>
      <c r="M15" s="1854">
        <f t="shared" si="1"/>
        <v>-12107045.5</v>
      </c>
      <c r="N15" s="3535"/>
      <c r="O15" s="160"/>
      <c r="P15" s="160"/>
      <c r="Q15" s="160"/>
      <c r="R15" s="160"/>
      <c r="S15" s="125"/>
      <c r="T15" s="160">
        <f>+T14-S14</f>
        <v>7333479</v>
      </c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</row>
    <row r="16" spans="1:76" s="161" customFormat="1" ht="14.1" customHeight="1" x14ac:dyDescent="0.2">
      <c r="A16" s="3513"/>
      <c r="B16" s="442" t="s">
        <v>13</v>
      </c>
      <c r="C16" s="3498"/>
      <c r="D16" s="1843">
        <f t="shared" ref="D16:K16" si="11">+D17</f>
        <v>72015279</v>
      </c>
      <c r="E16" s="1844">
        <f t="shared" si="11"/>
        <v>888788</v>
      </c>
      <c r="F16" s="1844">
        <f t="shared" si="11"/>
        <v>6083571</v>
      </c>
      <c r="G16" s="1844">
        <f t="shared" si="11"/>
        <v>34070377</v>
      </c>
      <c r="H16" s="1845">
        <f t="shared" si="11"/>
        <v>30972543</v>
      </c>
      <c r="I16" s="1846">
        <f t="shared" si="11"/>
        <v>9692111</v>
      </c>
      <c r="J16" s="1847">
        <f t="shared" si="3"/>
        <v>13.45840929117278</v>
      </c>
      <c r="K16" s="1848">
        <f t="shared" si="11"/>
        <v>2719752</v>
      </c>
      <c r="L16" s="1847">
        <f t="shared" si="10"/>
        <v>7.9827470062922981</v>
      </c>
      <c r="M16" s="1849">
        <f t="shared" si="1"/>
        <v>-14315436.5</v>
      </c>
      <c r="N16" s="3535"/>
      <c r="O16" s="160"/>
      <c r="P16" s="160">
        <f>+I17+I14-K14-K17</f>
        <v>7333479</v>
      </c>
      <c r="Q16" s="160"/>
      <c r="R16" s="160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</row>
    <row r="17" spans="1:76" s="161" customFormat="1" ht="14.1" customHeight="1" x14ac:dyDescent="0.2">
      <c r="A17" s="3513"/>
      <c r="B17" s="449" t="s">
        <v>16</v>
      </c>
      <c r="C17" s="3498"/>
      <c r="D17" s="470">
        <f t="shared" ref="D17:I17" si="12">D28+D38+D49+D68+D80</f>
        <v>72015279</v>
      </c>
      <c r="E17" s="1850">
        <f t="shared" si="12"/>
        <v>888788</v>
      </c>
      <c r="F17" s="1850">
        <f t="shared" si="12"/>
        <v>6083571</v>
      </c>
      <c r="G17" s="1850">
        <f t="shared" si="12"/>
        <v>34070377</v>
      </c>
      <c r="H17" s="1854">
        <f t="shared" si="12"/>
        <v>30972543</v>
      </c>
      <c r="I17" s="1851">
        <f t="shared" si="12"/>
        <v>9692111</v>
      </c>
      <c r="J17" s="1855">
        <f t="shared" si="3"/>
        <v>13.45840929117278</v>
      </c>
      <c r="K17" s="472">
        <f>K28+K38+K49+K68+K80</f>
        <v>2719752</v>
      </c>
      <c r="L17" s="1855">
        <f t="shared" si="10"/>
        <v>7.9827470062922981</v>
      </c>
      <c r="M17" s="1853">
        <f t="shared" si="1"/>
        <v>-14315436.5</v>
      </c>
      <c r="N17" s="3535"/>
      <c r="O17" s="160"/>
      <c r="P17" s="160"/>
      <c r="Q17" s="160"/>
      <c r="R17" s="160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</row>
    <row r="18" spans="1:76" s="161" customFormat="1" ht="14.25" customHeight="1" x14ac:dyDescent="0.2">
      <c r="A18" s="3513"/>
      <c r="B18" s="236" t="s">
        <v>17</v>
      </c>
      <c r="C18" s="1505"/>
      <c r="D18" s="529">
        <f t="shared" ref="D18:H18" si="13">+D21+D19</f>
        <v>93752474</v>
      </c>
      <c r="E18" s="484">
        <f t="shared" si="13"/>
        <v>446562</v>
      </c>
      <c r="F18" s="484">
        <f t="shared" si="13"/>
        <v>9937033</v>
      </c>
      <c r="G18" s="484">
        <f t="shared" si="13"/>
        <v>40175723</v>
      </c>
      <c r="H18" s="481">
        <f t="shared" si="13"/>
        <v>43193156</v>
      </c>
      <c r="I18" s="583">
        <f t="shared" ref="I18" si="14">+I21+I19</f>
        <v>12700135</v>
      </c>
      <c r="J18" s="1109">
        <f t="shared" si="3"/>
        <v>13.546453184798088</v>
      </c>
      <c r="K18" s="484">
        <f>+K21+K19</f>
        <v>2316540</v>
      </c>
      <c r="L18" s="1109">
        <f t="shared" si="10"/>
        <v>5.7660194441304764</v>
      </c>
      <c r="M18" s="481">
        <f t="shared" si="1"/>
        <v>-17771321.5</v>
      </c>
      <c r="N18" s="3535"/>
      <c r="O18" s="160"/>
      <c r="P18" s="160">
        <f>+I29+I39+I50+I69+I81</f>
        <v>12561134</v>
      </c>
      <c r="Q18" s="160"/>
      <c r="R18" s="160">
        <f>+K29+K39+K50+K69+K81</f>
        <v>2230428</v>
      </c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</row>
    <row r="19" spans="1:76" s="161" customFormat="1" ht="14.25" customHeight="1" x14ac:dyDescent="0.2">
      <c r="A19" s="3513"/>
      <c r="B19" s="442" t="s">
        <v>18</v>
      </c>
      <c r="C19" s="3498"/>
      <c r="D19" s="1843">
        <f t="shared" ref="D19:K19" si="15">+D20</f>
        <v>21737195</v>
      </c>
      <c r="E19" s="1844">
        <f t="shared" si="15"/>
        <v>322267</v>
      </c>
      <c r="F19" s="1844">
        <f t="shared" si="15"/>
        <v>1345053</v>
      </c>
      <c r="G19" s="1844">
        <f t="shared" si="15"/>
        <v>7849262</v>
      </c>
      <c r="H19" s="1845">
        <f t="shared" si="15"/>
        <v>12220613</v>
      </c>
      <c r="I19" s="1846">
        <f t="shared" si="15"/>
        <v>2759416</v>
      </c>
      <c r="J19" s="1847">
        <f t="shared" si="3"/>
        <v>12.694443786330298</v>
      </c>
      <c r="K19" s="1848">
        <f t="shared" si="15"/>
        <v>1092096</v>
      </c>
      <c r="L19" s="1847">
        <f t="shared" si="10"/>
        <v>13.913358988399164</v>
      </c>
      <c r="M19" s="1849">
        <f t="shared" si="1"/>
        <v>-2832535</v>
      </c>
      <c r="N19" s="3535"/>
      <c r="O19" s="160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</row>
    <row r="20" spans="1:76" s="161" customFormat="1" ht="14.25" customHeight="1" x14ac:dyDescent="0.2">
      <c r="A20" s="3513"/>
      <c r="B20" s="449" t="s">
        <v>174</v>
      </c>
      <c r="C20" s="3498"/>
      <c r="D20" s="470">
        <f t="shared" ref="D20:I20" si="16">+D41+D52+D71+D83+D61</f>
        <v>21737195</v>
      </c>
      <c r="E20" s="1850">
        <f t="shared" si="16"/>
        <v>322267</v>
      </c>
      <c r="F20" s="1850">
        <f t="shared" si="16"/>
        <v>1345053</v>
      </c>
      <c r="G20" s="1850">
        <f t="shared" si="16"/>
        <v>7849262</v>
      </c>
      <c r="H20" s="1854">
        <f t="shared" si="16"/>
        <v>12220613</v>
      </c>
      <c r="I20" s="1851">
        <f t="shared" si="16"/>
        <v>2759416</v>
      </c>
      <c r="J20" s="1855">
        <f t="shared" si="3"/>
        <v>12.694443786330298</v>
      </c>
      <c r="K20" s="472">
        <f>+K41+K52+K71+K83+K61</f>
        <v>1092096</v>
      </c>
      <c r="L20" s="1855">
        <f t="shared" si="10"/>
        <v>13.913358988399164</v>
      </c>
      <c r="M20" s="1853">
        <f t="shared" si="1"/>
        <v>-2832535</v>
      </c>
      <c r="N20" s="3535"/>
      <c r="O20" s="160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</row>
    <row r="21" spans="1:76" s="161" customFormat="1" ht="14.1" customHeight="1" x14ac:dyDescent="0.2">
      <c r="A21" s="3513"/>
      <c r="B21" s="442" t="s">
        <v>13</v>
      </c>
      <c r="C21" s="3498" t="s">
        <v>89</v>
      </c>
      <c r="D21" s="1843">
        <f t="shared" ref="D21:I21" si="17">+D22</f>
        <v>72015279</v>
      </c>
      <c r="E21" s="1848">
        <f t="shared" si="17"/>
        <v>124295</v>
      </c>
      <c r="F21" s="1848">
        <f t="shared" si="17"/>
        <v>8591980</v>
      </c>
      <c r="G21" s="1848">
        <f t="shared" si="17"/>
        <v>32326461</v>
      </c>
      <c r="H21" s="1845">
        <f t="shared" si="17"/>
        <v>30972543</v>
      </c>
      <c r="I21" s="1846">
        <f t="shared" si="17"/>
        <v>9940719</v>
      </c>
      <c r="J21" s="1847">
        <f t="shared" si="3"/>
        <v>13.80362492242792</v>
      </c>
      <c r="K21" s="1848">
        <f>+K22</f>
        <v>1224444</v>
      </c>
      <c r="L21" s="1847">
        <f t="shared" si="10"/>
        <v>3.7877452777772365</v>
      </c>
      <c r="M21" s="1845">
        <f t="shared" si="1"/>
        <v>-14938786.5</v>
      </c>
      <c r="N21" s="3535"/>
      <c r="O21" s="160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</row>
    <row r="22" spans="1:76" s="161" customFormat="1" ht="14.1" customHeight="1" thickBot="1" x14ac:dyDescent="0.25">
      <c r="A22" s="3513"/>
      <c r="B22" s="1856" t="s">
        <v>16</v>
      </c>
      <c r="C22" s="3499"/>
      <c r="D22" s="1857">
        <f t="shared" ref="D22:I22" si="18">D31+D43+D54+D73+D85</f>
        <v>72015279</v>
      </c>
      <c r="E22" s="1858">
        <f t="shared" si="18"/>
        <v>124295</v>
      </c>
      <c r="F22" s="1858">
        <f t="shared" si="18"/>
        <v>8591980</v>
      </c>
      <c r="G22" s="1858">
        <f t="shared" si="18"/>
        <v>32326461</v>
      </c>
      <c r="H22" s="1859">
        <f t="shared" si="18"/>
        <v>30972543</v>
      </c>
      <c r="I22" s="1860">
        <f t="shared" si="18"/>
        <v>9940719</v>
      </c>
      <c r="J22" s="1861">
        <f t="shared" si="3"/>
        <v>13.80362492242792</v>
      </c>
      <c r="K22" s="1862">
        <f>K31+K43+K54+K73+K85</f>
        <v>1224444</v>
      </c>
      <c r="L22" s="1861">
        <f t="shared" si="10"/>
        <v>3.7877452777772365</v>
      </c>
      <c r="M22" s="1863">
        <f t="shared" si="1"/>
        <v>-14938786.5</v>
      </c>
      <c r="N22" s="3536"/>
      <c r="O22" s="160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</row>
    <row r="23" spans="1:76" s="125" customFormat="1" ht="26.25" customHeight="1" x14ac:dyDescent="0.2">
      <c r="A23" s="3502" t="s">
        <v>33</v>
      </c>
      <c r="B23" s="1864" t="s">
        <v>175</v>
      </c>
      <c r="C23" s="1865" t="s">
        <v>236</v>
      </c>
      <c r="D23" s="1143"/>
      <c r="E23" s="1866"/>
      <c r="F23" s="1866"/>
      <c r="G23" s="1488"/>
      <c r="H23" s="1867"/>
      <c r="I23" s="1143"/>
      <c r="J23" s="1868"/>
      <c r="K23" s="1488"/>
      <c r="L23" s="1868"/>
      <c r="M23" s="1135"/>
      <c r="N23" s="3505" t="s">
        <v>176</v>
      </c>
      <c r="O23" s="160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</row>
    <row r="24" spans="1:76" s="125" customFormat="1" ht="14.1" customHeight="1" x14ac:dyDescent="0.2">
      <c r="A24" s="3503"/>
      <c r="B24" s="236" t="s">
        <v>3</v>
      </c>
      <c r="C24" s="1505"/>
      <c r="D24" s="529">
        <f>+D25+D27</f>
        <v>2536207</v>
      </c>
      <c r="E24" s="484">
        <f>+E25+E27</f>
        <v>256207</v>
      </c>
      <c r="F24" s="1869">
        <f t="shared" ref="F24" si="19">+F25+F27</f>
        <v>0</v>
      </c>
      <c r="G24" s="484">
        <f>+G25+G27</f>
        <v>2280000</v>
      </c>
      <c r="H24" s="1870">
        <f t="shared" ref="H24" si="20">+H25+H27</f>
        <v>0</v>
      </c>
      <c r="I24" s="529">
        <f t="shared" ref="I24:I25" si="21">K24+E24+F24</f>
        <v>256207</v>
      </c>
      <c r="J24" s="1109">
        <f>I24/D24*100</f>
        <v>10.101975114807269</v>
      </c>
      <c r="K24" s="484">
        <f>+K25+K27</f>
        <v>0</v>
      </c>
      <c r="L24" s="1109">
        <f>K24/G24*100</f>
        <v>0</v>
      </c>
      <c r="M24" s="481">
        <f t="shared" si="1"/>
        <v>-1140000</v>
      </c>
      <c r="N24" s="3506"/>
      <c r="O24" s="160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</row>
    <row r="25" spans="1:76" s="125" customFormat="1" ht="14.1" customHeight="1" x14ac:dyDescent="0.2">
      <c r="A25" s="3503"/>
      <c r="B25" s="301" t="s">
        <v>18</v>
      </c>
      <c r="C25" s="3133" t="s">
        <v>177</v>
      </c>
      <c r="D25" s="1871">
        <f t="shared" ref="D25:H25" si="22">D26</f>
        <v>2536207</v>
      </c>
      <c r="E25" s="1872">
        <f t="shared" si="22"/>
        <v>256207</v>
      </c>
      <c r="F25" s="1873">
        <f t="shared" si="22"/>
        <v>0</v>
      </c>
      <c r="G25" s="1872">
        <f t="shared" si="22"/>
        <v>2280000</v>
      </c>
      <c r="H25" s="1874">
        <f t="shared" si="22"/>
        <v>0</v>
      </c>
      <c r="I25" s="1871">
        <f t="shared" si="21"/>
        <v>256207</v>
      </c>
      <c r="J25" s="1875">
        <f>I25/D25*100</f>
        <v>10.101975114807269</v>
      </c>
      <c r="K25" s="1872">
        <f>K26</f>
        <v>0</v>
      </c>
      <c r="L25" s="1875">
        <f>K25/G25*100</f>
        <v>0</v>
      </c>
      <c r="M25" s="1876">
        <f t="shared" si="1"/>
        <v>-1140000</v>
      </c>
      <c r="N25" s="3506"/>
      <c r="O25" s="160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</row>
    <row r="26" spans="1:76" s="125" customFormat="1" ht="18" customHeight="1" thickBot="1" x14ac:dyDescent="0.25">
      <c r="A26" s="3503"/>
      <c r="B26" s="622" t="s">
        <v>6</v>
      </c>
      <c r="C26" s="3508"/>
      <c r="D26" s="524">
        <f>+E26+F26+G26+H26</f>
        <v>2536207</v>
      </c>
      <c r="E26" s="1877">
        <v>256207</v>
      </c>
      <c r="F26" s="525">
        <v>0</v>
      </c>
      <c r="G26" s="1877">
        <v>2280000</v>
      </c>
      <c r="H26" s="1878">
        <v>0</v>
      </c>
      <c r="I26" s="1823">
        <f>K26+E26+F26</f>
        <v>256207</v>
      </c>
      <c r="J26" s="1879">
        <f>I26/D26*100</f>
        <v>10.101975114807269</v>
      </c>
      <c r="K26" s="1880">
        <v>0</v>
      </c>
      <c r="L26" s="1879">
        <f>K26/G26*100</f>
        <v>0</v>
      </c>
      <c r="M26" s="1881">
        <f>+K26-G26*0.5</f>
        <v>-1140000</v>
      </c>
      <c r="N26" s="3506"/>
      <c r="O26" s="160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</row>
    <row r="27" spans="1:76" s="125" customFormat="1" ht="19.5" hidden="1" customHeight="1" x14ac:dyDescent="0.2">
      <c r="A27" s="3503"/>
      <c r="B27" s="281" t="s">
        <v>13</v>
      </c>
      <c r="C27" s="3509"/>
      <c r="D27" s="1490">
        <f t="shared" ref="D27:H27" si="23">+D28</f>
        <v>0</v>
      </c>
      <c r="E27" s="1491">
        <f t="shared" si="23"/>
        <v>0</v>
      </c>
      <c r="F27" s="1491">
        <f t="shared" si="23"/>
        <v>0</v>
      </c>
      <c r="G27" s="1491">
        <f t="shared" si="23"/>
        <v>0</v>
      </c>
      <c r="H27" s="1492">
        <f t="shared" si="23"/>
        <v>0</v>
      </c>
      <c r="I27" s="1882"/>
      <c r="J27" s="1873"/>
      <c r="K27" s="1873"/>
      <c r="L27" s="1873"/>
      <c r="M27" s="1883">
        <f t="shared" si="1"/>
        <v>0</v>
      </c>
      <c r="N27" s="3506"/>
      <c r="O27" s="160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</row>
    <row r="28" spans="1:76" s="125" customFormat="1" ht="17.25" hidden="1" customHeight="1" x14ac:dyDescent="0.2">
      <c r="A28" s="3503"/>
      <c r="B28" s="624" t="s">
        <v>16</v>
      </c>
      <c r="C28" s="3510"/>
      <c r="D28" s="1134">
        <f>+E28+F28+G28+H28</f>
        <v>0</v>
      </c>
      <c r="E28" s="525">
        <v>0</v>
      </c>
      <c r="F28" s="525">
        <v>0</v>
      </c>
      <c r="G28" s="525">
        <v>0</v>
      </c>
      <c r="H28" s="958">
        <v>0</v>
      </c>
      <c r="I28" s="727"/>
      <c r="J28" s="525"/>
      <c r="K28" s="525"/>
      <c r="L28" s="525"/>
      <c r="M28" s="728">
        <f t="shared" si="1"/>
        <v>0</v>
      </c>
      <c r="N28" s="3506"/>
      <c r="O28" s="160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</row>
    <row r="29" spans="1:76" s="167" customFormat="1" ht="18" hidden="1" customHeight="1" x14ac:dyDescent="0.2">
      <c r="A29" s="3503"/>
      <c r="B29" s="159" t="s">
        <v>17</v>
      </c>
      <c r="C29" s="1131"/>
      <c r="D29" s="1132">
        <f t="shared" ref="D29:H29" si="24">D30</f>
        <v>0</v>
      </c>
      <c r="E29" s="1133">
        <f t="shared" si="24"/>
        <v>0</v>
      </c>
      <c r="F29" s="1133">
        <f t="shared" si="24"/>
        <v>0</v>
      </c>
      <c r="G29" s="1133">
        <f t="shared" si="24"/>
        <v>0</v>
      </c>
      <c r="H29" s="1140">
        <f t="shared" si="24"/>
        <v>0</v>
      </c>
      <c r="I29" s="1884"/>
      <c r="J29" s="1133"/>
      <c r="K29" s="1133"/>
      <c r="L29" s="1133"/>
      <c r="M29" s="1885">
        <f t="shared" si="1"/>
        <v>0</v>
      </c>
      <c r="N29" s="3506"/>
      <c r="O29" s="160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</row>
    <row r="30" spans="1:76" s="125" customFormat="1" ht="19.5" hidden="1" customHeight="1" x14ac:dyDescent="0.2">
      <c r="A30" s="3503"/>
      <c r="B30" s="168" t="s">
        <v>13</v>
      </c>
      <c r="C30" s="3511" t="s">
        <v>147</v>
      </c>
      <c r="D30" s="165">
        <f t="shared" ref="D30:H30" si="25">+D31</f>
        <v>0</v>
      </c>
      <c r="E30" s="164">
        <f t="shared" si="25"/>
        <v>0</v>
      </c>
      <c r="F30" s="164">
        <f t="shared" si="25"/>
        <v>0</v>
      </c>
      <c r="G30" s="164">
        <f t="shared" si="25"/>
        <v>0</v>
      </c>
      <c r="H30" s="1141">
        <f t="shared" si="25"/>
        <v>0</v>
      </c>
      <c r="I30" s="1886"/>
      <c r="J30" s="164"/>
      <c r="K30" s="164"/>
      <c r="L30" s="164"/>
      <c r="M30" s="1887">
        <f t="shared" si="1"/>
        <v>0</v>
      </c>
      <c r="N30" s="3506"/>
      <c r="O30" s="160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</row>
    <row r="31" spans="1:76" s="125" customFormat="1" ht="20.25" hidden="1" customHeight="1" thickBot="1" x14ac:dyDescent="0.25">
      <c r="A31" s="3504"/>
      <c r="B31" s="169" t="s">
        <v>16</v>
      </c>
      <c r="C31" s="3512"/>
      <c r="D31" s="170">
        <f>+E31+F31+G31+H31</f>
        <v>0</v>
      </c>
      <c r="E31" s="171">
        <v>0</v>
      </c>
      <c r="F31" s="171">
        <v>0</v>
      </c>
      <c r="G31" s="171">
        <v>0</v>
      </c>
      <c r="H31" s="1142">
        <v>0</v>
      </c>
      <c r="I31" s="1888"/>
      <c r="J31" s="171"/>
      <c r="K31" s="171"/>
      <c r="L31" s="171"/>
      <c r="M31" s="1889">
        <f t="shared" si="1"/>
        <v>0</v>
      </c>
      <c r="N31" s="3507"/>
      <c r="O31" s="160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</row>
    <row r="32" spans="1:76" s="125" customFormat="1" ht="57.75" customHeight="1" x14ac:dyDescent="0.2">
      <c r="A32" s="3515" t="s">
        <v>36</v>
      </c>
      <c r="B32" s="620" t="s">
        <v>178</v>
      </c>
      <c r="C32" s="1890" t="s">
        <v>236</v>
      </c>
      <c r="D32" s="1143"/>
      <c r="E32" s="1488"/>
      <c r="F32" s="1488"/>
      <c r="G32" s="1488"/>
      <c r="H32" s="1135"/>
      <c r="I32" s="1143"/>
      <c r="J32" s="1138"/>
      <c r="K32" s="1139"/>
      <c r="L32" s="1138"/>
      <c r="M32" s="1891"/>
      <c r="N32" s="3197" t="s">
        <v>179</v>
      </c>
      <c r="O32" s="160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</row>
    <row r="33" spans="1:76" s="125" customFormat="1" ht="13.5" customHeight="1" x14ac:dyDescent="0.2">
      <c r="A33" s="3516"/>
      <c r="B33" s="236" t="s">
        <v>3</v>
      </c>
      <c r="C33" s="1892"/>
      <c r="D33" s="529">
        <f>+D34+D37</f>
        <v>24300617</v>
      </c>
      <c r="E33" s="484">
        <f>+E34+E37</f>
        <v>740023</v>
      </c>
      <c r="F33" s="484">
        <f>F34+F37</f>
        <v>6571784</v>
      </c>
      <c r="G33" s="484">
        <f>+G34+G37</f>
        <v>12164595</v>
      </c>
      <c r="H33" s="481">
        <f>+H34+H37</f>
        <v>4824215</v>
      </c>
      <c r="I33" s="529">
        <f t="shared" ref="I33:I85" si="26">K33+E33+F33</f>
        <v>9791350</v>
      </c>
      <c r="J33" s="1893">
        <f t="shared" ref="J33:J43" si="27">I33/D33*100</f>
        <v>40.292598331968279</v>
      </c>
      <c r="K33" s="1">
        <f>+K34+K37</f>
        <v>2479543</v>
      </c>
      <c r="L33" s="1893">
        <f>K33/G33*100</f>
        <v>20.38327622086884</v>
      </c>
      <c r="M33" s="1431">
        <f t="shared" si="1"/>
        <v>-3602754.5</v>
      </c>
      <c r="N33" s="3198"/>
      <c r="O33" s="160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</row>
    <row r="34" spans="1:76" s="125" customFormat="1" ht="13.5" customHeight="1" x14ac:dyDescent="0.2">
      <c r="A34" s="3516"/>
      <c r="B34" s="301" t="s">
        <v>18</v>
      </c>
      <c r="C34" s="3230" t="s">
        <v>177</v>
      </c>
      <c r="D34" s="1871">
        <f t="shared" ref="D34" si="28">D36+D35</f>
        <v>9608659</v>
      </c>
      <c r="E34" s="1872">
        <f>E36+E35</f>
        <v>740023</v>
      </c>
      <c r="F34" s="1872">
        <f>F36+F35</f>
        <v>2418022</v>
      </c>
      <c r="G34" s="1872">
        <f t="shared" ref="G34:H34" si="29">G36+G35</f>
        <v>4735762</v>
      </c>
      <c r="H34" s="1876">
        <f t="shared" si="29"/>
        <v>1714852</v>
      </c>
      <c r="I34" s="1871">
        <f t="shared" si="26"/>
        <v>4124605</v>
      </c>
      <c r="J34" s="1894">
        <f t="shared" si="27"/>
        <v>42.925917133702008</v>
      </c>
      <c r="K34" s="1895">
        <f>K36+K35</f>
        <v>966560</v>
      </c>
      <c r="L34" s="1894">
        <f>K34/G34*100</f>
        <v>20.409809445660485</v>
      </c>
      <c r="M34" s="1896">
        <f t="shared" si="1"/>
        <v>-1401321</v>
      </c>
      <c r="N34" s="3198"/>
      <c r="O34" s="160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</row>
    <row r="35" spans="1:76" s="125" customFormat="1" ht="13.5" customHeight="1" x14ac:dyDescent="0.2">
      <c r="A35" s="3516"/>
      <c r="B35" s="1897" t="s">
        <v>7</v>
      </c>
      <c r="C35" s="3230"/>
      <c r="D35" s="1823">
        <f>+E35+F35+G35+H35</f>
        <v>298708</v>
      </c>
      <c r="E35" s="1898">
        <f>27616+211482+59610</f>
        <v>298708</v>
      </c>
      <c r="F35" s="523">
        <v>0</v>
      </c>
      <c r="G35" s="523">
        <v>0</v>
      </c>
      <c r="H35" s="521">
        <v>0</v>
      </c>
      <c r="I35" s="1899">
        <f t="shared" si="26"/>
        <v>298708</v>
      </c>
      <c r="J35" s="1900">
        <f t="shared" si="27"/>
        <v>100</v>
      </c>
      <c r="K35" s="1901">
        <v>0</v>
      </c>
      <c r="L35" s="1901">
        <v>0</v>
      </c>
      <c r="M35" s="1433">
        <f>+K35-G35*0.5</f>
        <v>0</v>
      </c>
      <c r="N35" s="3198"/>
      <c r="O35" s="160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</row>
    <row r="36" spans="1:76" s="125" customFormat="1" ht="13.5" customHeight="1" x14ac:dyDescent="0.2">
      <c r="A36" s="3516"/>
      <c r="B36" s="1897" t="s">
        <v>6</v>
      </c>
      <c r="C36" s="3518"/>
      <c r="D36" s="1823">
        <f>+E36+F36+G36+H36</f>
        <v>9309951</v>
      </c>
      <c r="E36" s="1898">
        <f>190000+56315+195000</f>
        <v>441315</v>
      </c>
      <c r="F36" s="1898">
        <v>2418022</v>
      </c>
      <c r="G36" s="1898">
        <v>4735762</v>
      </c>
      <c r="H36" s="1881">
        <v>1714852</v>
      </c>
      <c r="I36" s="1823">
        <f t="shared" si="26"/>
        <v>3825897</v>
      </c>
      <c r="J36" s="1902">
        <f t="shared" si="27"/>
        <v>41.094706083845125</v>
      </c>
      <c r="K36" s="1824">
        <v>966560</v>
      </c>
      <c r="L36" s="1902">
        <f t="shared" ref="L36:L43" si="30">K36/G36*100</f>
        <v>20.409809445660485</v>
      </c>
      <c r="M36" s="1433">
        <f t="shared" si="1"/>
        <v>-1401321</v>
      </c>
      <c r="N36" s="3198"/>
      <c r="O36" s="160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</row>
    <row r="37" spans="1:76" s="125" customFormat="1" ht="13.5" customHeight="1" x14ac:dyDescent="0.2">
      <c r="A37" s="3516"/>
      <c r="B37" s="281" t="s">
        <v>13</v>
      </c>
      <c r="C37" s="3518"/>
      <c r="D37" s="1871">
        <f t="shared" ref="D37:H37" si="31">+D38</f>
        <v>14691958</v>
      </c>
      <c r="E37" s="1872">
        <f t="shared" si="31"/>
        <v>0</v>
      </c>
      <c r="F37" s="1872">
        <f t="shared" si="31"/>
        <v>4153762</v>
      </c>
      <c r="G37" s="1872">
        <f t="shared" si="31"/>
        <v>7428833</v>
      </c>
      <c r="H37" s="1876">
        <f t="shared" si="31"/>
        <v>3109363</v>
      </c>
      <c r="I37" s="1871">
        <f t="shared" si="26"/>
        <v>5666745</v>
      </c>
      <c r="J37" s="1894">
        <f t="shared" si="27"/>
        <v>38.570386601976402</v>
      </c>
      <c r="K37" s="1895">
        <f>+K38</f>
        <v>1512983</v>
      </c>
      <c r="L37" s="1894">
        <f t="shared" si="30"/>
        <v>20.36636171522499</v>
      </c>
      <c r="M37" s="1896">
        <f t="shared" si="1"/>
        <v>-2201433.5</v>
      </c>
      <c r="N37" s="3198"/>
      <c r="O37" s="160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</row>
    <row r="38" spans="1:76" s="125" customFormat="1" ht="12.75" x14ac:dyDescent="0.2">
      <c r="A38" s="3516"/>
      <c r="B38" s="1903" t="s">
        <v>16</v>
      </c>
      <c r="C38" s="3518"/>
      <c r="D38" s="1823">
        <f>+E38+F38+G38+H38</f>
        <v>14691958</v>
      </c>
      <c r="E38" s="1898"/>
      <c r="F38" s="1898">
        <v>4153762</v>
      </c>
      <c r="G38" s="1898">
        <v>7428833</v>
      </c>
      <c r="H38" s="1881">
        <v>3109363</v>
      </c>
      <c r="I38" s="1823">
        <f t="shared" si="26"/>
        <v>5666745</v>
      </c>
      <c r="J38" s="1902">
        <f t="shared" si="27"/>
        <v>38.570386601976402</v>
      </c>
      <c r="K38" s="1824">
        <v>1512983</v>
      </c>
      <c r="L38" s="1902">
        <f t="shared" si="30"/>
        <v>20.36636171522499</v>
      </c>
      <c r="M38" s="1433">
        <f t="shared" si="1"/>
        <v>-2201433.5</v>
      </c>
      <c r="N38" s="3198"/>
      <c r="O38" s="160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</row>
    <row r="39" spans="1:76" s="167" customFormat="1" ht="14.1" customHeight="1" x14ac:dyDescent="0.2">
      <c r="A39" s="3516"/>
      <c r="B39" s="236" t="s">
        <v>17</v>
      </c>
      <c r="C39" s="1904"/>
      <c r="D39" s="529">
        <f>D42+D40</f>
        <v>19037923</v>
      </c>
      <c r="E39" s="484">
        <f>E42</f>
        <v>0</v>
      </c>
      <c r="F39" s="484">
        <f>F42+F40</f>
        <v>6370013</v>
      </c>
      <c r="G39" s="484">
        <f>G42+G40</f>
        <v>7887072</v>
      </c>
      <c r="H39" s="481">
        <f>H42+H40</f>
        <v>4780838</v>
      </c>
      <c r="I39" s="529">
        <f>K39+E39+F39</f>
        <v>7392640</v>
      </c>
      <c r="J39" s="1893">
        <f t="shared" si="27"/>
        <v>38.831126693810035</v>
      </c>
      <c r="K39" s="1">
        <f>K42+K40</f>
        <v>1022627</v>
      </c>
      <c r="L39" s="1893">
        <f t="shared" si="30"/>
        <v>12.965863631015415</v>
      </c>
      <c r="M39" s="1431">
        <f t="shared" si="1"/>
        <v>-2920909</v>
      </c>
      <c r="N39" s="3198"/>
      <c r="O39" s="160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</row>
    <row r="40" spans="1:76" s="167" customFormat="1" ht="14.1" customHeight="1" x14ac:dyDescent="0.2">
      <c r="A40" s="3516"/>
      <c r="B40" s="301" t="s">
        <v>18</v>
      </c>
      <c r="C40" s="1905"/>
      <c r="D40" s="1906">
        <f t="shared" ref="D40:H40" si="32">+D41</f>
        <v>4345965</v>
      </c>
      <c r="E40" s="1907">
        <f t="shared" si="32"/>
        <v>0</v>
      </c>
      <c r="F40" s="1907">
        <f t="shared" si="32"/>
        <v>379212</v>
      </c>
      <c r="G40" s="1907">
        <f t="shared" si="32"/>
        <v>2295278</v>
      </c>
      <c r="H40" s="1908">
        <f t="shared" si="32"/>
        <v>1671475</v>
      </c>
      <c r="I40" s="1906">
        <f t="shared" si="26"/>
        <v>1296091</v>
      </c>
      <c r="J40" s="1909">
        <f t="shared" si="27"/>
        <v>29.822858674655688</v>
      </c>
      <c r="K40" s="1910">
        <f>+K41</f>
        <v>916879</v>
      </c>
      <c r="L40" s="1909">
        <f t="shared" si="30"/>
        <v>39.94631587110581</v>
      </c>
      <c r="M40" s="1911">
        <f t="shared" si="1"/>
        <v>-230760</v>
      </c>
      <c r="N40" s="3198"/>
      <c r="O40" s="160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</row>
    <row r="41" spans="1:76" s="167" customFormat="1" ht="14.1" customHeight="1" x14ac:dyDescent="0.2">
      <c r="A41" s="3516"/>
      <c r="B41" s="1897" t="s">
        <v>174</v>
      </c>
      <c r="C41" s="1905"/>
      <c r="D41" s="1899">
        <f>+E41+F41+G41+H41</f>
        <v>4345965</v>
      </c>
      <c r="E41" s="1880">
        <v>0</v>
      </c>
      <c r="F41" s="1880">
        <v>379212</v>
      </c>
      <c r="G41" s="1880">
        <v>2295278</v>
      </c>
      <c r="H41" s="1912">
        <v>1671475</v>
      </c>
      <c r="I41" s="1899">
        <f t="shared" si="26"/>
        <v>1296091</v>
      </c>
      <c r="J41" s="1900">
        <f t="shared" si="27"/>
        <v>29.822858674655688</v>
      </c>
      <c r="K41" s="1913">
        <v>916879</v>
      </c>
      <c r="L41" s="1900">
        <f t="shared" si="30"/>
        <v>39.94631587110581</v>
      </c>
      <c r="M41" s="1914">
        <f t="shared" si="1"/>
        <v>-230760</v>
      </c>
      <c r="N41" s="3198"/>
      <c r="O41" s="160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</row>
    <row r="42" spans="1:76" s="125" customFormat="1" ht="12.75" customHeight="1" x14ac:dyDescent="0.2">
      <c r="A42" s="3516"/>
      <c r="B42" s="1915" t="s">
        <v>13</v>
      </c>
      <c r="C42" s="3230" t="s">
        <v>147</v>
      </c>
      <c r="D42" s="1871">
        <f>+D43</f>
        <v>14691958</v>
      </c>
      <c r="E42" s="1872">
        <f t="shared" ref="E42:F42" si="33">+E43</f>
        <v>0</v>
      </c>
      <c r="F42" s="1872">
        <f t="shared" si="33"/>
        <v>5990801</v>
      </c>
      <c r="G42" s="1872">
        <f>+G43</f>
        <v>5591794</v>
      </c>
      <c r="H42" s="1876">
        <f>+H43</f>
        <v>3109363</v>
      </c>
      <c r="I42" s="1871">
        <f t="shared" si="26"/>
        <v>6096549</v>
      </c>
      <c r="J42" s="1894">
        <f t="shared" si="27"/>
        <v>41.495823769711293</v>
      </c>
      <c r="K42" s="1895">
        <f>+K43</f>
        <v>105748</v>
      </c>
      <c r="L42" s="1894">
        <f t="shared" si="30"/>
        <v>1.891128321250747</v>
      </c>
      <c r="M42" s="1896">
        <f t="shared" si="1"/>
        <v>-2690149</v>
      </c>
      <c r="N42" s="3198"/>
      <c r="O42" s="160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</row>
    <row r="43" spans="1:76" s="125" customFormat="1" ht="15" customHeight="1" thickBot="1" x14ac:dyDescent="0.25">
      <c r="A43" s="3517"/>
      <c r="B43" s="624" t="s">
        <v>16</v>
      </c>
      <c r="C43" s="3519"/>
      <c r="D43" s="524">
        <f>+E43+F43+G43+H43</f>
        <v>14691958</v>
      </c>
      <c r="E43" s="1877">
        <v>0</v>
      </c>
      <c r="F43" s="1877">
        <v>5990801</v>
      </c>
      <c r="G43" s="1877">
        <v>5591794</v>
      </c>
      <c r="H43" s="1916">
        <v>3109363</v>
      </c>
      <c r="I43" s="524">
        <f t="shared" si="26"/>
        <v>6096549</v>
      </c>
      <c r="J43" s="1917">
        <f t="shared" si="27"/>
        <v>41.495823769711293</v>
      </c>
      <c r="K43" s="1833">
        <v>105748</v>
      </c>
      <c r="L43" s="1917">
        <f t="shared" si="30"/>
        <v>1.891128321250747</v>
      </c>
      <c r="M43" s="1918">
        <f t="shared" si="1"/>
        <v>-2690149</v>
      </c>
      <c r="N43" s="3199"/>
      <c r="O43" s="160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</row>
    <row r="44" spans="1:76" s="163" customFormat="1" ht="42.75" customHeight="1" x14ac:dyDescent="0.2">
      <c r="A44" s="3537" t="s">
        <v>41</v>
      </c>
      <c r="B44" s="1919" t="s">
        <v>312</v>
      </c>
      <c r="C44" s="1865" t="s">
        <v>236</v>
      </c>
      <c r="D44" s="1489"/>
      <c r="E44" s="626"/>
      <c r="F44" s="626"/>
      <c r="G44" s="626"/>
      <c r="H44" s="1137"/>
      <c r="I44" s="1143"/>
      <c r="J44" s="1138"/>
      <c r="K44" s="1139"/>
      <c r="L44" s="1139"/>
      <c r="M44" s="1137"/>
      <c r="N44" s="3525" t="s">
        <v>180</v>
      </c>
      <c r="O44" s="160"/>
      <c r="BX44" s="166"/>
    </row>
    <row r="45" spans="1:76" s="163" customFormat="1" ht="13.5" customHeight="1" x14ac:dyDescent="0.2">
      <c r="A45" s="3538"/>
      <c r="B45" s="1685" t="s">
        <v>3</v>
      </c>
      <c r="C45" s="1920"/>
      <c r="D45" s="529">
        <f t="shared" ref="D45:F45" si="34">D46+D48</f>
        <v>67541196</v>
      </c>
      <c r="E45" s="484">
        <f t="shared" si="34"/>
        <v>3682687</v>
      </c>
      <c r="F45" s="484">
        <f t="shared" si="34"/>
        <v>4223669</v>
      </c>
      <c r="G45" s="484">
        <f>G46+G48</f>
        <v>35000000</v>
      </c>
      <c r="H45" s="481">
        <f>H46+H48</f>
        <v>24634840</v>
      </c>
      <c r="I45" s="529">
        <f t="shared" si="26"/>
        <v>9291760</v>
      </c>
      <c r="J45" s="1109">
        <f t="shared" ref="J45:J54" si="35">I45/D45*100</f>
        <v>13.757174214090021</v>
      </c>
      <c r="K45" s="484">
        <f>K46+K48</f>
        <v>1385404</v>
      </c>
      <c r="L45" s="1893">
        <f>K45/G45*100</f>
        <v>3.958297142857143</v>
      </c>
      <c r="M45" s="481">
        <f t="shared" si="1"/>
        <v>-16114596</v>
      </c>
      <c r="N45" s="3526"/>
      <c r="O45" s="160"/>
    </row>
    <row r="46" spans="1:76" s="163" customFormat="1" ht="13.5" customHeight="1" x14ac:dyDescent="0.2">
      <c r="A46" s="3538"/>
      <c r="B46" s="1696" t="s">
        <v>18</v>
      </c>
      <c r="C46" s="3133" t="s">
        <v>181</v>
      </c>
      <c r="D46" s="1871">
        <f t="shared" ref="D46:H46" si="36">D47</f>
        <v>26631040</v>
      </c>
      <c r="E46" s="1872">
        <f t="shared" si="36"/>
        <v>3682687</v>
      </c>
      <c r="F46" s="1872">
        <f t="shared" si="36"/>
        <v>2417285</v>
      </c>
      <c r="G46" s="1872">
        <f t="shared" si="36"/>
        <v>14268293</v>
      </c>
      <c r="H46" s="1876">
        <f t="shared" si="36"/>
        <v>6262775</v>
      </c>
      <c r="I46" s="1871">
        <f t="shared" si="26"/>
        <v>6426970</v>
      </c>
      <c r="J46" s="1875">
        <f t="shared" si="35"/>
        <v>24.133379695272886</v>
      </c>
      <c r="K46" s="1872">
        <f>K47</f>
        <v>326998</v>
      </c>
      <c r="L46" s="1256">
        <v>12</v>
      </c>
      <c r="M46" s="1876">
        <f t="shared" si="1"/>
        <v>-6807148.5</v>
      </c>
      <c r="N46" s="3526"/>
      <c r="O46" s="160"/>
    </row>
    <row r="47" spans="1:76" s="125" customFormat="1" ht="13.5" customHeight="1" x14ac:dyDescent="0.2">
      <c r="A47" s="3538"/>
      <c r="B47" s="1921" t="s">
        <v>6</v>
      </c>
      <c r="C47" s="3508"/>
      <c r="D47" s="1823">
        <f>+E47+F47+G47+H47</f>
        <v>26631040</v>
      </c>
      <c r="E47" s="1898">
        <f>625947+1250000+1806740</f>
        <v>3682687</v>
      </c>
      <c r="F47" s="1898">
        <v>2417285</v>
      </c>
      <c r="G47" s="1898">
        <v>14268293</v>
      </c>
      <c r="H47" s="1881">
        <v>6262775</v>
      </c>
      <c r="I47" s="1823">
        <f t="shared" si="26"/>
        <v>6426970</v>
      </c>
      <c r="J47" s="1879">
        <f t="shared" si="35"/>
        <v>24.133379695272886</v>
      </c>
      <c r="K47" s="1898">
        <v>326998</v>
      </c>
      <c r="L47" s="1256">
        <f>K47/G47*100</f>
        <v>2.2917808037723923</v>
      </c>
      <c r="M47" s="1881">
        <f t="shared" si="1"/>
        <v>-6807148.5</v>
      </c>
      <c r="N47" s="3526"/>
      <c r="O47" s="160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</row>
    <row r="48" spans="1:76" s="125" customFormat="1" ht="13.5" customHeight="1" x14ac:dyDescent="0.2">
      <c r="A48" s="3538"/>
      <c r="B48" s="1705" t="s">
        <v>13</v>
      </c>
      <c r="C48" s="3508"/>
      <c r="D48" s="1871">
        <f t="shared" ref="D48:H48" si="37">D49</f>
        <v>40910156</v>
      </c>
      <c r="E48" s="1872">
        <f t="shared" si="37"/>
        <v>0</v>
      </c>
      <c r="F48" s="1872">
        <f t="shared" si="37"/>
        <v>1806384</v>
      </c>
      <c r="G48" s="1872">
        <f t="shared" si="37"/>
        <v>20731707</v>
      </c>
      <c r="H48" s="1876">
        <f t="shared" si="37"/>
        <v>18372065</v>
      </c>
      <c r="I48" s="1922">
        <f t="shared" si="26"/>
        <v>2864790</v>
      </c>
      <c r="J48" s="1879">
        <f t="shared" si="35"/>
        <v>7.0026376824375829</v>
      </c>
      <c r="K48" s="1923">
        <f>+K49</f>
        <v>1058406</v>
      </c>
      <c r="L48" s="1879">
        <f t="shared" ref="L48:L54" si="38">K48/G48*100</f>
        <v>5.1052525486685685</v>
      </c>
      <c r="M48" s="1876">
        <f t="shared" si="1"/>
        <v>-9307447.5</v>
      </c>
      <c r="N48" s="3526"/>
      <c r="O48" s="160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</row>
    <row r="49" spans="1:76" s="163" customFormat="1" ht="13.5" customHeight="1" x14ac:dyDescent="0.2">
      <c r="A49" s="3538"/>
      <c r="B49" s="1924" t="s">
        <v>16</v>
      </c>
      <c r="C49" s="3508"/>
      <c r="D49" s="1823">
        <f>+E49+F49+G49+H49</f>
        <v>40910156</v>
      </c>
      <c r="E49" s="1898">
        <v>0</v>
      </c>
      <c r="F49" s="1898">
        <v>1806384</v>
      </c>
      <c r="G49" s="1898">
        <v>20731707</v>
      </c>
      <c r="H49" s="1881">
        <v>18372065</v>
      </c>
      <c r="I49" s="1925">
        <f t="shared" si="26"/>
        <v>2864790</v>
      </c>
      <c r="J49" s="1879">
        <f t="shared" si="35"/>
        <v>7.0026376824375829</v>
      </c>
      <c r="K49" s="1926">
        <v>1058406</v>
      </c>
      <c r="L49" s="1879">
        <f t="shared" si="38"/>
        <v>5.1052525486685685</v>
      </c>
      <c r="M49" s="1881">
        <f t="shared" si="1"/>
        <v>-9307447.5</v>
      </c>
      <c r="N49" s="3526"/>
      <c r="O49" s="160"/>
      <c r="BX49" s="125"/>
    </row>
    <row r="50" spans="1:76" s="167" customFormat="1" ht="13.5" customHeight="1" x14ac:dyDescent="0.2">
      <c r="A50" s="3538"/>
      <c r="B50" s="1685" t="s">
        <v>17</v>
      </c>
      <c r="C50" s="1108"/>
      <c r="D50" s="529">
        <f t="shared" ref="D50:H50" si="39">D53+D51</f>
        <v>53356137</v>
      </c>
      <c r="E50" s="484">
        <f t="shared" si="39"/>
        <v>322267</v>
      </c>
      <c r="F50" s="484">
        <f t="shared" si="39"/>
        <v>2712892</v>
      </c>
      <c r="G50" s="484">
        <f t="shared" si="39"/>
        <v>24164853</v>
      </c>
      <c r="H50" s="481">
        <f t="shared" si="39"/>
        <v>26156125</v>
      </c>
      <c r="I50" s="1927">
        <f t="shared" si="26"/>
        <v>4163339</v>
      </c>
      <c r="J50" s="1109">
        <f t="shared" si="35"/>
        <v>7.8029243383942877</v>
      </c>
      <c r="K50" s="484">
        <f>+K51+K53</f>
        <v>1128180</v>
      </c>
      <c r="L50" s="1109">
        <f t="shared" si="38"/>
        <v>4.6686814109732016</v>
      </c>
      <c r="M50" s="481">
        <f t="shared" si="1"/>
        <v>-10954246.5</v>
      </c>
      <c r="N50" s="3526"/>
      <c r="O50" s="160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</row>
    <row r="51" spans="1:76" s="167" customFormat="1" ht="13.5" customHeight="1" x14ac:dyDescent="0.2">
      <c r="A51" s="3538"/>
      <c r="B51" s="1696" t="s">
        <v>18</v>
      </c>
      <c r="C51" s="1928"/>
      <c r="D51" s="1906">
        <f t="shared" ref="D51:H51" si="40">+D52</f>
        <v>12445981</v>
      </c>
      <c r="E51" s="1907">
        <f t="shared" si="40"/>
        <v>322267</v>
      </c>
      <c r="F51" s="1907">
        <f t="shared" si="40"/>
        <v>906508</v>
      </c>
      <c r="G51" s="1907">
        <f t="shared" si="40"/>
        <v>3433146</v>
      </c>
      <c r="H51" s="1908">
        <f t="shared" si="40"/>
        <v>7784060</v>
      </c>
      <c r="I51" s="1929">
        <f t="shared" si="26"/>
        <v>1298549</v>
      </c>
      <c r="J51" s="1879">
        <f t="shared" si="35"/>
        <v>10.43348049462714</v>
      </c>
      <c r="K51" s="1872">
        <f>+K52</f>
        <v>69774</v>
      </c>
      <c r="L51" s="1879">
        <f t="shared" si="38"/>
        <v>2.0323633192413024</v>
      </c>
      <c r="M51" s="1908">
        <f t="shared" si="1"/>
        <v>-1646799</v>
      </c>
      <c r="N51" s="3526"/>
      <c r="O51" s="160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</row>
    <row r="52" spans="1:76" s="167" customFormat="1" ht="17.25" customHeight="1" x14ac:dyDescent="0.2">
      <c r="A52" s="3538"/>
      <c r="B52" s="1921" t="s">
        <v>174</v>
      </c>
      <c r="C52" s="1928"/>
      <c r="D52" s="1899">
        <f>+E52+F52+G52+H52</f>
        <v>12445981</v>
      </c>
      <c r="E52" s="1880">
        <f>101937+220330</f>
        <v>322267</v>
      </c>
      <c r="F52" s="1880">
        <v>906508</v>
      </c>
      <c r="G52" s="1880">
        <v>3433146</v>
      </c>
      <c r="H52" s="1912">
        <v>7784060</v>
      </c>
      <c r="I52" s="1899">
        <f t="shared" si="26"/>
        <v>1298549</v>
      </c>
      <c r="J52" s="1879">
        <f t="shared" si="35"/>
        <v>10.43348049462714</v>
      </c>
      <c r="K52" s="1898">
        <v>69774</v>
      </c>
      <c r="L52" s="1879">
        <f t="shared" si="38"/>
        <v>2.0323633192413024</v>
      </c>
      <c r="M52" s="1912">
        <f t="shared" si="1"/>
        <v>-1646799</v>
      </c>
      <c r="N52" s="3526"/>
      <c r="O52" s="160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</row>
    <row r="53" spans="1:76" s="125" customFormat="1" ht="13.5" customHeight="1" x14ac:dyDescent="0.2">
      <c r="A53" s="3538"/>
      <c r="B53" s="1930" t="s">
        <v>13</v>
      </c>
      <c r="C53" s="3133" t="s">
        <v>147</v>
      </c>
      <c r="D53" s="1871">
        <f t="shared" ref="D53:H53" si="41">+D54</f>
        <v>40910156</v>
      </c>
      <c r="E53" s="1872">
        <f t="shared" si="41"/>
        <v>0</v>
      </c>
      <c r="F53" s="1872">
        <f t="shared" si="41"/>
        <v>1806384</v>
      </c>
      <c r="G53" s="1872">
        <f t="shared" si="41"/>
        <v>20731707</v>
      </c>
      <c r="H53" s="1876">
        <f t="shared" si="41"/>
        <v>18372065</v>
      </c>
      <c r="I53" s="1922">
        <f t="shared" si="26"/>
        <v>2864790</v>
      </c>
      <c r="J53" s="1879">
        <f t="shared" si="35"/>
        <v>7.0026376824375829</v>
      </c>
      <c r="K53" s="1923">
        <f>+K54</f>
        <v>1058406</v>
      </c>
      <c r="L53" s="1879">
        <f t="shared" si="38"/>
        <v>5.1052525486685685</v>
      </c>
      <c r="M53" s="1876">
        <f t="shared" si="1"/>
        <v>-9307447.5</v>
      </c>
      <c r="N53" s="3526"/>
      <c r="O53" s="160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</row>
    <row r="54" spans="1:76" s="125" customFormat="1" ht="13.5" customHeight="1" thickBot="1" x14ac:dyDescent="0.25">
      <c r="A54" s="3539"/>
      <c r="B54" s="1931" t="s">
        <v>16</v>
      </c>
      <c r="C54" s="3514"/>
      <c r="D54" s="524">
        <f>+E54+F54+G54+H54</f>
        <v>40910156</v>
      </c>
      <c r="E54" s="1877">
        <v>0</v>
      </c>
      <c r="F54" s="1877">
        <v>1806384</v>
      </c>
      <c r="G54" s="1877">
        <v>20731707</v>
      </c>
      <c r="H54" s="1916">
        <v>18372065</v>
      </c>
      <c r="I54" s="1932">
        <f t="shared" si="26"/>
        <v>2864790</v>
      </c>
      <c r="J54" s="1933">
        <f t="shared" si="35"/>
        <v>7.0026376824375829</v>
      </c>
      <c r="K54" s="1934">
        <v>1058406</v>
      </c>
      <c r="L54" s="1933">
        <f t="shared" si="38"/>
        <v>5.1052525486685685</v>
      </c>
      <c r="M54" s="1916">
        <f t="shared" si="1"/>
        <v>-9307447.5</v>
      </c>
      <c r="N54" s="3527"/>
      <c r="O54" s="160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</row>
    <row r="55" spans="1:76" s="125" customFormat="1" ht="31.5" customHeight="1" x14ac:dyDescent="0.2">
      <c r="A55" s="3530" t="s">
        <v>42</v>
      </c>
      <c r="B55" s="620" t="s">
        <v>182</v>
      </c>
      <c r="C55" s="1865" t="s">
        <v>236</v>
      </c>
      <c r="D55" s="1489"/>
      <c r="E55" s="1136"/>
      <c r="F55" s="1136"/>
      <c r="G55" s="1136"/>
      <c r="H55" s="1137"/>
      <c r="I55" s="1143"/>
      <c r="J55" s="1868"/>
      <c r="K55" s="1488"/>
      <c r="L55" s="1935"/>
      <c r="M55" s="1137"/>
      <c r="N55" s="3525" t="s">
        <v>183</v>
      </c>
      <c r="O55" s="160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</row>
    <row r="56" spans="1:76" s="125" customFormat="1" ht="13.5" customHeight="1" x14ac:dyDescent="0.2">
      <c r="A56" s="3531"/>
      <c r="B56" s="236" t="s">
        <v>3</v>
      </c>
      <c r="C56" s="1920"/>
      <c r="D56" s="529">
        <f>D57</f>
        <v>2900000</v>
      </c>
      <c r="E56" s="484">
        <f t="shared" ref="E56:H57" si="42">E57</f>
        <v>0</v>
      </c>
      <c r="F56" s="484">
        <f t="shared" si="42"/>
        <v>779744</v>
      </c>
      <c r="G56" s="484">
        <f t="shared" si="42"/>
        <v>2120256</v>
      </c>
      <c r="H56" s="481">
        <f t="shared" si="42"/>
        <v>0</v>
      </c>
      <c r="I56" s="529">
        <f t="shared" si="26"/>
        <v>837061</v>
      </c>
      <c r="J56" s="1109">
        <f>I56/D56*100</f>
        <v>28.864172413793103</v>
      </c>
      <c r="K56" s="484">
        <f>K57</f>
        <v>57317</v>
      </c>
      <c r="L56" s="483">
        <f>K56/G56*100</f>
        <v>2.7033056385643999</v>
      </c>
      <c r="M56" s="481">
        <f t="shared" si="1"/>
        <v>-1002811</v>
      </c>
      <c r="N56" s="3526"/>
      <c r="O56" s="160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</row>
    <row r="57" spans="1:76" s="125" customFormat="1" ht="13.5" customHeight="1" x14ac:dyDescent="0.2">
      <c r="A57" s="3531"/>
      <c r="B57" s="301" t="s">
        <v>18</v>
      </c>
      <c r="C57" s="3133" t="s">
        <v>181</v>
      </c>
      <c r="D57" s="1871">
        <f>D58</f>
        <v>2900000</v>
      </c>
      <c r="E57" s="1872">
        <f t="shared" si="42"/>
        <v>0</v>
      </c>
      <c r="F57" s="1872">
        <f t="shared" si="42"/>
        <v>779744</v>
      </c>
      <c r="G57" s="1872">
        <f t="shared" si="42"/>
        <v>2120256</v>
      </c>
      <c r="H57" s="1876">
        <f t="shared" si="42"/>
        <v>0</v>
      </c>
      <c r="I57" s="1871">
        <f t="shared" si="26"/>
        <v>837061</v>
      </c>
      <c r="J57" s="1875">
        <f>I57/D57*100</f>
        <v>28.864172413793103</v>
      </c>
      <c r="K57" s="1872">
        <f>K58</f>
        <v>57317</v>
      </c>
      <c r="L57" s="1936">
        <f>K57/G57*100</f>
        <v>2.7033056385643999</v>
      </c>
      <c r="M57" s="1876">
        <f t="shared" si="1"/>
        <v>-1002811</v>
      </c>
      <c r="N57" s="3526"/>
      <c r="O57" s="160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</row>
    <row r="58" spans="1:76" s="125" customFormat="1" ht="13.5" customHeight="1" x14ac:dyDescent="0.2">
      <c r="A58" s="3531"/>
      <c r="B58" s="1897" t="s">
        <v>6</v>
      </c>
      <c r="C58" s="3508"/>
      <c r="D58" s="1823">
        <f>+E58+F58+G58+H58</f>
        <v>2900000</v>
      </c>
      <c r="E58" s="1898">
        <v>0</v>
      </c>
      <c r="F58" s="1898">
        <v>779744</v>
      </c>
      <c r="G58" s="1898">
        <v>2120256</v>
      </c>
      <c r="H58" s="1937">
        <v>0</v>
      </c>
      <c r="I58" s="1823">
        <f t="shared" si="26"/>
        <v>837061</v>
      </c>
      <c r="J58" s="1879">
        <f>I58/D58*100</f>
        <v>28.864172413793103</v>
      </c>
      <c r="K58" s="1898">
        <v>57317</v>
      </c>
      <c r="L58" s="1938">
        <f>K58/G58*100</f>
        <v>2.7033056385643999</v>
      </c>
      <c r="M58" s="1881">
        <f t="shared" si="1"/>
        <v>-1002811</v>
      </c>
      <c r="N58" s="3526"/>
      <c r="O58" s="160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</row>
    <row r="59" spans="1:76" s="125" customFormat="1" ht="13.5" customHeight="1" x14ac:dyDescent="0.2">
      <c r="A59" s="3531"/>
      <c r="B59" s="236" t="s">
        <v>17</v>
      </c>
      <c r="C59" s="1920"/>
      <c r="D59" s="529">
        <f t="shared" ref="D59:H60" si="43">+D60</f>
        <v>515647</v>
      </c>
      <c r="E59" s="484">
        <f t="shared" si="43"/>
        <v>0</v>
      </c>
      <c r="F59" s="484">
        <f t="shared" si="43"/>
        <v>52889</v>
      </c>
      <c r="G59" s="484">
        <f t="shared" si="43"/>
        <v>462758</v>
      </c>
      <c r="H59" s="481">
        <f t="shared" si="43"/>
        <v>0</v>
      </c>
      <c r="I59" s="529">
        <f t="shared" si="26"/>
        <v>139001</v>
      </c>
      <c r="J59" s="1869">
        <v>0</v>
      </c>
      <c r="K59" s="484">
        <f>K60</f>
        <v>86112</v>
      </c>
      <c r="L59" s="584">
        <v>0</v>
      </c>
      <c r="M59" s="481">
        <f t="shared" si="1"/>
        <v>-145267</v>
      </c>
      <c r="N59" s="3526"/>
      <c r="O59" s="160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</row>
    <row r="60" spans="1:76" s="125" customFormat="1" ht="13.5" customHeight="1" x14ac:dyDescent="0.2">
      <c r="A60" s="3531"/>
      <c r="B60" s="1970" t="s">
        <v>18</v>
      </c>
      <c r="C60" s="3528" t="s">
        <v>89</v>
      </c>
      <c r="D60" s="2784">
        <f t="shared" si="43"/>
        <v>515647</v>
      </c>
      <c r="E60" s="2785">
        <f t="shared" si="43"/>
        <v>0</v>
      </c>
      <c r="F60" s="2785">
        <f t="shared" si="43"/>
        <v>52889</v>
      </c>
      <c r="G60" s="2785">
        <f t="shared" si="43"/>
        <v>462758</v>
      </c>
      <c r="H60" s="2786">
        <f t="shared" si="43"/>
        <v>0</v>
      </c>
      <c r="I60" s="1906">
        <f t="shared" si="26"/>
        <v>139001</v>
      </c>
      <c r="J60" s="1939">
        <v>0</v>
      </c>
      <c r="K60" s="1908">
        <f>K61</f>
        <v>86112</v>
      </c>
      <c r="L60" s="2666">
        <v>0</v>
      </c>
      <c r="M60" s="1908">
        <f t="shared" si="1"/>
        <v>-145267</v>
      </c>
      <c r="N60" s="3526"/>
      <c r="O60" s="160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</row>
    <row r="61" spans="1:76" s="125" customFormat="1" ht="14.25" customHeight="1" thickBot="1" x14ac:dyDescent="0.25">
      <c r="A61" s="3532"/>
      <c r="B61" s="2780" t="s">
        <v>174</v>
      </c>
      <c r="C61" s="3529"/>
      <c r="D61" s="1941">
        <f>+E61+F61+G61+H61</f>
        <v>515647</v>
      </c>
      <c r="E61" s="1942">
        <v>0</v>
      </c>
      <c r="F61" s="1942">
        <v>52889</v>
      </c>
      <c r="G61" s="1942">
        <v>462758</v>
      </c>
      <c r="H61" s="2693">
        <v>0</v>
      </c>
      <c r="I61" s="1944">
        <f t="shared" si="26"/>
        <v>139001</v>
      </c>
      <c r="J61" s="1945">
        <v>0</v>
      </c>
      <c r="K61" s="2690">
        <v>86112</v>
      </c>
      <c r="L61" s="2667">
        <v>0</v>
      </c>
      <c r="M61" s="1943">
        <f t="shared" si="1"/>
        <v>-145267</v>
      </c>
      <c r="N61" s="3527"/>
      <c r="O61" s="160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</row>
    <row r="62" spans="1:76" s="125" customFormat="1" ht="49.5" customHeight="1" x14ac:dyDescent="0.2">
      <c r="A62" s="3503" t="s">
        <v>44</v>
      </c>
      <c r="B62" s="2781" t="s">
        <v>313</v>
      </c>
      <c r="C62" s="1946" t="s">
        <v>236</v>
      </c>
      <c r="D62" s="1143"/>
      <c r="E62" s="1866"/>
      <c r="F62" s="1866"/>
      <c r="G62" s="1866"/>
      <c r="H62" s="1867"/>
      <c r="I62" s="1947"/>
      <c r="J62" s="1948"/>
      <c r="K62" s="1488"/>
      <c r="L62" s="2668"/>
      <c r="M62" s="1949"/>
      <c r="N62" s="3533" t="s">
        <v>179</v>
      </c>
      <c r="O62" s="160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</row>
    <row r="63" spans="1:76" s="125" customFormat="1" ht="13.5" customHeight="1" x14ac:dyDescent="0.2">
      <c r="A63" s="3503"/>
      <c r="B63" s="1969" t="s">
        <v>3</v>
      </c>
      <c r="C63" s="2110"/>
      <c r="D63" s="529">
        <f t="shared" ref="D63" si="44">+D64+D67</f>
        <v>1440511</v>
      </c>
      <c r="E63" s="484">
        <f>+E64+E67</f>
        <v>1064142</v>
      </c>
      <c r="F63" s="484">
        <f>+F64+F67</f>
        <v>145349</v>
      </c>
      <c r="G63" s="484">
        <f>+G64+G67</f>
        <v>231020</v>
      </c>
      <c r="H63" s="1870">
        <f>+H64+H67</f>
        <v>0</v>
      </c>
      <c r="I63" s="529">
        <f t="shared" si="26"/>
        <v>1384036</v>
      </c>
      <c r="J63" s="1109">
        <f t="shared" ref="J63:J73" si="45">I63/D63*100</f>
        <v>96.0795162272277</v>
      </c>
      <c r="K63" s="484">
        <f>+K64+K67</f>
        <v>174545</v>
      </c>
      <c r="L63" s="2669">
        <v>0</v>
      </c>
      <c r="M63" s="1950">
        <f t="shared" si="1"/>
        <v>59035</v>
      </c>
      <c r="N63" s="3526"/>
      <c r="O63" s="160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</row>
    <row r="64" spans="1:76" s="125" customFormat="1" ht="13.5" customHeight="1" x14ac:dyDescent="0.2">
      <c r="A64" s="3503"/>
      <c r="B64" s="1970" t="s">
        <v>18</v>
      </c>
      <c r="C64" s="3534" t="s">
        <v>177</v>
      </c>
      <c r="D64" s="1871">
        <f t="shared" ref="D64:E64" si="46">D66+D65</f>
        <v>231931</v>
      </c>
      <c r="E64" s="1872">
        <f t="shared" si="46"/>
        <v>175354</v>
      </c>
      <c r="F64" s="1872">
        <f>F66+F65</f>
        <v>21924</v>
      </c>
      <c r="G64" s="1872">
        <f t="shared" ref="G64:H64" si="47">G66+G65</f>
        <v>34653</v>
      </c>
      <c r="H64" s="1874">
        <f t="shared" si="47"/>
        <v>0</v>
      </c>
      <c r="I64" s="1871">
        <f t="shared" si="26"/>
        <v>223460</v>
      </c>
      <c r="J64" s="1875">
        <f t="shared" si="45"/>
        <v>96.347620628549009</v>
      </c>
      <c r="K64" s="1872">
        <f>K66+K65</f>
        <v>26182</v>
      </c>
      <c r="L64" s="2670">
        <v>0</v>
      </c>
      <c r="M64" s="1952">
        <f t="shared" si="1"/>
        <v>8855.5</v>
      </c>
      <c r="N64" s="3526"/>
      <c r="O64" s="160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</row>
    <row r="65" spans="1:75" s="125" customFormat="1" ht="13.5" customHeight="1" x14ac:dyDescent="0.2">
      <c r="A65" s="3503"/>
      <c r="B65" s="2782" t="s">
        <v>7</v>
      </c>
      <c r="C65" s="3133"/>
      <c r="D65" s="1823">
        <f>+E65+F65+G65+H65</f>
        <v>97065</v>
      </c>
      <c r="E65" s="1898">
        <f>1566+18570+40064</f>
        <v>60200</v>
      </c>
      <c r="F65" s="1898">
        <v>2212</v>
      </c>
      <c r="G65" s="1898">
        <v>34653</v>
      </c>
      <c r="H65" s="2003">
        <v>0</v>
      </c>
      <c r="I65" s="1823">
        <f t="shared" si="26"/>
        <v>88594</v>
      </c>
      <c r="J65" s="1879">
        <f t="shared" si="45"/>
        <v>91.272858393859778</v>
      </c>
      <c r="K65" s="1898">
        <v>26182</v>
      </c>
      <c r="L65" s="2665">
        <v>0</v>
      </c>
      <c r="M65" s="1954">
        <f t="shared" si="1"/>
        <v>8855.5</v>
      </c>
      <c r="N65" s="3526"/>
      <c r="O65" s="160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</row>
    <row r="66" spans="1:75" s="125" customFormat="1" ht="13.5" customHeight="1" x14ac:dyDescent="0.2">
      <c r="A66" s="3503"/>
      <c r="B66" s="2782" t="s">
        <v>6</v>
      </c>
      <c r="C66" s="3508"/>
      <c r="D66" s="1823">
        <f>+E66+F66+G66+H66</f>
        <v>134866</v>
      </c>
      <c r="E66" s="1898">
        <v>115154</v>
      </c>
      <c r="F66" s="1898">
        <v>19712</v>
      </c>
      <c r="G66" s="523">
        <v>0</v>
      </c>
      <c r="H66" s="2003">
        <v>0</v>
      </c>
      <c r="I66" s="1823">
        <f t="shared" si="26"/>
        <v>134866</v>
      </c>
      <c r="J66" s="1879">
        <f t="shared" si="45"/>
        <v>100</v>
      </c>
      <c r="K66" s="1898">
        <v>0</v>
      </c>
      <c r="L66" s="2665">
        <v>0</v>
      </c>
      <c r="M66" s="1954">
        <f t="shared" si="1"/>
        <v>0</v>
      </c>
      <c r="N66" s="3526"/>
      <c r="O66" s="160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</row>
    <row r="67" spans="1:75" s="125" customFormat="1" ht="13.5" customHeight="1" x14ac:dyDescent="0.2">
      <c r="A67" s="3503"/>
      <c r="B67" s="1517" t="s">
        <v>13</v>
      </c>
      <c r="C67" s="3508"/>
      <c r="D67" s="1871">
        <f t="shared" ref="D67:H67" si="48">+D68</f>
        <v>1208580</v>
      </c>
      <c r="E67" s="1872">
        <f t="shared" si="48"/>
        <v>888788</v>
      </c>
      <c r="F67" s="1872">
        <f t="shared" si="48"/>
        <v>123425</v>
      </c>
      <c r="G67" s="1872">
        <f t="shared" si="48"/>
        <v>196367</v>
      </c>
      <c r="H67" s="1874">
        <f t="shared" si="48"/>
        <v>0</v>
      </c>
      <c r="I67" s="1871">
        <f t="shared" si="26"/>
        <v>1160576</v>
      </c>
      <c r="J67" s="1875">
        <f t="shared" si="45"/>
        <v>96.028065994803825</v>
      </c>
      <c r="K67" s="1872">
        <f>+K68</f>
        <v>148363</v>
      </c>
      <c r="L67" s="1951">
        <v>0</v>
      </c>
      <c r="M67" s="1952">
        <f t="shared" si="1"/>
        <v>50179.5</v>
      </c>
      <c r="N67" s="3526"/>
      <c r="O67" s="160"/>
      <c r="P67" s="163">
        <f>8867+105208</f>
        <v>114075</v>
      </c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</row>
    <row r="68" spans="1:75" s="125" customFormat="1" ht="13.5" customHeight="1" x14ac:dyDescent="0.2">
      <c r="A68" s="3503"/>
      <c r="B68" s="2783" t="s">
        <v>16</v>
      </c>
      <c r="C68" s="3508"/>
      <c r="D68" s="1823">
        <f>+E68+F68+G68+H68</f>
        <v>1208580</v>
      </c>
      <c r="E68" s="1898">
        <f>114075+774713</f>
        <v>888788</v>
      </c>
      <c r="F68" s="1898">
        <v>123425</v>
      </c>
      <c r="G68" s="1898">
        <v>196367</v>
      </c>
      <c r="H68" s="2003">
        <v>0</v>
      </c>
      <c r="I68" s="1823">
        <f t="shared" si="26"/>
        <v>1160576</v>
      </c>
      <c r="J68" s="1879">
        <f t="shared" si="45"/>
        <v>96.028065994803825</v>
      </c>
      <c r="K68" s="1953">
        <v>148363</v>
      </c>
      <c r="L68" s="899">
        <v>0</v>
      </c>
      <c r="M68" s="1954">
        <f t="shared" si="1"/>
        <v>50179.5</v>
      </c>
      <c r="N68" s="3526"/>
      <c r="O68" s="160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</row>
    <row r="69" spans="1:75" s="125" customFormat="1" ht="13.5" customHeight="1" x14ac:dyDescent="0.2">
      <c r="A69" s="3503"/>
      <c r="B69" s="1969" t="s">
        <v>17</v>
      </c>
      <c r="C69" s="1108"/>
      <c r="D69" s="529">
        <f>D72+D70</f>
        <v>1208580</v>
      </c>
      <c r="E69" s="484">
        <f>E72</f>
        <v>124295</v>
      </c>
      <c r="F69" s="484">
        <f>F72</f>
        <v>794795</v>
      </c>
      <c r="G69" s="484">
        <f>G72</f>
        <v>289490</v>
      </c>
      <c r="H69" s="1870">
        <f>H72+H70</f>
        <v>0</v>
      </c>
      <c r="I69" s="529">
        <f t="shared" si="26"/>
        <v>979380</v>
      </c>
      <c r="J69" s="1109">
        <f t="shared" si="45"/>
        <v>81.035595492230556</v>
      </c>
      <c r="K69" s="1955">
        <f>K72</f>
        <v>60290</v>
      </c>
      <c r="L69" s="584">
        <v>0</v>
      </c>
      <c r="M69" s="1950">
        <f t="shared" si="1"/>
        <v>-84455</v>
      </c>
      <c r="N69" s="3526"/>
      <c r="O69" s="160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</row>
    <row r="70" spans="1:75" s="125" customFormat="1" ht="13.5" hidden="1" customHeight="1" x14ac:dyDescent="0.2">
      <c r="A70" s="3503"/>
      <c r="B70" s="301" t="s">
        <v>18</v>
      </c>
      <c r="C70" s="2729"/>
      <c r="D70" s="1956">
        <f t="shared" ref="D70:H70" si="49">+D71</f>
        <v>0</v>
      </c>
      <c r="E70" s="1939">
        <f t="shared" si="49"/>
        <v>0</v>
      </c>
      <c r="F70" s="1939">
        <f t="shared" si="49"/>
        <v>0</v>
      </c>
      <c r="G70" s="1957">
        <f t="shared" si="49"/>
        <v>0</v>
      </c>
      <c r="H70" s="2694">
        <f t="shared" si="49"/>
        <v>0</v>
      </c>
      <c r="I70" s="1956">
        <f t="shared" si="26"/>
        <v>0</v>
      </c>
      <c r="J70" s="1939" t="e">
        <f t="shared" si="45"/>
        <v>#DIV/0!</v>
      </c>
      <c r="K70" s="1958">
        <f>+K71</f>
        <v>0</v>
      </c>
      <c r="L70" s="1940" t="e">
        <f>K70/G70*100</f>
        <v>#DIV/0!</v>
      </c>
      <c r="M70" s="1959">
        <f t="shared" ref="M70:M85" si="50">+K70-G70*0.5</f>
        <v>0</v>
      </c>
      <c r="N70" s="3526"/>
      <c r="O70" s="160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</row>
    <row r="71" spans="1:75" s="125" customFormat="1" ht="12.75" hidden="1" customHeight="1" x14ac:dyDescent="0.2">
      <c r="A71" s="3503"/>
      <c r="B71" s="1897" t="s">
        <v>174</v>
      </c>
      <c r="C71" s="2730"/>
      <c r="D71" s="2731">
        <f>+E71+F71+G71+H71</f>
        <v>0</v>
      </c>
      <c r="E71" s="2732">
        <v>0</v>
      </c>
      <c r="F71" s="2732">
        <v>0</v>
      </c>
      <c r="G71" s="2733">
        <v>0</v>
      </c>
      <c r="H71" s="2695">
        <v>0</v>
      </c>
      <c r="I71" s="1956">
        <f t="shared" si="26"/>
        <v>0</v>
      </c>
      <c r="J71" s="1939" t="e">
        <f t="shared" si="45"/>
        <v>#DIV/0!</v>
      </c>
      <c r="K71" s="1958">
        <v>0</v>
      </c>
      <c r="L71" s="1940" t="e">
        <f>K71/G71*100</f>
        <v>#DIV/0!</v>
      </c>
      <c r="M71" s="1963">
        <f t="shared" si="50"/>
        <v>0</v>
      </c>
      <c r="N71" s="3526"/>
      <c r="O71" s="160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</row>
    <row r="72" spans="1:75" s="125" customFormat="1" ht="13.5" customHeight="1" x14ac:dyDescent="0.2">
      <c r="A72" s="3503"/>
      <c r="B72" s="281" t="s">
        <v>13</v>
      </c>
      <c r="C72" s="3534" t="s">
        <v>147</v>
      </c>
      <c r="D72" s="2714">
        <f>+D73</f>
        <v>1208580</v>
      </c>
      <c r="E72" s="2715">
        <f t="shared" ref="E72:F72" si="51">+E73</f>
        <v>124295</v>
      </c>
      <c r="F72" s="2715">
        <f t="shared" si="51"/>
        <v>794795</v>
      </c>
      <c r="G72" s="2715">
        <f>+G73</f>
        <v>289490</v>
      </c>
      <c r="H72" s="1964">
        <f>+H73</f>
        <v>0</v>
      </c>
      <c r="I72" s="1823">
        <f t="shared" si="26"/>
        <v>979380</v>
      </c>
      <c r="J72" s="1879">
        <f t="shared" si="45"/>
        <v>81.035595492230556</v>
      </c>
      <c r="K72" s="1953">
        <f>+K73</f>
        <v>60290</v>
      </c>
      <c r="L72" s="899">
        <v>0</v>
      </c>
      <c r="M72" s="1952">
        <f t="shared" si="50"/>
        <v>-84455</v>
      </c>
      <c r="N72" s="3526"/>
      <c r="O72" s="160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</row>
    <row r="73" spans="1:75" s="125" customFormat="1" ht="13.5" customHeight="1" thickBot="1" x14ac:dyDescent="0.25">
      <c r="A73" s="3503"/>
      <c r="B73" s="1965" t="s">
        <v>16</v>
      </c>
      <c r="C73" s="3514"/>
      <c r="D73" s="1899">
        <f>+E73+F73+G73+H73</f>
        <v>1208580</v>
      </c>
      <c r="E73" s="1880">
        <v>124295</v>
      </c>
      <c r="F73" s="1880">
        <v>794795</v>
      </c>
      <c r="G73" s="1880">
        <v>289490</v>
      </c>
      <c r="H73" s="1912">
        <v>0</v>
      </c>
      <c r="I73" s="1899">
        <f t="shared" si="26"/>
        <v>979380</v>
      </c>
      <c r="J73" s="1966">
        <f t="shared" si="45"/>
        <v>81.035595492230556</v>
      </c>
      <c r="K73" s="1880">
        <v>60290</v>
      </c>
      <c r="L73" s="1967">
        <v>0</v>
      </c>
      <c r="M73" s="1912">
        <f t="shared" si="50"/>
        <v>-84455</v>
      </c>
      <c r="N73" s="3527"/>
      <c r="O73" s="160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</row>
    <row r="74" spans="1:75" s="125" customFormat="1" ht="39" customHeight="1" x14ac:dyDescent="0.2">
      <c r="A74" s="3515" t="s">
        <v>45</v>
      </c>
      <c r="B74" s="1968" t="s">
        <v>184</v>
      </c>
      <c r="C74" s="1865" t="s">
        <v>236</v>
      </c>
      <c r="D74" s="1143"/>
      <c r="E74" s="1866"/>
      <c r="F74" s="1866"/>
      <c r="G74" s="1866"/>
      <c r="H74" s="1135"/>
      <c r="I74" s="1143"/>
      <c r="J74" s="1868"/>
      <c r="K74" s="1488"/>
      <c r="L74" s="1935"/>
      <c r="M74" s="1135"/>
      <c r="N74" s="3520" t="s">
        <v>185</v>
      </c>
      <c r="O74" s="160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</row>
    <row r="75" spans="1:75" s="125" customFormat="1" ht="13.5" customHeight="1" x14ac:dyDescent="0.2">
      <c r="A75" s="3516"/>
      <c r="B75" s="1969" t="s">
        <v>3</v>
      </c>
      <c r="C75" s="1108"/>
      <c r="D75" s="529">
        <f>+D76+D79</f>
        <v>24935520</v>
      </c>
      <c r="E75" s="484">
        <f>+E76+E79</f>
        <v>0</v>
      </c>
      <c r="F75" s="484">
        <f>F76</f>
        <v>145091</v>
      </c>
      <c r="G75" s="484">
        <f>+G76+G79</f>
        <v>9225000</v>
      </c>
      <c r="H75" s="481">
        <f>+H76+H79</f>
        <v>15565429</v>
      </c>
      <c r="I75" s="529">
        <f t="shared" si="26"/>
        <v>447327</v>
      </c>
      <c r="J75" s="1109">
        <f>I75/D75*100</f>
        <v>1.7939349169377659</v>
      </c>
      <c r="K75" s="484">
        <f>+K76+K79</f>
        <v>302236</v>
      </c>
      <c r="L75" s="483">
        <f>K75/G75*100</f>
        <v>3.2762710027100272</v>
      </c>
      <c r="M75" s="481">
        <f t="shared" si="50"/>
        <v>-4310264</v>
      </c>
      <c r="N75" s="3521"/>
      <c r="O75" s="160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</row>
    <row r="76" spans="1:75" s="125" customFormat="1" ht="13.5" customHeight="1" x14ac:dyDescent="0.2">
      <c r="A76" s="3516"/>
      <c r="B76" s="1970" t="s">
        <v>18</v>
      </c>
      <c r="C76" s="3133" t="s">
        <v>186</v>
      </c>
      <c r="D76" s="1971">
        <f t="shared" ref="D76:H76" si="52">D78+D77</f>
        <v>9730935</v>
      </c>
      <c r="E76" s="1972">
        <f t="shared" si="52"/>
        <v>0</v>
      </c>
      <c r="F76" s="1972">
        <f t="shared" si="52"/>
        <v>145091</v>
      </c>
      <c r="G76" s="1972">
        <f t="shared" si="52"/>
        <v>3511530</v>
      </c>
      <c r="H76" s="1973">
        <f t="shared" si="52"/>
        <v>6074314</v>
      </c>
      <c r="I76" s="1971">
        <f t="shared" si="26"/>
        <v>447327</v>
      </c>
      <c r="J76" s="1974">
        <f>I76/D76*100</f>
        <v>4.5969580518213311</v>
      </c>
      <c r="K76" s="1972">
        <f>K78+K77</f>
        <v>302236</v>
      </c>
      <c r="L76" s="1975">
        <f>K76/G76*100</f>
        <v>8.6069604986999959</v>
      </c>
      <c r="M76" s="1973">
        <f t="shared" si="50"/>
        <v>-1453529</v>
      </c>
      <c r="N76" s="3521"/>
      <c r="O76" s="160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</row>
    <row r="77" spans="1:75" s="125" customFormat="1" ht="14.25" customHeight="1" x14ac:dyDescent="0.2">
      <c r="A77" s="3516"/>
      <c r="B77" s="1976" t="s">
        <v>7</v>
      </c>
      <c r="C77" s="3133"/>
      <c r="D77" s="1960">
        <f>+E77+F77+G77+H77</f>
        <v>0</v>
      </c>
      <c r="E77" s="1961">
        <v>0</v>
      </c>
      <c r="F77" s="1961">
        <v>0</v>
      </c>
      <c r="G77" s="1961">
        <v>0</v>
      </c>
      <c r="H77" s="1962">
        <v>0</v>
      </c>
      <c r="I77" s="1899">
        <f t="shared" si="26"/>
        <v>302236</v>
      </c>
      <c r="J77" s="1977">
        <v>0</v>
      </c>
      <c r="K77" s="1880">
        <v>302236</v>
      </c>
      <c r="L77" s="1978">
        <v>0</v>
      </c>
      <c r="M77" s="1912">
        <f t="shared" si="50"/>
        <v>302236</v>
      </c>
      <c r="N77" s="3521"/>
      <c r="O77" s="160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</row>
    <row r="78" spans="1:75" s="125" customFormat="1" ht="13.5" customHeight="1" x14ac:dyDescent="0.2">
      <c r="A78" s="3516"/>
      <c r="B78" s="1976" t="s">
        <v>6</v>
      </c>
      <c r="C78" s="3523"/>
      <c r="D78" s="1899">
        <f>+E78+F78+G78+H78</f>
        <v>9730935</v>
      </c>
      <c r="E78" s="1880">
        <v>0</v>
      </c>
      <c r="F78" s="1880">
        <v>145091</v>
      </c>
      <c r="G78" s="1880">
        <v>3511530</v>
      </c>
      <c r="H78" s="1912">
        <v>6074314</v>
      </c>
      <c r="I78" s="1899">
        <f t="shared" si="26"/>
        <v>145091</v>
      </c>
      <c r="J78" s="1966">
        <f t="shared" ref="J78:J85" si="53">I78/D78*100</f>
        <v>1.4910283544181522</v>
      </c>
      <c r="K78" s="1880">
        <v>0</v>
      </c>
      <c r="L78" s="1967">
        <f t="shared" ref="L78:L85" si="54">K78/G78*100</f>
        <v>0</v>
      </c>
      <c r="M78" s="1912">
        <f t="shared" si="50"/>
        <v>-1755765</v>
      </c>
      <c r="N78" s="3521"/>
      <c r="O78" s="160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</row>
    <row r="79" spans="1:75" s="125" customFormat="1" ht="13.5" customHeight="1" x14ac:dyDescent="0.2">
      <c r="A79" s="3516"/>
      <c r="B79" s="1517" t="s">
        <v>13</v>
      </c>
      <c r="C79" s="3523"/>
      <c r="D79" s="1971">
        <f>+D80</f>
        <v>15204585</v>
      </c>
      <c r="E79" s="1972">
        <f t="shared" ref="E79:H79" si="55">+E80</f>
        <v>0</v>
      </c>
      <c r="F79" s="1972">
        <f t="shared" si="55"/>
        <v>0</v>
      </c>
      <c r="G79" s="1972">
        <f>+G80</f>
        <v>5713470</v>
      </c>
      <c r="H79" s="1973">
        <f t="shared" si="55"/>
        <v>9491115</v>
      </c>
      <c r="I79" s="1971">
        <f t="shared" si="26"/>
        <v>0</v>
      </c>
      <c r="J79" s="1974">
        <f t="shared" si="53"/>
        <v>0</v>
      </c>
      <c r="K79" s="1972">
        <f>+K80</f>
        <v>0</v>
      </c>
      <c r="L79" s="1975">
        <f t="shared" si="54"/>
        <v>0</v>
      </c>
      <c r="M79" s="1973">
        <f t="shared" si="50"/>
        <v>-2856735</v>
      </c>
      <c r="N79" s="3521"/>
      <c r="O79" s="160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</row>
    <row r="80" spans="1:75" s="125" customFormat="1" ht="13.5" customHeight="1" x14ac:dyDescent="0.2">
      <c r="A80" s="3516"/>
      <c r="B80" s="1965" t="s">
        <v>16</v>
      </c>
      <c r="C80" s="3523"/>
      <c r="D80" s="1899">
        <f>+E80+F80+G80+H80</f>
        <v>15204585</v>
      </c>
      <c r="E80" s="1880">
        <v>0</v>
      </c>
      <c r="F80" s="1880">
        <v>0</v>
      </c>
      <c r="G80" s="1880">
        <v>5713470</v>
      </c>
      <c r="H80" s="1912">
        <v>9491115</v>
      </c>
      <c r="I80" s="1899">
        <f t="shared" si="26"/>
        <v>0</v>
      </c>
      <c r="J80" s="1966">
        <f t="shared" si="53"/>
        <v>0</v>
      </c>
      <c r="K80" s="1880">
        <v>0</v>
      </c>
      <c r="L80" s="1967">
        <f t="shared" si="54"/>
        <v>0</v>
      </c>
      <c r="M80" s="1912">
        <f t="shared" si="50"/>
        <v>-2856735</v>
      </c>
      <c r="N80" s="3521"/>
      <c r="O80" s="160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</row>
    <row r="81" spans="1:75" s="125" customFormat="1" ht="13.5" customHeight="1" x14ac:dyDescent="0.2">
      <c r="A81" s="3516"/>
      <c r="B81" s="1969" t="s">
        <v>17</v>
      </c>
      <c r="C81" s="1108"/>
      <c r="D81" s="529">
        <f>D84+D82</f>
        <v>19634187</v>
      </c>
      <c r="E81" s="484">
        <f>E84</f>
        <v>0</v>
      </c>
      <c r="F81" s="484">
        <f>F84+F82</f>
        <v>6444</v>
      </c>
      <c r="G81" s="484">
        <f>G84+G82</f>
        <v>7371550</v>
      </c>
      <c r="H81" s="481">
        <f>H84+H82</f>
        <v>12256193</v>
      </c>
      <c r="I81" s="529">
        <f>K81+E81+F81</f>
        <v>25775</v>
      </c>
      <c r="J81" s="1109">
        <f t="shared" si="53"/>
        <v>0.13127612566794847</v>
      </c>
      <c r="K81" s="484">
        <f>K84+K82</f>
        <v>19331</v>
      </c>
      <c r="L81" s="483">
        <f t="shared" si="54"/>
        <v>0.26223792825118192</v>
      </c>
      <c r="M81" s="481">
        <f t="shared" si="50"/>
        <v>-3666444</v>
      </c>
      <c r="N81" s="3521"/>
      <c r="O81" s="160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</row>
    <row r="82" spans="1:75" s="125" customFormat="1" ht="13.5" customHeight="1" x14ac:dyDescent="0.2">
      <c r="A82" s="3516"/>
      <c r="B82" s="1970" t="s">
        <v>18</v>
      </c>
      <c r="C82" s="1928"/>
      <c r="D82" s="1906">
        <f t="shared" ref="D82:H82" si="56">+D83</f>
        <v>4429602</v>
      </c>
      <c r="E82" s="1907">
        <f t="shared" si="56"/>
        <v>0</v>
      </c>
      <c r="F82" s="1907">
        <f t="shared" si="56"/>
        <v>6444</v>
      </c>
      <c r="G82" s="1907">
        <f t="shared" si="56"/>
        <v>1658080</v>
      </c>
      <c r="H82" s="1908">
        <f t="shared" si="56"/>
        <v>2765078</v>
      </c>
      <c r="I82" s="1906">
        <f t="shared" si="26"/>
        <v>25775</v>
      </c>
      <c r="J82" s="1979">
        <f t="shared" si="53"/>
        <v>0.58188071975766675</v>
      </c>
      <c r="K82" s="1907">
        <f>+K83</f>
        <v>19331</v>
      </c>
      <c r="L82" s="1980">
        <f t="shared" si="54"/>
        <v>1.1658665444369392</v>
      </c>
      <c r="M82" s="1908">
        <f t="shared" si="50"/>
        <v>-809709</v>
      </c>
      <c r="N82" s="3521"/>
      <c r="O82" s="160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</row>
    <row r="83" spans="1:75" s="125" customFormat="1" ht="13.5" customHeight="1" x14ac:dyDescent="0.2">
      <c r="A83" s="3516"/>
      <c r="B83" s="1976" t="s">
        <v>174</v>
      </c>
      <c r="C83" s="1928"/>
      <c r="D83" s="1899">
        <f>+E83+F83+G83+H83</f>
        <v>4429602</v>
      </c>
      <c r="E83" s="1880">
        <v>0</v>
      </c>
      <c r="F83" s="1880">
        <v>6444</v>
      </c>
      <c r="G83" s="1880">
        <v>1658080</v>
      </c>
      <c r="H83" s="1912">
        <v>2765078</v>
      </c>
      <c r="I83" s="1906">
        <f t="shared" si="26"/>
        <v>25775</v>
      </c>
      <c r="J83" s="1979">
        <f t="shared" si="53"/>
        <v>0.58188071975766675</v>
      </c>
      <c r="K83" s="1880">
        <v>19331</v>
      </c>
      <c r="L83" s="1980">
        <f t="shared" si="54"/>
        <v>1.1658665444369392</v>
      </c>
      <c r="M83" s="1912">
        <f t="shared" si="50"/>
        <v>-809709</v>
      </c>
      <c r="N83" s="3521"/>
      <c r="O83" s="160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</row>
    <row r="84" spans="1:75" s="125" customFormat="1" ht="13.5" customHeight="1" x14ac:dyDescent="0.2">
      <c r="A84" s="3516"/>
      <c r="B84" s="1981" t="s">
        <v>13</v>
      </c>
      <c r="C84" s="3133" t="s">
        <v>147</v>
      </c>
      <c r="D84" s="1971">
        <f>+D85</f>
        <v>15204585</v>
      </c>
      <c r="E84" s="1972">
        <f t="shared" ref="E84:F84" si="57">+E85</f>
        <v>0</v>
      </c>
      <c r="F84" s="1972">
        <f t="shared" si="57"/>
        <v>0</v>
      </c>
      <c r="G84" s="1972">
        <f>+G85</f>
        <v>5713470</v>
      </c>
      <c r="H84" s="1973">
        <f>+H85</f>
        <v>9491115</v>
      </c>
      <c r="I84" s="1971">
        <f t="shared" si="26"/>
        <v>0</v>
      </c>
      <c r="J84" s="1974">
        <f t="shared" si="53"/>
        <v>0</v>
      </c>
      <c r="K84" s="1972">
        <f>+K85</f>
        <v>0</v>
      </c>
      <c r="L84" s="1975">
        <f t="shared" si="54"/>
        <v>0</v>
      </c>
      <c r="M84" s="1973">
        <f t="shared" si="50"/>
        <v>-2856735</v>
      </c>
      <c r="N84" s="3521"/>
      <c r="O84" s="160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</row>
    <row r="85" spans="1:75" s="125" customFormat="1" ht="13.5" customHeight="1" thickBot="1" x14ac:dyDescent="0.25">
      <c r="A85" s="3517"/>
      <c r="B85" s="1982" t="s">
        <v>16</v>
      </c>
      <c r="C85" s="3524"/>
      <c r="D85" s="1941">
        <f>+E85+F85+G85+H85</f>
        <v>15204585</v>
      </c>
      <c r="E85" s="1942">
        <v>0</v>
      </c>
      <c r="F85" s="1942">
        <v>0</v>
      </c>
      <c r="G85" s="1942">
        <v>5713470</v>
      </c>
      <c r="H85" s="1943">
        <v>9491115</v>
      </c>
      <c r="I85" s="1941">
        <f t="shared" si="26"/>
        <v>0</v>
      </c>
      <c r="J85" s="1983">
        <f t="shared" si="53"/>
        <v>0</v>
      </c>
      <c r="K85" s="1942">
        <v>0</v>
      </c>
      <c r="L85" s="1984">
        <f t="shared" si="54"/>
        <v>0</v>
      </c>
      <c r="M85" s="1943">
        <f t="shared" si="50"/>
        <v>-2856735</v>
      </c>
      <c r="N85" s="3522"/>
      <c r="O85" s="160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</row>
    <row r="86" spans="1:75" s="125" customFormat="1" ht="13.5" customHeight="1" x14ac:dyDescent="0.2">
      <c r="A86" s="972"/>
      <c r="B86" s="172"/>
      <c r="C86" s="173"/>
      <c r="D86" s="174"/>
      <c r="E86" s="174"/>
      <c r="F86" s="174"/>
      <c r="G86" s="174"/>
      <c r="H86" s="174"/>
      <c r="I86" s="174"/>
      <c r="J86" s="175"/>
      <c r="K86" s="174"/>
      <c r="L86" s="175"/>
      <c r="M86" s="174"/>
      <c r="N86" s="1524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</row>
    <row r="87" spans="1:75" s="125" customFormat="1" ht="13.5" customHeight="1" x14ac:dyDescent="0.2">
      <c r="A87" s="972"/>
      <c r="B87" s="172"/>
      <c r="C87" s="173"/>
      <c r="D87" s="174"/>
      <c r="E87" s="174"/>
      <c r="F87" s="174"/>
      <c r="G87" s="174"/>
      <c r="H87" s="174"/>
      <c r="I87" s="174"/>
      <c r="J87" s="175"/>
      <c r="K87" s="174"/>
      <c r="L87" s="175"/>
      <c r="M87" s="174"/>
      <c r="N87" s="1524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</row>
    <row r="88" spans="1:75" s="125" customFormat="1" ht="13.5" customHeight="1" x14ac:dyDescent="0.2">
      <c r="A88" s="972"/>
      <c r="B88" s="172"/>
      <c r="C88" s="173"/>
      <c r="D88" s="174"/>
      <c r="E88" s="174"/>
      <c r="F88" s="174"/>
      <c r="G88" s="174"/>
      <c r="H88" s="174"/>
      <c r="I88" s="174"/>
      <c r="J88" s="175"/>
      <c r="K88" s="174"/>
      <c r="L88" s="175"/>
      <c r="M88" s="174"/>
      <c r="N88" s="1524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</row>
    <row r="89" spans="1:75" x14ac:dyDescent="0.2">
      <c r="A89" s="189" t="s">
        <v>296</v>
      </c>
      <c r="B89" s="182"/>
      <c r="C89" s="182"/>
      <c r="D89" s="182"/>
      <c r="E89" s="174"/>
      <c r="F89" s="182"/>
      <c r="G89" s="182"/>
      <c r="H89" s="182"/>
      <c r="N89" s="97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</row>
    <row r="90" spans="1:75" x14ac:dyDescent="0.2">
      <c r="A90" s="189"/>
      <c r="B90" s="182"/>
      <c r="C90" s="182"/>
      <c r="D90" s="182"/>
      <c r="E90" s="174"/>
      <c r="F90" s="182"/>
      <c r="G90" s="182"/>
      <c r="H90" s="182"/>
      <c r="N90" s="973"/>
    </row>
    <row r="91" spans="1:75" x14ac:dyDescent="0.2">
      <c r="A91" s="189"/>
      <c r="B91" s="182"/>
      <c r="C91" s="182"/>
      <c r="D91" s="182"/>
      <c r="E91" s="179"/>
      <c r="F91" s="182"/>
      <c r="G91" s="182"/>
      <c r="H91" s="182"/>
      <c r="N91" s="973"/>
    </row>
    <row r="92" spans="1:75" x14ac:dyDescent="0.2">
      <c r="A92" s="189"/>
      <c r="B92" s="182"/>
      <c r="C92" s="182"/>
      <c r="D92" s="182"/>
      <c r="E92" s="174"/>
      <c r="F92" s="182"/>
      <c r="G92" s="182"/>
      <c r="H92" s="182"/>
      <c r="N92" s="973"/>
    </row>
    <row r="93" spans="1:75" ht="12" thickBot="1" x14ac:dyDescent="0.25">
      <c r="A93" s="192"/>
      <c r="B93" s="193"/>
      <c r="C93" s="193"/>
      <c r="D93" s="193"/>
      <c r="E93" s="974"/>
      <c r="F93" s="193"/>
      <c r="G93" s="193"/>
      <c r="H93" s="193"/>
      <c r="I93" s="193"/>
      <c r="J93" s="193"/>
      <c r="K93" s="193"/>
      <c r="L93" s="193"/>
      <c r="M93" s="193"/>
      <c r="N93" s="975"/>
    </row>
    <row r="94" spans="1:75" ht="12" thickBot="1" x14ac:dyDescent="0.25">
      <c r="A94" s="192"/>
      <c r="B94" s="193"/>
      <c r="C94" s="193"/>
      <c r="D94" s="193"/>
      <c r="E94" s="1003"/>
      <c r="F94" s="193"/>
      <c r="G94" s="193"/>
      <c r="H94" s="193"/>
      <c r="I94" s="193"/>
      <c r="J94" s="193"/>
      <c r="K94" s="193"/>
      <c r="L94" s="193"/>
      <c r="M94" s="193"/>
      <c r="N94" s="975"/>
    </row>
    <row r="95" spans="1:75" x14ac:dyDescent="0.2">
      <c r="A95" s="184"/>
      <c r="B95" s="186"/>
      <c r="C95" s="186"/>
      <c r="D95" s="186"/>
      <c r="E95" s="1340"/>
      <c r="F95" s="186"/>
      <c r="G95" s="186"/>
      <c r="H95" s="186"/>
      <c r="I95" s="186"/>
      <c r="J95" s="186"/>
      <c r="K95" s="186"/>
      <c r="L95" s="186"/>
      <c r="M95" s="186"/>
      <c r="N95" s="982"/>
    </row>
    <row r="96" spans="1:75" x14ac:dyDescent="0.2">
      <c r="A96" s="189"/>
      <c r="B96" s="182"/>
      <c r="C96" s="182"/>
      <c r="D96" s="182"/>
      <c r="E96" s="174"/>
      <c r="F96" s="182"/>
      <c r="G96" s="182"/>
      <c r="H96" s="182"/>
      <c r="N96" s="973"/>
    </row>
    <row r="97" spans="1:14" x14ac:dyDescent="0.2">
      <c r="A97" s="189"/>
      <c r="B97" s="182"/>
      <c r="C97" s="182"/>
      <c r="D97" s="182"/>
      <c r="E97" s="181"/>
      <c r="F97" s="182"/>
      <c r="G97" s="182"/>
      <c r="H97" s="182"/>
      <c r="N97" s="973"/>
    </row>
    <row r="98" spans="1:14" x14ac:dyDescent="0.2">
      <c r="A98" s="189"/>
      <c r="B98" s="182"/>
      <c r="C98" s="182"/>
      <c r="D98" s="182"/>
      <c r="E98" s="174"/>
      <c r="F98" s="182"/>
      <c r="G98" s="182"/>
      <c r="H98" s="182"/>
      <c r="N98" s="973"/>
    </row>
    <row r="99" spans="1:14" x14ac:dyDescent="0.2">
      <c r="A99" s="189"/>
      <c r="B99" s="182"/>
      <c r="C99" s="182"/>
      <c r="D99" s="182"/>
      <c r="E99" s="174"/>
      <c r="F99" s="182"/>
      <c r="G99" s="182"/>
      <c r="H99" s="182"/>
      <c r="N99" s="973"/>
    </row>
    <row r="100" spans="1:14" x14ac:dyDescent="0.2">
      <c r="A100" s="189"/>
      <c r="B100" s="182"/>
      <c r="C100" s="182"/>
      <c r="D100" s="182"/>
      <c r="E100" s="174"/>
      <c r="F100" s="182"/>
      <c r="G100" s="182"/>
      <c r="H100" s="182"/>
      <c r="N100" s="973"/>
    </row>
    <row r="101" spans="1:14" x14ac:dyDescent="0.2">
      <c r="A101" s="189"/>
      <c r="B101" s="182"/>
      <c r="C101" s="182"/>
      <c r="D101" s="182"/>
      <c r="E101" s="181"/>
      <c r="F101" s="182"/>
      <c r="G101" s="182"/>
      <c r="H101" s="182"/>
      <c r="N101" s="973"/>
    </row>
    <row r="102" spans="1:14" x14ac:dyDescent="0.2">
      <c r="A102" s="189"/>
      <c r="B102" s="182"/>
      <c r="C102" s="182"/>
      <c r="D102" s="182"/>
      <c r="E102" s="174"/>
      <c r="F102" s="182"/>
      <c r="G102" s="182"/>
      <c r="H102" s="182"/>
      <c r="N102" s="973"/>
    </row>
    <row r="103" spans="1:14" x14ac:dyDescent="0.2">
      <c r="A103" s="189"/>
      <c r="B103" s="182"/>
      <c r="C103" s="182"/>
      <c r="D103" s="182"/>
      <c r="E103" s="174"/>
      <c r="F103" s="182"/>
      <c r="G103" s="182"/>
      <c r="H103" s="182"/>
      <c r="N103" s="973"/>
    </row>
    <row r="104" spans="1:14" x14ac:dyDescent="0.2">
      <c r="A104" s="189"/>
      <c r="B104" s="182"/>
      <c r="C104" s="182"/>
      <c r="D104" s="182"/>
      <c r="E104" s="174"/>
      <c r="F104" s="182"/>
      <c r="G104" s="182"/>
      <c r="H104" s="182"/>
      <c r="N104" s="973"/>
    </row>
    <row r="105" spans="1:14" x14ac:dyDescent="0.2">
      <c r="A105" s="189"/>
      <c r="B105" s="182"/>
      <c r="C105" s="182"/>
      <c r="D105" s="182"/>
      <c r="E105" s="179"/>
      <c r="F105" s="182"/>
      <c r="G105" s="182"/>
      <c r="H105" s="182"/>
      <c r="N105" s="973"/>
    </row>
    <row r="106" spans="1:14" ht="12" thickBot="1" x14ac:dyDescent="0.25">
      <c r="A106" s="192"/>
      <c r="B106" s="193"/>
      <c r="C106" s="193"/>
      <c r="D106" s="193"/>
      <c r="E106" s="1003"/>
      <c r="F106" s="193"/>
      <c r="G106" s="193"/>
      <c r="H106" s="193"/>
      <c r="I106" s="193"/>
      <c r="J106" s="193"/>
      <c r="K106" s="193"/>
      <c r="L106" s="193"/>
      <c r="M106" s="193"/>
      <c r="N106" s="975"/>
    </row>
    <row r="107" spans="1:14" x14ac:dyDescent="0.2">
      <c r="A107" s="184"/>
      <c r="B107" s="186"/>
      <c r="C107" s="186"/>
      <c r="D107" s="186"/>
      <c r="E107" s="1341"/>
      <c r="F107" s="186"/>
      <c r="G107" s="186"/>
      <c r="H107" s="186"/>
      <c r="I107" s="186"/>
      <c r="J107" s="186"/>
      <c r="K107" s="186"/>
      <c r="L107" s="186"/>
      <c r="M107" s="186"/>
      <c r="N107" s="982"/>
    </row>
    <row r="108" spans="1:14" x14ac:dyDescent="0.2">
      <c r="A108" s="189"/>
      <c r="B108" s="182"/>
      <c r="C108" s="182"/>
      <c r="D108" s="182"/>
      <c r="E108" s="174"/>
      <c r="F108" s="182"/>
      <c r="G108" s="182"/>
      <c r="H108" s="182"/>
      <c r="N108" s="973"/>
    </row>
    <row r="109" spans="1:14" x14ac:dyDescent="0.2">
      <c r="A109" s="189"/>
      <c r="B109" s="182"/>
      <c r="C109" s="182"/>
      <c r="D109" s="182"/>
      <c r="E109" s="180"/>
      <c r="F109" s="182"/>
      <c r="G109" s="182"/>
      <c r="H109" s="182"/>
      <c r="N109" s="973"/>
    </row>
    <row r="110" spans="1:14" x14ac:dyDescent="0.2">
      <c r="A110" s="189"/>
      <c r="B110" s="182"/>
      <c r="C110" s="182"/>
      <c r="D110" s="182"/>
      <c r="E110" s="174"/>
      <c r="F110" s="182"/>
      <c r="G110" s="182"/>
      <c r="H110" s="182"/>
      <c r="N110" s="973"/>
    </row>
    <row r="111" spans="1:14" x14ac:dyDescent="0.2">
      <c r="A111" s="189"/>
      <c r="B111" s="182"/>
      <c r="C111" s="182"/>
      <c r="D111" s="182"/>
      <c r="E111" s="181"/>
      <c r="F111" s="182"/>
      <c r="G111" s="182"/>
      <c r="H111" s="182"/>
      <c r="N111" s="973"/>
    </row>
    <row r="112" spans="1:14" x14ac:dyDescent="0.2">
      <c r="A112" s="189"/>
      <c r="B112" s="182"/>
      <c r="C112" s="182"/>
      <c r="D112" s="182"/>
      <c r="E112" s="174"/>
      <c r="F112" s="182"/>
      <c r="G112" s="182"/>
      <c r="H112" s="182"/>
      <c r="N112" s="973"/>
    </row>
    <row r="113" spans="1:14" x14ac:dyDescent="0.2">
      <c r="A113" s="189"/>
      <c r="B113" s="182"/>
      <c r="C113" s="182"/>
      <c r="D113" s="182"/>
      <c r="E113" s="174"/>
      <c r="F113" s="182"/>
      <c r="G113" s="182"/>
      <c r="H113" s="182"/>
      <c r="N113" s="973"/>
    </row>
    <row r="114" spans="1:14" x14ac:dyDescent="0.2">
      <c r="A114" s="189"/>
      <c r="B114" s="182"/>
      <c r="C114" s="182"/>
      <c r="D114" s="182"/>
      <c r="E114" s="174"/>
      <c r="F114" s="182"/>
      <c r="G114" s="182"/>
      <c r="H114" s="182"/>
      <c r="N114" s="973"/>
    </row>
    <row r="115" spans="1:14" x14ac:dyDescent="0.2">
      <c r="A115" s="189"/>
      <c r="B115" s="182"/>
      <c r="C115" s="182"/>
      <c r="D115" s="182"/>
      <c r="E115" s="181"/>
      <c r="F115" s="182"/>
      <c r="G115" s="182"/>
      <c r="H115" s="182"/>
      <c r="N115" s="973"/>
    </row>
    <row r="116" spans="1:14" x14ac:dyDescent="0.2">
      <c r="A116" s="189"/>
      <c r="B116" s="182"/>
      <c r="C116" s="182"/>
      <c r="D116" s="182"/>
      <c r="E116" s="174"/>
      <c r="F116" s="182"/>
      <c r="G116" s="182"/>
      <c r="H116" s="182"/>
      <c r="N116" s="973"/>
    </row>
    <row r="117" spans="1:14" x14ac:dyDescent="0.2">
      <c r="A117" s="189"/>
      <c r="B117" s="182"/>
      <c r="C117" s="182"/>
      <c r="D117" s="182"/>
      <c r="E117" s="174"/>
      <c r="F117" s="182"/>
      <c r="G117" s="182"/>
      <c r="H117" s="182"/>
      <c r="N117" s="973"/>
    </row>
    <row r="118" spans="1:14" ht="12" thickBot="1" x14ac:dyDescent="0.25">
      <c r="A118" s="192"/>
      <c r="B118" s="193"/>
      <c r="C118" s="193"/>
      <c r="D118" s="193"/>
      <c r="E118" s="1003"/>
      <c r="F118" s="193"/>
      <c r="G118" s="193"/>
      <c r="H118" s="193"/>
      <c r="I118" s="193"/>
      <c r="J118" s="193"/>
      <c r="K118" s="193"/>
      <c r="L118" s="193"/>
      <c r="M118" s="193"/>
      <c r="N118" s="975"/>
    </row>
    <row r="119" spans="1:14" x14ac:dyDescent="0.2">
      <c r="A119" s="1348"/>
      <c r="B119" s="1349"/>
      <c r="C119" s="1349"/>
      <c r="D119" s="1349"/>
      <c r="E119" s="1350"/>
      <c r="F119" s="1349"/>
      <c r="G119" s="1349"/>
      <c r="H119" s="1349"/>
      <c r="I119" s="1349"/>
      <c r="J119" s="1349"/>
      <c r="K119" s="1349"/>
      <c r="L119" s="1349"/>
      <c r="M119" s="1349"/>
      <c r="N119" s="1351"/>
    </row>
    <row r="120" spans="1:14" x14ac:dyDescent="0.2">
      <c r="A120" s="1352"/>
      <c r="B120" s="1353"/>
      <c r="C120" s="1353"/>
      <c r="D120" s="1353"/>
      <c r="E120" s="1354"/>
      <c r="F120" s="1353"/>
      <c r="G120" s="1353"/>
      <c r="H120" s="1353"/>
      <c r="I120" s="1353"/>
      <c r="J120" s="1353"/>
      <c r="K120" s="1353"/>
      <c r="L120" s="1353"/>
      <c r="M120" s="1353"/>
      <c r="N120" s="1355"/>
    </row>
    <row r="121" spans="1:14" x14ac:dyDescent="0.2">
      <c r="A121" s="1352"/>
      <c r="B121" s="1353"/>
      <c r="C121" s="1353"/>
      <c r="D121" s="1353"/>
      <c r="E121" s="1356"/>
      <c r="F121" s="1353"/>
      <c r="G121" s="1353"/>
      <c r="H121" s="1353"/>
      <c r="I121" s="1353"/>
      <c r="J121" s="1353"/>
      <c r="K121" s="1353"/>
      <c r="L121" s="1353"/>
      <c r="M121" s="1353"/>
      <c r="N121" s="1355"/>
    </row>
    <row r="122" spans="1:14" x14ac:dyDescent="0.2">
      <c r="A122" s="1352"/>
      <c r="B122" s="1353"/>
      <c r="C122" s="1353"/>
      <c r="D122" s="1353"/>
      <c r="E122" s="1354"/>
      <c r="F122" s="1353"/>
      <c r="G122" s="1353"/>
      <c r="H122" s="1353"/>
      <c r="I122" s="1353"/>
      <c r="J122" s="1353"/>
      <c r="K122" s="1353"/>
      <c r="L122" s="1353"/>
      <c r="M122" s="1353"/>
      <c r="N122" s="1355"/>
    </row>
    <row r="123" spans="1:14" x14ac:dyDescent="0.2">
      <c r="A123" s="1352"/>
      <c r="B123" s="1353"/>
      <c r="C123" s="1353"/>
      <c r="D123" s="1353"/>
      <c r="E123" s="1357"/>
      <c r="F123" s="1353"/>
      <c r="G123" s="1353"/>
      <c r="H123" s="1353"/>
      <c r="I123" s="1353"/>
      <c r="J123" s="1353"/>
      <c r="K123" s="1353"/>
      <c r="L123" s="1353"/>
      <c r="M123" s="1353"/>
      <c r="N123" s="1355"/>
    </row>
    <row r="124" spans="1:14" x14ac:dyDescent="0.2">
      <c r="A124" s="1352"/>
      <c r="B124" s="1353"/>
      <c r="C124" s="1353"/>
      <c r="D124" s="1353"/>
      <c r="E124" s="1354"/>
      <c r="F124" s="1353"/>
      <c r="G124" s="1353"/>
      <c r="H124" s="1353"/>
      <c r="I124" s="1353"/>
      <c r="J124" s="1353"/>
      <c r="K124" s="1353"/>
      <c r="L124" s="1353"/>
      <c r="M124" s="1353"/>
      <c r="N124" s="1355"/>
    </row>
    <row r="125" spans="1:14" x14ac:dyDescent="0.2">
      <c r="A125" s="1352"/>
      <c r="B125" s="1353"/>
      <c r="C125" s="1353"/>
      <c r="D125" s="1353"/>
      <c r="E125" s="1358"/>
      <c r="F125" s="1353"/>
      <c r="G125" s="1353"/>
      <c r="H125" s="1353"/>
      <c r="I125" s="1353"/>
      <c r="J125" s="1353"/>
      <c r="K125" s="1353"/>
      <c r="L125" s="1353"/>
      <c r="M125" s="1353"/>
      <c r="N125" s="1355"/>
    </row>
    <row r="126" spans="1:14" x14ac:dyDescent="0.2">
      <c r="A126" s="1352"/>
      <c r="B126" s="1353"/>
      <c r="C126" s="1353"/>
      <c r="D126" s="1353"/>
      <c r="E126" s="1354"/>
      <c r="F126" s="1353"/>
      <c r="G126" s="1353"/>
      <c r="H126" s="1353"/>
      <c r="I126" s="1353"/>
      <c r="J126" s="1353"/>
      <c r="K126" s="1353"/>
      <c r="L126" s="1353"/>
      <c r="M126" s="1353"/>
      <c r="N126" s="1355"/>
    </row>
    <row r="127" spans="1:14" x14ac:dyDescent="0.2">
      <c r="A127" s="1352"/>
      <c r="B127" s="1353"/>
      <c r="C127" s="1353"/>
      <c r="D127" s="1353"/>
      <c r="E127" s="1354"/>
      <c r="F127" s="1353"/>
      <c r="G127" s="1353"/>
      <c r="H127" s="1353"/>
      <c r="I127" s="1353"/>
      <c r="J127" s="1353"/>
      <c r="K127" s="1353"/>
      <c r="L127" s="1353"/>
      <c r="M127" s="1353"/>
      <c r="N127" s="1355"/>
    </row>
    <row r="128" spans="1:14" x14ac:dyDescent="0.2">
      <c r="A128" s="1352"/>
      <c r="B128" s="1353"/>
      <c r="C128" s="1353"/>
      <c r="D128" s="1353"/>
      <c r="E128" s="1354"/>
      <c r="F128" s="1353"/>
      <c r="G128" s="1353"/>
      <c r="H128" s="1353"/>
      <c r="I128" s="1353"/>
      <c r="J128" s="1353"/>
      <c r="K128" s="1353"/>
      <c r="L128" s="1353"/>
      <c r="M128" s="1353"/>
      <c r="N128" s="1355"/>
    </row>
    <row r="129" spans="1:14" x14ac:dyDescent="0.2">
      <c r="A129" s="1352"/>
      <c r="B129" s="1353"/>
      <c r="C129" s="1353"/>
      <c r="D129" s="1353"/>
      <c r="E129" s="1358"/>
      <c r="F129" s="1353"/>
      <c r="G129" s="1353"/>
      <c r="H129" s="1353"/>
      <c r="I129" s="1353"/>
      <c r="J129" s="1353"/>
      <c r="K129" s="1353"/>
      <c r="L129" s="1353"/>
      <c r="M129" s="1353"/>
      <c r="N129" s="1355"/>
    </row>
    <row r="130" spans="1:14" ht="12" thickBot="1" x14ac:dyDescent="0.25">
      <c r="A130" s="1359"/>
      <c r="B130" s="1360"/>
      <c r="C130" s="1360"/>
      <c r="D130" s="1360"/>
      <c r="E130" s="1361"/>
      <c r="F130" s="1360"/>
      <c r="G130" s="1360"/>
      <c r="H130" s="1360"/>
      <c r="I130" s="1360"/>
      <c r="J130" s="1360"/>
      <c r="K130" s="1360"/>
      <c r="L130" s="1360"/>
      <c r="M130" s="1360"/>
      <c r="N130" s="1362"/>
    </row>
    <row r="131" spans="1:14" x14ac:dyDescent="0.2">
      <c r="A131" s="184"/>
      <c r="B131" s="186"/>
      <c r="C131" s="186"/>
      <c r="D131" s="186"/>
      <c r="E131" s="981"/>
      <c r="F131" s="186"/>
      <c r="G131" s="186"/>
      <c r="H131" s="186"/>
      <c r="I131" s="186"/>
      <c r="J131" s="186"/>
      <c r="K131" s="186"/>
      <c r="L131" s="186"/>
      <c r="M131" s="186"/>
      <c r="N131" s="982"/>
    </row>
    <row r="132" spans="1:14" x14ac:dyDescent="0.2">
      <c r="A132" s="189"/>
      <c r="B132" s="182"/>
      <c r="C132" s="182"/>
      <c r="D132" s="182"/>
      <c r="E132" s="174"/>
      <c r="F132" s="182"/>
      <c r="G132" s="182"/>
      <c r="H132" s="182"/>
      <c r="N132" s="973"/>
    </row>
    <row r="133" spans="1:14" x14ac:dyDescent="0.2">
      <c r="A133" s="189"/>
      <c r="B133" s="182"/>
      <c r="C133" s="182"/>
      <c r="D133" s="182"/>
      <c r="E133" s="179"/>
      <c r="F133" s="182"/>
      <c r="G133" s="182"/>
      <c r="H133" s="182"/>
      <c r="N133" s="973"/>
    </row>
    <row r="134" spans="1:14" x14ac:dyDescent="0.2">
      <c r="A134" s="189"/>
      <c r="B134" s="182"/>
      <c r="C134" s="182"/>
      <c r="D134" s="182"/>
      <c r="E134" s="174"/>
      <c r="F134" s="182"/>
      <c r="G134" s="182"/>
      <c r="H134" s="182"/>
      <c r="N134" s="973"/>
    </row>
    <row r="135" spans="1:14" x14ac:dyDescent="0.2">
      <c r="A135" s="189"/>
      <c r="B135" s="182"/>
      <c r="C135" s="182"/>
      <c r="D135" s="182"/>
      <c r="E135" s="179"/>
      <c r="F135" s="182"/>
      <c r="G135" s="182"/>
      <c r="H135" s="182"/>
      <c r="N135" s="973"/>
    </row>
    <row r="136" spans="1:14" x14ac:dyDescent="0.2">
      <c r="A136" s="189"/>
      <c r="B136" s="182"/>
      <c r="C136" s="182"/>
      <c r="D136" s="182"/>
      <c r="E136" s="174"/>
      <c r="F136" s="182"/>
      <c r="G136" s="182"/>
      <c r="H136" s="182"/>
      <c r="N136" s="973"/>
    </row>
    <row r="137" spans="1:14" x14ac:dyDescent="0.2">
      <c r="A137" s="189"/>
      <c r="B137" s="182"/>
      <c r="C137" s="182"/>
      <c r="D137" s="182"/>
      <c r="E137" s="180"/>
      <c r="F137" s="182"/>
      <c r="G137" s="182"/>
      <c r="H137" s="182"/>
      <c r="N137" s="973"/>
    </row>
    <row r="138" spans="1:14" x14ac:dyDescent="0.2">
      <c r="A138" s="189"/>
      <c r="B138" s="182"/>
      <c r="C138" s="182"/>
      <c r="D138" s="182"/>
      <c r="E138" s="174"/>
      <c r="F138" s="182"/>
      <c r="G138" s="182"/>
      <c r="H138" s="182"/>
      <c r="N138" s="973"/>
    </row>
    <row r="139" spans="1:14" ht="12" thickBot="1" x14ac:dyDescent="0.25">
      <c r="A139" s="192"/>
      <c r="B139" s="193"/>
      <c r="C139" s="193"/>
      <c r="D139" s="193"/>
      <c r="E139" s="984"/>
      <c r="F139" s="193"/>
      <c r="G139" s="193"/>
      <c r="H139" s="193"/>
      <c r="I139" s="193"/>
      <c r="J139" s="193"/>
      <c r="K139" s="193"/>
      <c r="L139" s="193"/>
      <c r="M139" s="193"/>
      <c r="N139" s="975"/>
    </row>
    <row r="140" spans="1:14" x14ac:dyDescent="0.2">
      <c r="A140" s="184"/>
      <c r="B140" s="186"/>
      <c r="C140" s="186"/>
      <c r="D140" s="186"/>
      <c r="E140" s="981"/>
      <c r="F140" s="186"/>
      <c r="G140" s="186"/>
      <c r="H140" s="186"/>
      <c r="I140" s="186"/>
      <c r="J140" s="186"/>
      <c r="K140" s="186"/>
      <c r="L140" s="186"/>
      <c r="M140" s="186"/>
      <c r="N140" s="982"/>
    </row>
    <row r="141" spans="1:14" x14ac:dyDescent="0.2">
      <c r="A141" s="189"/>
      <c r="B141" s="182"/>
      <c r="C141" s="182"/>
      <c r="D141" s="182"/>
      <c r="E141" s="174"/>
      <c r="F141" s="182"/>
      <c r="G141" s="182"/>
      <c r="H141" s="182"/>
      <c r="N141" s="973"/>
    </row>
    <row r="142" spans="1:14" ht="12" thickBot="1" x14ac:dyDescent="0.25">
      <c r="A142" s="192"/>
      <c r="B142" s="193"/>
      <c r="C142" s="193"/>
      <c r="D142" s="193"/>
      <c r="E142" s="1003"/>
      <c r="F142" s="193"/>
      <c r="G142" s="193"/>
      <c r="H142" s="193"/>
      <c r="I142" s="193"/>
      <c r="J142" s="193"/>
      <c r="K142" s="193"/>
      <c r="L142" s="193"/>
      <c r="M142" s="193"/>
      <c r="N142" s="975"/>
    </row>
    <row r="143" spans="1:14" x14ac:dyDescent="0.2">
      <c r="A143" s="184"/>
      <c r="B143" s="186"/>
      <c r="C143" s="186"/>
      <c r="D143" s="186"/>
      <c r="E143" s="1379"/>
      <c r="F143" s="186"/>
      <c r="G143" s="186"/>
      <c r="H143" s="186"/>
      <c r="I143" s="186"/>
      <c r="J143" s="186"/>
      <c r="K143" s="186"/>
      <c r="L143" s="186"/>
      <c r="M143" s="186"/>
      <c r="N143" s="982"/>
    </row>
    <row r="144" spans="1:14" x14ac:dyDescent="0.2">
      <c r="A144" s="189"/>
      <c r="B144" s="182"/>
      <c r="C144" s="182"/>
      <c r="D144" s="182"/>
      <c r="E144" s="174"/>
      <c r="F144" s="182"/>
      <c r="G144" s="182"/>
      <c r="H144" s="182"/>
      <c r="N144" s="973"/>
    </row>
    <row r="145" spans="1:14" x14ac:dyDescent="0.2">
      <c r="A145" s="189"/>
      <c r="B145" s="182"/>
      <c r="C145" s="182"/>
      <c r="D145" s="182"/>
      <c r="E145" s="174"/>
      <c r="F145" s="182"/>
      <c r="G145" s="182"/>
      <c r="H145" s="182"/>
      <c r="N145" s="973"/>
    </row>
    <row r="146" spans="1:14" x14ac:dyDescent="0.2">
      <c r="A146" s="189"/>
      <c r="B146" s="182"/>
      <c r="C146" s="182"/>
      <c r="D146" s="182"/>
      <c r="E146" s="174"/>
      <c r="F146" s="182"/>
      <c r="G146" s="182"/>
      <c r="H146" s="182"/>
      <c r="N146" s="973"/>
    </row>
    <row r="147" spans="1:14" x14ac:dyDescent="0.2">
      <c r="A147" s="189"/>
      <c r="B147" s="182"/>
      <c r="C147" s="182"/>
      <c r="D147" s="182"/>
      <c r="E147" s="179"/>
      <c r="F147" s="182"/>
      <c r="G147" s="182"/>
      <c r="H147" s="182"/>
      <c r="N147" s="973"/>
    </row>
    <row r="148" spans="1:14" x14ac:dyDescent="0.2">
      <c r="A148" s="189"/>
      <c r="B148" s="182"/>
      <c r="C148" s="182"/>
      <c r="D148" s="182"/>
      <c r="E148" s="174"/>
      <c r="F148" s="182"/>
      <c r="G148" s="182"/>
      <c r="H148" s="182"/>
      <c r="N148" s="973"/>
    </row>
    <row r="149" spans="1:14" x14ac:dyDescent="0.2">
      <c r="A149" s="189"/>
      <c r="B149" s="182"/>
      <c r="C149" s="182"/>
      <c r="D149" s="182"/>
      <c r="E149" s="179"/>
      <c r="F149" s="182"/>
      <c r="G149" s="182"/>
      <c r="H149" s="182"/>
      <c r="N149" s="973"/>
    </row>
    <row r="150" spans="1:14" x14ac:dyDescent="0.2">
      <c r="A150" s="189"/>
      <c r="B150" s="182"/>
      <c r="C150" s="182"/>
      <c r="D150" s="182"/>
      <c r="E150" s="174"/>
      <c r="F150" s="182"/>
      <c r="G150" s="182"/>
      <c r="H150" s="182"/>
      <c r="N150" s="973"/>
    </row>
    <row r="151" spans="1:14" ht="12" thickBot="1" x14ac:dyDescent="0.25">
      <c r="A151" s="192"/>
      <c r="B151" s="193"/>
      <c r="C151" s="193"/>
      <c r="D151" s="193"/>
      <c r="E151" s="983"/>
      <c r="F151" s="193"/>
      <c r="G151" s="193"/>
      <c r="H151" s="193"/>
      <c r="I151" s="193"/>
      <c r="J151" s="193"/>
      <c r="K151" s="193"/>
      <c r="L151" s="193"/>
      <c r="M151" s="193"/>
      <c r="N151" s="975"/>
    </row>
    <row r="152" spans="1:14" x14ac:dyDescent="0.2">
      <c r="A152" s="189"/>
      <c r="B152" s="182"/>
      <c r="C152" s="182"/>
      <c r="D152" s="182"/>
      <c r="E152" s="174"/>
      <c r="F152" s="182"/>
      <c r="G152" s="182"/>
      <c r="H152" s="182"/>
      <c r="N152" s="973"/>
    </row>
    <row r="153" spans="1:14" x14ac:dyDescent="0.2">
      <c r="A153" s="189"/>
      <c r="B153" s="182"/>
      <c r="C153" s="182"/>
      <c r="D153" s="182"/>
      <c r="E153" s="181"/>
      <c r="F153" s="182"/>
      <c r="G153" s="182"/>
      <c r="H153" s="182"/>
      <c r="N153" s="973"/>
    </row>
    <row r="154" spans="1:14" ht="12" thickBot="1" x14ac:dyDescent="0.25">
      <c r="A154" s="192"/>
      <c r="B154" s="193"/>
      <c r="C154" s="193"/>
      <c r="D154" s="193"/>
      <c r="E154" s="1003"/>
      <c r="F154" s="193"/>
      <c r="G154" s="193"/>
      <c r="H154" s="193"/>
      <c r="I154" s="193"/>
      <c r="J154" s="193"/>
      <c r="K154" s="193"/>
      <c r="L154" s="193"/>
      <c r="M154" s="193"/>
      <c r="N154" s="975"/>
    </row>
    <row r="155" spans="1:14" x14ac:dyDescent="0.2">
      <c r="A155" s="184"/>
      <c r="B155" s="186"/>
      <c r="C155" s="186"/>
      <c r="D155" s="186"/>
      <c r="E155" s="981"/>
      <c r="F155" s="186"/>
      <c r="G155" s="186"/>
      <c r="H155" s="186"/>
      <c r="I155" s="186"/>
      <c r="J155" s="186"/>
      <c r="K155" s="186"/>
      <c r="L155" s="186"/>
      <c r="M155" s="186"/>
      <c r="N155" s="982"/>
    </row>
    <row r="156" spans="1:14" x14ac:dyDescent="0.2">
      <c r="A156" s="189"/>
      <c r="B156" s="182"/>
      <c r="C156" s="182"/>
      <c r="D156" s="182"/>
      <c r="E156" s="174"/>
      <c r="F156" s="182"/>
      <c r="G156" s="182"/>
      <c r="H156" s="182"/>
      <c r="N156" s="973"/>
    </row>
    <row r="157" spans="1:14" x14ac:dyDescent="0.2">
      <c r="A157" s="189"/>
      <c r="B157" s="182"/>
      <c r="C157" s="182"/>
      <c r="D157" s="182"/>
      <c r="E157" s="181"/>
      <c r="F157" s="182"/>
      <c r="G157" s="182"/>
      <c r="H157" s="182"/>
      <c r="N157" s="973"/>
    </row>
    <row r="158" spans="1:14" x14ac:dyDescent="0.2">
      <c r="A158" s="189"/>
      <c r="B158" s="182"/>
      <c r="C158" s="182"/>
      <c r="D158" s="182"/>
      <c r="E158" s="174"/>
      <c r="F158" s="182"/>
      <c r="G158" s="182"/>
      <c r="H158" s="182"/>
      <c r="N158" s="973"/>
    </row>
    <row r="159" spans="1:14" x14ac:dyDescent="0.2">
      <c r="A159" s="189"/>
      <c r="B159" s="182"/>
      <c r="C159" s="182"/>
      <c r="D159" s="182"/>
      <c r="E159" s="174"/>
      <c r="F159" s="182"/>
      <c r="G159" s="182"/>
      <c r="H159" s="182"/>
      <c r="N159" s="973"/>
    </row>
    <row r="160" spans="1:14" x14ac:dyDescent="0.2">
      <c r="A160" s="189"/>
      <c r="B160" s="182"/>
      <c r="C160" s="182"/>
      <c r="D160" s="182"/>
      <c r="E160" s="174"/>
      <c r="F160" s="182"/>
      <c r="G160" s="182"/>
      <c r="H160" s="182"/>
      <c r="N160" s="973"/>
    </row>
    <row r="161" spans="1:14" x14ac:dyDescent="0.2">
      <c r="A161" s="189"/>
      <c r="B161" s="182"/>
      <c r="C161" s="182"/>
      <c r="D161" s="182"/>
      <c r="E161" s="179"/>
      <c r="F161" s="182"/>
      <c r="G161" s="182"/>
      <c r="H161" s="182"/>
      <c r="N161" s="973"/>
    </row>
    <row r="162" spans="1:14" x14ac:dyDescent="0.2">
      <c r="A162" s="189"/>
      <c r="B162" s="182"/>
      <c r="C162" s="182"/>
      <c r="D162" s="182"/>
      <c r="E162" s="174"/>
      <c r="F162" s="182"/>
      <c r="G162" s="182"/>
      <c r="H162" s="182"/>
      <c r="N162" s="973"/>
    </row>
    <row r="163" spans="1:14" x14ac:dyDescent="0.2">
      <c r="A163" s="189"/>
      <c r="B163" s="182"/>
      <c r="C163" s="182"/>
      <c r="D163" s="182"/>
      <c r="E163" s="179"/>
      <c r="F163" s="182"/>
      <c r="G163" s="182"/>
      <c r="H163" s="182"/>
      <c r="N163" s="973"/>
    </row>
    <row r="164" spans="1:14" x14ac:dyDescent="0.2">
      <c r="A164" s="189"/>
      <c r="B164" s="182"/>
      <c r="C164" s="182"/>
      <c r="D164" s="182"/>
      <c r="E164" s="174"/>
      <c r="F164" s="182"/>
      <c r="G164" s="182"/>
      <c r="H164" s="182"/>
      <c r="N164" s="973"/>
    </row>
    <row r="165" spans="1:14" x14ac:dyDescent="0.2">
      <c r="A165" s="189"/>
      <c r="B165" s="182"/>
      <c r="C165" s="182"/>
      <c r="D165" s="182"/>
      <c r="E165" s="180"/>
      <c r="F165" s="182"/>
      <c r="G165" s="182"/>
      <c r="H165" s="182"/>
      <c r="N165" s="973"/>
    </row>
    <row r="166" spans="1:14" ht="12" thickBot="1" x14ac:dyDescent="0.25">
      <c r="A166" s="192"/>
      <c r="B166" s="193"/>
      <c r="C166" s="193"/>
      <c r="D166" s="193"/>
      <c r="E166" s="1003"/>
      <c r="F166" s="193"/>
      <c r="G166" s="193"/>
      <c r="H166" s="193"/>
      <c r="I166" s="193"/>
      <c r="J166" s="193"/>
      <c r="K166" s="193"/>
      <c r="L166" s="193"/>
      <c r="M166" s="193"/>
      <c r="N166" s="975"/>
    </row>
    <row r="167" spans="1:14" x14ac:dyDescent="0.2">
      <c r="A167" s="184"/>
      <c r="B167" s="186"/>
      <c r="C167" s="186"/>
      <c r="D167" s="186"/>
      <c r="E167" s="1379"/>
      <c r="F167" s="186"/>
      <c r="G167" s="186"/>
      <c r="H167" s="186"/>
      <c r="I167" s="186"/>
      <c r="J167" s="186"/>
      <c r="K167" s="186"/>
      <c r="L167" s="186"/>
      <c r="M167" s="186"/>
      <c r="N167" s="982"/>
    </row>
    <row r="168" spans="1:14" x14ac:dyDescent="0.2">
      <c r="A168" s="189"/>
      <c r="B168" s="182"/>
      <c r="C168" s="182"/>
      <c r="D168" s="182"/>
      <c r="E168" s="174"/>
      <c r="F168" s="182"/>
      <c r="G168" s="182"/>
      <c r="H168" s="182"/>
      <c r="N168" s="973"/>
    </row>
    <row r="169" spans="1:14" x14ac:dyDescent="0.2">
      <c r="A169" s="189"/>
      <c r="B169" s="182"/>
      <c r="C169" s="182"/>
      <c r="D169" s="182"/>
      <c r="E169" s="174"/>
      <c r="F169" s="182"/>
      <c r="G169" s="182"/>
      <c r="H169" s="182"/>
      <c r="N169" s="973"/>
    </row>
    <row r="170" spans="1:14" x14ac:dyDescent="0.2">
      <c r="A170" s="189"/>
      <c r="B170" s="182"/>
      <c r="C170" s="182"/>
      <c r="D170" s="182"/>
      <c r="E170" s="174"/>
      <c r="F170" s="182"/>
      <c r="G170" s="182"/>
      <c r="H170" s="182"/>
      <c r="N170" s="973"/>
    </row>
    <row r="171" spans="1:14" x14ac:dyDescent="0.2">
      <c r="A171" s="189"/>
      <c r="B171" s="182"/>
      <c r="C171" s="182"/>
      <c r="D171" s="182"/>
      <c r="E171" s="181"/>
      <c r="F171" s="182"/>
      <c r="G171" s="182"/>
      <c r="H171" s="182"/>
      <c r="N171" s="973"/>
    </row>
    <row r="172" spans="1:14" ht="12" thickBot="1" x14ac:dyDescent="0.25">
      <c r="A172" s="189"/>
      <c r="B172" s="182"/>
      <c r="C172" s="182"/>
      <c r="D172" s="182"/>
      <c r="E172" s="174"/>
      <c r="F172" s="182"/>
      <c r="G172" s="182"/>
      <c r="H172" s="182"/>
      <c r="N172" s="973"/>
    </row>
    <row r="173" spans="1:14" x14ac:dyDescent="0.2">
      <c r="A173" s="184"/>
      <c r="B173" s="186"/>
      <c r="C173" s="186"/>
      <c r="D173" s="186"/>
      <c r="E173" s="981"/>
      <c r="F173" s="186"/>
      <c r="G173" s="186"/>
      <c r="H173" s="186"/>
      <c r="I173" s="186"/>
      <c r="J173" s="186"/>
      <c r="K173" s="186"/>
      <c r="L173" s="186"/>
      <c r="M173" s="186"/>
      <c r="N173" s="982"/>
    </row>
    <row r="174" spans="1:14" x14ac:dyDescent="0.2">
      <c r="A174" s="189"/>
      <c r="B174" s="182"/>
      <c r="C174" s="182"/>
      <c r="D174" s="182"/>
      <c r="E174" s="174"/>
      <c r="F174" s="182"/>
      <c r="G174" s="182"/>
      <c r="H174" s="182"/>
      <c r="N174" s="973"/>
    </row>
    <row r="175" spans="1:14" x14ac:dyDescent="0.2">
      <c r="A175" s="189"/>
      <c r="B175" s="182"/>
      <c r="C175" s="182"/>
      <c r="D175" s="182"/>
      <c r="E175" s="179"/>
      <c r="F175" s="182"/>
      <c r="G175" s="182"/>
      <c r="H175" s="182"/>
      <c r="N175" s="973"/>
    </row>
    <row r="176" spans="1:14" x14ac:dyDescent="0.2">
      <c r="A176" s="189"/>
      <c r="B176" s="182"/>
      <c r="C176" s="182"/>
      <c r="D176" s="182"/>
      <c r="E176" s="174"/>
      <c r="F176" s="182"/>
      <c r="G176" s="182"/>
      <c r="H176" s="182"/>
      <c r="N176" s="973"/>
    </row>
    <row r="177" spans="1:14" x14ac:dyDescent="0.2">
      <c r="A177" s="189"/>
      <c r="B177" s="182"/>
      <c r="C177" s="182"/>
      <c r="D177" s="182"/>
      <c r="E177" s="179"/>
      <c r="F177" s="182"/>
      <c r="G177" s="182"/>
      <c r="H177" s="182"/>
      <c r="N177" s="973"/>
    </row>
    <row r="178" spans="1:14" ht="12" thickBot="1" x14ac:dyDescent="0.25">
      <c r="A178" s="192"/>
      <c r="B178" s="193"/>
      <c r="C178" s="193"/>
      <c r="D178" s="193"/>
      <c r="E178" s="1003"/>
      <c r="F178" s="193"/>
      <c r="G178" s="193"/>
      <c r="H178" s="193"/>
      <c r="I178" s="193"/>
      <c r="J178" s="193"/>
      <c r="K178" s="193"/>
      <c r="L178" s="193"/>
      <c r="M178" s="193"/>
      <c r="N178" s="975"/>
    </row>
    <row r="179" spans="1:14" x14ac:dyDescent="0.2">
      <c r="A179" s="184"/>
      <c r="B179" s="186"/>
      <c r="C179" s="186"/>
      <c r="D179" s="186"/>
      <c r="E179" s="1340"/>
      <c r="F179" s="186"/>
      <c r="G179" s="186"/>
      <c r="H179" s="186"/>
      <c r="I179" s="186"/>
      <c r="J179" s="186"/>
      <c r="K179" s="186"/>
      <c r="L179" s="186"/>
      <c r="M179" s="186"/>
      <c r="N179" s="982"/>
    </row>
    <row r="180" spans="1:14" x14ac:dyDescent="0.2">
      <c r="A180" s="189"/>
      <c r="B180" s="182"/>
      <c r="C180" s="182"/>
      <c r="D180" s="182"/>
      <c r="E180" s="174"/>
      <c r="F180" s="182"/>
      <c r="G180" s="182"/>
      <c r="H180" s="182"/>
      <c r="N180" s="973"/>
    </row>
    <row r="181" spans="1:14" ht="12" thickBot="1" x14ac:dyDescent="0.25">
      <c r="A181" s="192"/>
      <c r="B181" s="193"/>
      <c r="C181" s="193"/>
      <c r="D181" s="193"/>
      <c r="E181" s="984"/>
      <c r="F181" s="193"/>
      <c r="G181" s="193"/>
      <c r="H181" s="193"/>
      <c r="I181" s="193"/>
      <c r="J181" s="193"/>
      <c r="K181" s="193"/>
      <c r="L181" s="193"/>
      <c r="M181" s="193"/>
      <c r="N181" s="975"/>
    </row>
    <row r="182" spans="1:14" x14ac:dyDescent="0.2">
      <c r="A182" s="184"/>
      <c r="B182" s="186"/>
      <c r="C182" s="186"/>
      <c r="D182" s="186"/>
      <c r="E182" s="981"/>
      <c r="F182" s="186"/>
      <c r="G182" s="186"/>
      <c r="H182" s="186"/>
      <c r="I182" s="186"/>
      <c r="J182" s="186"/>
      <c r="K182" s="186"/>
      <c r="L182" s="186"/>
      <c r="M182" s="186"/>
      <c r="N182" s="982"/>
    </row>
    <row r="183" spans="1:14" x14ac:dyDescent="0.2">
      <c r="A183" s="189"/>
      <c r="B183" s="182"/>
      <c r="C183" s="182"/>
      <c r="D183" s="182"/>
      <c r="E183" s="174"/>
      <c r="F183" s="182"/>
      <c r="G183" s="182"/>
      <c r="H183" s="182"/>
      <c r="N183" s="973"/>
    </row>
    <row r="184" spans="1:14" x14ac:dyDescent="0.2">
      <c r="A184" s="189"/>
      <c r="B184" s="182"/>
      <c r="C184" s="182"/>
      <c r="D184" s="182"/>
      <c r="E184" s="174"/>
      <c r="F184" s="182"/>
      <c r="G184" s="182"/>
      <c r="H184" s="182"/>
      <c r="N184" s="973"/>
    </row>
    <row r="185" spans="1:14" x14ac:dyDescent="0.2">
      <c r="A185" s="189"/>
      <c r="B185" s="182"/>
      <c r="C185" s="182"/>
      <c r="D185" s="182"/>
      <c r="E185" s="181"/>
      <c r="F185" s="182"/>
      <c r="G185" s="182"/>
      <c r="H185" s="182"/>
      <c r="N185" s="973"/>
    </row>
    <row r="186" spans="1:14" x14ac:dyDescent="0.2">
      <c r="A186" s="189"/>
      <c r="B186" s="182"/>
      <c r="C186" s="182"/>
      <c r="D186" s="182"/>
      <c r="E186" s="174"/>
      <c r="F186" s="182"/>
      <c r="G186" s="182"/>
      <c r="H186" s="182"/>
      <c r="N186" s="973"/>
    </row>
    <row r="187" spans="1:14" x14ac:dyDescent="0.2">
      <c r="A187" s="189"/>
      <c r="B187" s="182"/>
      <c r="C187" s="182"/>
      <c r="D187" s="182"/>
      <c r="E187" s="174"/>
      <c r="F187" s="182"/>
      <c r="G187" s="182"/>
      <c r="H187" s="182"/>
      <c r="N187" s="973"/>
    </row>
    <row r="188" spans="1:14" x14ac:dyDescent="0.2">
      <c r="A188" s="189"/>
      <c r="B188" s="182"/>
      <c r="C188" s="182"/>
      <c r="D188" s="182"/>
      <c r="E188" s="174"/>
      <c r="F188" s="182"/>
      <c r="G188" s="182"/>
      <c r="H188" s="182"/>
      <c r="N188" s="973"/>
    </row>
    <row r="189" spans="1:14" x14ac:dyDescent="0.2">
      <c r="A189" s="189"/>
      <c r="B189" s="182"/>
      <c r="C189" s="182"/>
      <c r="D189" s="182"/>
      <c r="E189" s="179"/>
      <c r="F189" s="182"/>
      <c r="G189" s="182"/>
      <c r="H189" s="182"/>
      <c r="N189" s="973"/>
    </row>
    <row r="190" spans="1:14" ht="12" thickBot="1" x14ac:dyDescent="0.25">
      <c r="A190" s="192"/>
      <c r="B190" s="193"/>
      <c r="C190" s="193"/>
      <c r="D190" s="193"/>
      <c r="E190" s="1003"/>
      <c r="F190" s="193"/>
      <c r="G190" s="193"/>
      <c r="H190" s="193"/>
      <c r="I190" s="193"/>
      <c r="J190" s="193"/>
      <c r="K190" s="193"/>
      <c r="L190" s="193"/>
      <c r="M190" s="193"/>
      <c r="N190" s="975"/>
    </row>
    <row r="191" spans="1:14" x14ac:dyDescent="0.2">
      <c r="A191" s="184"/>
      <c r="B191" s="186"/>
      <c r="C191" s="186"/>
      <c r="D191" s="186"/>
      <c r="E191" s="1341"/>
      <c r="F191" s="186"/>
      <c r="G191" s="186"/>
      <c r="H191" s="186"/>
      <c r="I191" s="186"/>
      <c r="J191" s="186"/>
      <c r="K191" s="186"/>
      <c r="L191" s="186"/>
      <c r="M191" s="186"/>
      <c r="N191" s="982"/>
    </row>
    <row r="192" spans="1:14" x14ac:dyDescent="0.2">
      <c r="A192" s="189"/>
      <c r="B192" s="182"/>
      <c r="C192" s="182"/>
      <c r="D192" s="182"/>
      <c r="E192" s="174"/>
      <c r="F192" s="182"/>
      <c r="G192" s="182"/>
      <c r="H192" s="182"/>
      <c r="N192" s="973"/>
    </row>
    <row r="193" spans="1:14" x14ac:dyDescent="0.2">
      <c r="A193" s="189"/>
      <c r="B193" s="182"/>
      <c r="C193" s="182"/>
      <c r="D193" s="182"/>
      <c r="E193" s="180"/>
      <c r="F193" s="182"/>
      <c r="G193" s="182"/>
      <c r="H193" s="182"/>
      <c r="N193" s="973"/>
    </row>
    <row r="194" spans="1:14" x14ac:dyDescent="0.2">
      <c r="A194" s="189"/>
      <c r="B194" s="182"/>
      <c r="C194" s="182"/>
      <c r="D194" s="182"/>
      <c r="E194" s="174"/>
      <c r="F194" s="182"/>
      <c r="G194" s="182"/>
      <c r="H194" s="182"/>
      <c r="N194" s="973"/>
    </row>
    <row r="195" spans="1:14" x14ac:dyDescent="0.2">
      <c r="A195" s="189"/>
      <c r="B195" s="182"/>
      <c r="C195" s="182"/>
      <c r="D195" s="182"/>
      <c r="E195" s="181"/>
      <c r="F195" s="182"/>
      <c r="G195" s="182"/>
      <c r="H195" s="182"/>
      <c r="N195" s="973"/>
    </row>
    <row r="196" spans="1:14" x14ac:dyDescent="0.2">
      <c r="A196" s="189"/>
      <c r="B196" s="182"/>
      <c r="C196" s="182"/>
      <c r="D196" s="182"/>
      <c r="E196" s="174"/>
      <c r="F196" s="182"/>
      <c r="G196" s="182"/>
      <c r="H196" s="182"/>
      <c r="N196" s="973"/>
    </row>
    <row r="197" spans="1:14" x14ac:dyDescent="0.2">
      <c r="A197" s="189"/>
      <c r="B197" s="182"/>
      <c r="C197" s="182"/>
      <c r="D197" s="182"/>
      <c r="E197" s="174"/>
      <c r="F197" s="182"/>
      <c r="G197" s="182"/>
      <c r="H197" s="182"/>
      <c r="N197" s="973"/>
    </row>
    <row r="198" spans="1:14" x14ac:dyDescent="0.2">
      <c r="A198" s="189"/>
      <c r="B198" s="182"/>
      <c r="C198" s="182"/>
      <c r="D198" s="182"/>
      <c r="E198" s="174"/>
      <c r="F198" s="182"/>
      <c r="G198" s="182"/>
      <c r="H198" s="182"/>
      <c r="N198" s="973"/>
    </row>
    <row r="199" spans="1:14" x14ac:dyDescent="0.2">
      <c r="A199" s="189"/>
      <c r="B199" s="182"/>
      <c r="C199" s="182"/>
      <c r="D199" s="182"/>
      <c r="E199" s="181"/>
      <c r="F199" s="182"/>
      <c r="G199" s="182"/>
      <c r="H199" s="182"/>
      <c r="N199" s="973"/>
    </row>
    <row r="200" spans="1:14" x14ac:dyDescent="0.2">
      <c r="A200" s="189"/>
      <c r="B200" s="182"/>
      <c r="C200" s="182"/>
      <c r="D200" s="182"/>
      <c r="E200" s="174"/>
      <c r="F200" s="182"/>
      <c r="G200" s="182"/>
      <c r="H200" s="182"/>
      <c r="N200" s="973"/>
    </row>
    <row r="201" spans="1:14" x14ac:dyDescent="0.2">
      <c r="A201" s="189"/>
      <c r="B201" s="182"/>
      <c r="C201" s="182"/>
      <c r="D201" s="182"/>
      <c r="E201" s="174"/>
      <c r="F201" s="182"/>
      <c r="G201" s="182"/>
      <c r="H201" s="182"/>
      <c r="N201" s="973"/>
    </row>
    <row r="202" spans="1:14" ht="12" thickBot="1" x14ac:dyDescent="0.25">
      <c r="A202" s="192"/>
      <c r="B202" s="193"/>
      <c r="C202" s="193"/>
      <c r="D202" s="193"/>
      <c r="E202" s="1003"/>
      <c r="F202" s="193"/>
      <c r="G202" s="193"/>
      <c r="H202" s="193"/>
      <c r="I202" s="193"/>
      <c r="J202" s="193"/>
      <c r="K202" s="193"/>
      <c r="L202" s="193"/>
      <c r="M202" s="193"/>
      <c r="N202" s="975"/>
    </row>
    <row r="203" spans="1:14" x14ac:dyDescent="0.2">
      <c r="E203" s="179"/>
      <c r="I203" s="145"/>
      <c r="J203" s="145"/>
      <c r="K203" s="145"/>
      <c r="L203" s="145"/>
      <c r="M203" s="145"/>
      <c r="N203" s="178"/>
    </row>
    <row r="204" spans="1:14" x14ac:dyDescent="0.2">
      <c r="E204" s="174"/>
      <c r="I204" s="145"/>
      <c r="J204" s="145"/>
      <c r="K204" s="145"/>
      <c r="L204" s="145"/>
      <c r="M204" s="145"/>
      <c r="N204" s="178"/>
    </row>
    <row r="205" spans="1:14" x14ac:dyDescent="0.2">
      <c r="E205" s="179"/>
      <c r="I205" s="145"/>
      <c r="J205" s="145"/>
      <c r="K205" s="145"/>
      <c r="L205" s="145"/>
      <c r="M205" s="145"/>
      <c r="N205" s="178"/>
    </row>
    <row r="206" spans="1:14" x14ac:dyDescent="0.2">
      <c r="E206" s="174"/>
      <c r="I206" s="145"/>
      <c r="J206" s="145"/>
      <c r="K206" s="145"/>
      <c r="L206" s="145"/>
      <c r="M206" s="145"/>
      <c r="N206" s="178"/>
    </row>
    <row r="207" spans="1:14" x14ac:dyDescent="0.2">
      <c r="E207" s="180"/>
      <c r="I207" s="145"/>
      <c r="J207" s="145"/>
      <c r="K207" s="145"/>
      <c r="L207" s="145"/>
      <c r="M207" s="145"/>
      <c r="N207" s="178"/>
    </row>
    <row r="208" spans="1:14" x14ac:dyDescent="0.2">
      <c r="E208" s="174"/>
      <c r="I208" s="145"/>
      <c r="J208" s="145"/>
      <c r="K208" s="145"/>
      <c r="L208" s="145"/>
      <c r="M208" s="145"/>
      <c r="N208" s="178"/>
    </row>
    <row r="209" spans="1:14" x14ac:dyDescent="0.2">
      <c r="E209" s="181"/>
      <c r="I209" s="145"/>
      <c r="J209" s="145"/>
      <c r="K209" s="145"/>
      <c r="L209" s="145"/>
      <c r="M209" s="145"/>
      <c r="N209" s="178"/>
    </row>
    <row r="210" spans="1:14" x14ac:dyDescent="0.2">
      <c r="E210" s="174"/>
      <c r="I210" s="145"/>
      <c r="J210" s="145"/>
      <c r="K210" s="145"/>
      <c r="L210" s="145"/>
      <c r="M210" s="145"/>
      <c r="N210" s="178"/>
    </row>
    <row r="211" spans="1:14" x14ac:dyDescent="0.2">
      <c r="E211" s="174"/>
      <c r="I211" s="145"/>
      <c r="J211" s="145"/>
      <c r="K211" s="145"/>
      <c r="L211" s="145"/>
      <c r="M211" s="145"/>
      <c r="N211" s="178"/>
    </row>
    <row r="212" spans="1:14" x14ac:dyDescent="0.2">
      <c r="E212" s="174"/>
      <c r="I212" s="145"/>
      <c r="J212" s="145"/>
      <c r="K212" s="145"/>
      <c r="L212" s="145"/>
      <c r="M212" s="145"/>
      <c r="N212" s="178"/>
    </row>
    <row r="213" spans="1:14" x14ac:dyDescent="0.2">
      <c r="E213" s="181"/>
      <c r="I213" s="145"/>
      <c r="J213" s="145"/>
      <c r="K213" s="145"/>
      <c r="L213" s="145"/>
      <c r="M213" s="145"/>
      <c r="N213" s="178"/>
    </row>
    <row r="214" spans="1:14" ht="12" thickBot="1" x14ac:dyDescent="0.25">
      <c r="E214" s="174"/>
      <c r="I214" s="145"/>
      <c r="J214" s="145"/>
      <c r="K214" s="145"/>
      <c r="L214" s="145"/>
      <c r="M214" s="145"/>
      <c r="N214" s="178"/>
    </row>
    <row r="215" spans="1:14" x14ac:dyDescent="0.2">
      <c r="A215" s="184"/>
      <c r="B215" s="186"/>
      <c r="C215" s="186"/>
      <c r="D215" s="186"/>
      <c r="E215" s="981"/>
      <c r="F215" s="186"/>
      <c r="G215" s="186"/>
      <c r="H215" s="186"/>
      <c r="I215" s="186"/>
      <c r="J215" s="186"/>
      <c r="K215" s="186"/>
      <c r="L215" s="186"/>
      <c r="M215" s="186"/>
      <c r="N215" s="982"/>
    </row>
    <row r="216" spans="1:14" x14ac:dyDescent="0.2">
      <c r="A216" s="189"/>
      <c r="B216" s="182"/>
      <c r="C216" s="182"/>
      <c r="D216" s="182"/>
      <c r="E216" s="174"/>
      <c r="F216" s="182"/>
      <c r="G216" s="182"/>
      <c r="H216" s="182"/>
      <c r="N216" s="973"/>
    </row>
    <row r="217" spans="1:14" x14ac:dyDescent="0.2">
      <c r="A217" s="189"/>
      <c r="B217" s="182"/>
      <c r="C217" s="182"/>
      <c r="D217" s="182"/>
      <c r="E217" s="182"/>
      <c r="F217" s="182"/>
      <c r="G217" s="182"/>
      <c r="H217" s="182"/>
      <c r="N217" s="191"/>
    </row>
    <row r="218" spans="1:14" x14ac:dyDescent="0.2">
      <c r="A218" s="189"/>
      <c r="B218" s="182"/>
      <c r="C218" s="182"/>
      <c r="D218" s="182"/>
      <c r="E218" s="182"/>
      <c r="F218" s="182"/>
      <c r="G218" s="182"/>
      <c r="H218" s="182"/>
      <c r="N218" s="191"/>
    </row>
    <row r="219" spans="1:14" x14ac:dyDescent="0.2">
      <c r="A219" s="189"/>
      <c r="B219" s="182"/>
      <c r="C219" s="182"/>
      <c r="D219" s="182"/>
      <c r="E219" s="182"/>
      <c r="F219" s="182"/>
      <c r="G219" s="182"/>
      <c r="H219" s="182"/>
      <c r="N219" s="191"/>
    </row>
    <row r="220" spans="1:14" x14ac:dyDescent="0.2">
      <c r="A220" s="189"/>
      <c r="B220" s="182"/>
      <c r="C220" s="182"/>
      <c r="D220" s="182"/>
      <c r="E220" s="182"/>
      <c r="F220" s="182"/>
      <c r="G220" s="182"/>
      <c r="H220" s="182"/>
      <c r="N220" s="191"/>
    </row>
    <row r="221" spans="1:14" x14ac:dyDescent="0.2">
      <c r="A221" s="189"/>
      <c r="B221" s="182"/>
      <c r="C221" s="182"/>
      <c r="D221" s="182"/>
      <c r="E221" s="182"/>
      <c r="F221" s="182"/>
      <c r="G221" s="182"/>
      <c r="H221" s="182"/>
      <c r="N221" s="191"/>
    </row>
    <row r="222" spans="1:14" x14ac:dyDescent="0.2">
      <c r="A222" s="189"/>
      <c r="B222" s="182"/>
      <c r="C222" s="182"/>
      <c r="D222" s="182"/>
      <c r="E222" s="182"/>
      <c r="F222" s="182"/>
      <c r="G222" s="182"/>
      <c r="H222" s="182"/>
      <c r="N222" s="191"/>
    </row>
    <row r="223" spans="1:14" ht="12" thickBot="1" x14ac:dyDescent="0.25">
      <c r="A223" s="192"/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5"/>
    </row>
    <row r="224" spans="1:14" x14ac:dyDescent="0.2">
      <c r="A224" s="184"/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8"/>
    </row>
    <row r="225" spans="1:14" x14ac:dyDescent="0.2">
      <c r="A225" s="189"/>
      <c r="B225" s="182"/>
      <c r="C225" s="182"/>
      <c r="D225" s="182"/>
      <c r="E225" s="182"/>
      <c r="F225" s="182"/>
      <c r="G225" s="182"/>
      <c r="H225" s="182"/>
      <c r="N225" s="191"/>
    </row>
    <row r="226" spans="1:14" x14ac:dyDescent="0.2">
      <c r="A226" s="189"/>
      <c r="B226" s="182"/>
      <c r="C226" s="182"/>
      <c r="D226" s="182"/>
      <c r="E226" s="182"/>
      <c r="F226" s="182"/>
      <c r="G226" s="182"/>
      <c r="H226" s="182"/>
      <c r="N226" s="191"/>
    </row>
    <row r="227" spans="1:14" x14ac:dyDescent="0.2">
      <c r="A227" s="189"/>
      <c r="B227" s="182"/>
      <c r="C227" s="182"/>
      <c r="D227" s="182"/>
      <c r="E227" s="182"/>
      <c r="F227" s="182"/>
      <c r="G227" s="182"/>
      <c r="H227" s="182"/>
      <c r="N227" s="191"/>
    </row>
    <row r="228" spans="1:14" x14ac:dyDescent="0.2">
      <c r="A228" s="189"/>
      <c r="B228" s="182"/>
      <c r="C228" s="182"/>
      <c r="D228" s="182"/>
      <c r="E228" s="182"/>
      <c r="F228" s="182"/>
      <c r="G228" s="182"/>
      <c r="H228" s="182"/>
      <c r="N228" s="191"/>
    </row>
    <row r="229" spans="1:14" x14ac:dyDescent="0.2">
      <c r="A229" s="189"/>
      <c r="B229" s="182"/>
      <c r="C229" s="182"/>
      <c r="D229" s="182"/>
      <c r="E229" s="182"/>
      <c r="F229" s="182"/>
      <c r="G229" s="182"/>
      <c r="H229" s="182"/>
      <c r="N229" s="191"/>
    </row>
    <row r="230" spans="1:14" x14ac:dyDescent="0.2">
      <c r="A230" s="189"/>
      <c r="B230" s="182"/>
      <c r="C230" s="182"/>
      <c r="D230" s="182"/>
      <c r="E230" s="182"/>
      <c r="F230" s="182"/>
      <c r="G230" s="182"/>
      <c r="H230" s="182"/>
      <c r="N230" s="191"/>
    </row>
    <row r="231" spans="1:14" x14ac:dyDescent="0.2">
      <c r="A231" s="189"/>
      <c r="B231" s="182"/>
      <c r="C231" s="182"/>
      <c r="D231" s="182"/>
      <c r="E231" s="182"/>
      <c r="F231" s="182"/>
      <c r="G231" s="182"/>
      <c r="H231" s="182"/>
      <c r="N231" s="191"/>
    </row>
    <row r="232" spans="1:14" x14ac:dyDescent="0.2">
      <c r="A232" s="189"/>
      <c r="B232" s="182"/>
      <c r="C232" s="182"/>
      <c r="D232" s="182"/>
      <c r="E232" s="182"/>
      <c r="F232" s="182"/>
      <c r="G232" s="182"/>
      <c r="H232" s="182"/>
      <c r="N232" s="191"/>
    </row>
    <row r="233" spans="1:14" x14ac:dyDescent="0.2">
      <c r="A233" s="189"/>
      <c r="B233" s="182"/>
      <c r="C233" s="182"/>
      <c r="D233" s="182"/>
      <c r="E233" s="182"/>
      <c r="F233" s="182"/>
      <c r="G233" s="182"/>
      <c r="H233" s="182"/>
      <c r="N233" s="191"/>
    </row>
    <row r="234" spans="1:14" x14ac:dyDescent="0.2">
      <c r="A234" s="189"/>
      <c r="B234" s="182"/>
      <c r="C234" s="182"/>
      <c r="D234" s="182"/>
      <c r="E234" s="182"/>
      <c r="F234" s="182"/>
      <c r="G234" s="182"/>
      <c r="H234" s="182"/>
      <c r="N234" s="191"/>
    </row>
    <row r="235" spans="1:14" ht="12" thickBot="1" x14ac:dyDescent="0.25">
      <c r="A235" s="192"/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5"/>
    </row>
    <row r="256" ht="12" thickBot="1" x14ac:dyDescent="0.25"/>
    <row r="257" spans="1:14" x14ac:dyDescent="0.2">
      <c r="A257" s="184"/>
      <c r="B257" s="18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8"/>
    </row>
    <row r="258" spans="1:14" x14ac:dyDescent="0.2">
      <c r="A258" s="189"/>
      <c r="B258" s="182"/>
      <c r="C258" s="182"/>
      <c r="D258" s="182"/>
      <c r="E258" s="182"/>
      <c r="F258" s="182"/>
      <c r="G258" s="182"/>
      <c r="H258" s="182"/>
      <c r="N258" s="191"/>
    </row>
    <row r="259" spans="1:14" x14ac:dyDescent="0.2">
      <c r="A259" s="189"/>
      <c r="B259" s="182"/>
      <c r="C259" s="182"/>
      <c r="D259" s="182"/>
      <c r="E259" s="182"/>
      <c r="F259" s="182"/>
      <c r="G259" s="182"/>
      <c r="H259" s="182"/>
      <c r="N259" s="191"/>
    </row>
    <row r="260" spans="1:14" x14ac:dyDescent="0.2">
      <c r="A260" s="189"/>
      <c r="B260" s="182"/>
      <c r="C260" s="182"/>
      <c r="D260" s="182"/>
      <c r="E260" s="182"/>
      <c r="F260" s="182"/>
      <c r="G260" s="182"/>
      <c r="H260" s="182"/>
      <c r="N260" s="191"/>
    </row>
    <row r="261" spans="1:14" x14ac:dyDescent="0.2">
      <c r="A261" s="189"/>
      <c r="B261" s="182"/>
      <c r="C261" s="182"/>
      <c r="D261" s="182"/>
      <c r="E261" s="182"/>
      <c r="F261" s="182"/>
      <c r="G261" s="182"/>
      <c r="H261" s="182"/>
      <c r="N261" s="191"/>
    </row>
    <row r="262" spans="1:14" x14ac:dyDescent="0.2">
      <c r="A262" s="189"/>
      <c r="B262" s="182"/>
      <c r="C262" s="182"/>
      <c r="D262" s="182"/>
      <c r="E262" s="182"/>
      <c r="F262" s="182"/>
      <c r="G262" s="182"/>
      <c r="H262" s="182"/>
      <c r="N262" s="191"/>
    </row>
    <row r="263" spans="1:14" x14ac:dyDescent="0.2">
      <c r="A263" s="189"/>
      <c r="B263" s="182"/>
      <c r="C263" s="182"/>
      <c r="D263" s="182"/>
      <c r="E263" s="182"/>
      <c r="F263" s="182"/>
      <c r="G263" s="182"/>
      <c r="H263" s="182"/>
      <c r="N263" s="191"/>
    </row>
    <row r="264" spans="1:14" x14ac:dyDescent="0.2">
      <c r="A264" s="189"/>
      <c r="B264" s="182"/>
      <c r="C264" s="182"/>
      <c r="D264" s="182"/>
      <c r="E264" s="182"/>
      <c r="F264" s="182"/>
      <c r="G264" s="182"/>
      <c r="H264" s="182"/>
      <c r="N264" s="191"/>
    </row>
    <row r="265" spans="1:14" ht="12" thickBot="1" x14ac:dyDescent="0.25">
      <c r="A265" s="192"/>
      <c r="B265" s="193"/>
      <c r="C265" s="193"/>
      <c r="D265" s="193"/>
      <c r="E265" s="193"/>
      <c r="F265" s="193"/>
      <c r="G265" s="193"/>
      <c r="H265" s="193"/>
      <c r="I265" s="193"/>
      <c r="J265" s="193"/>
      <c r="K265" s="193"/>
      <c r="L265" s="193"/>
      <c r="M265" s="193"/>
      <c r="N265" s="195"/>
    </row>
    <row r="266" spans="1:14" x14ac:dyDescent="0.2">
      <c r="A266" s="184"/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8"/>
    </row>
    <row r="267" spans="1:14" x14ac:dyDescent="0.2">
      <c r="A267" s="189"/>
      <c r="B267" s="182"/>
      <c r="C267" s="182"/>
      <c r="D267" s="182"/>
      <c r="E267" s="182"/>
      <c r="F267" s="182"/>
      <c r="G267" s="182"/>
      <c r="H267" s="182"/>
      <c r="N267" s="191"/>
    </row>
    <row r="268" spans="1:14" x14ac:dyDescent="0.2">
      <c r="A268" s="189"/>
      <c r="B268" s="182"/>
      <c r="C268" s="182"/>
      <c r="D268" s="182"/>
      <c r="E268" s="182"/>
      <c r="F268" s="182"/>
      <c r="G268" s="182"/>
      <c r="H268" s="182"/>
      <c r="N268" s="191"/>
    </row>
    <row r="269" spans="1:14" x14ac:dyDescent="0.2">
      <c r="A269" s="189"/>
      <c r="B269" s="182"/>
      <c r="C269" s="182"/>
      <c r="D269" s="182"/>
      <c r="E269" s="182"/>
      <c r="F269" s="182"/>
      <c r="G269" s="182"/>
      <c r="H269" s="182"/>
      <c r="N269" s="191"/>
    </row>
    <row r="270" spans="1:14" x14ac:dyDescent="0.2">
      <c r="A270" s="189"/>
      <c r="B270" s="182"/>
      <c r="C270" s="182"/>
      <c r="D270" s="182"/>
      <c r="E270" s="182"/>
      <c r="F270" s="182"/>
      <c r="G270" s="182"/>
      <c r="H270" s="182"/>
      <c r="N270" s="191"/>
    </row>
    <row r="271" spans="1:14" x14ac:dyDescent="0.2">
      <c r="A271" s="189"/>
      <c r="B271" s="182"/>
      <c r="C271" s="182"/>
      <c r="D271" s="182"/>
      <c r="E271" s="182"/>
      <c r="F271" s="182"/>
      <c r="G271" s="182"/>
      <c r="H271" s="182"/>
      <c r="N271" s="191"/>
    </row>
    <row r="272" spans="1:14" x14ac:dyDescent="0.2">
      <c r="A272" s="189"/>
      <c r="B272" s="182"/>
      <c r="C272" s="182"/>
      <c r="D272" s="182"/>
      <c r="E272" s="182"/>
      <c r="F272" s="182"/>
      <c r="G272" s="182"/>
      <c r="H272" s="182"/>
      <c r="N272" s="191"/>
    </row>
    <row r="273" spans="1:14" x14ac:dyDescent="0.2">
      <c r="A273" s="189"/>
      <c r="B273" s="182"/>
      <c r="C273" s="182"/>
      <c r="D273" s="182"/>
      <c r="E273" s="182"/>
      <c r="F273" s="182"/>
      <c r="G273" s="182"/>
      <c r="H273" s="182"/>
      <c r="N273" s="191"/>
    </row>
    <row r="274" spans="1:14" ht="12" thickBot="1" x14ac:dyDescent="0.25">
      <c r="A274" s="192"/>
      <c r="B274" s="193"/>
      <c r="C274" s="193"/>
      <c r="D274" s="193"/>
      <c r="E274" s="193"/>
      <c r="F274" s="193"/>
      <c r="G274" s="193"/>
      <c r="H274" s="193"/>
      <c r="I274" s="193"/>
      <c r="J274" s="193"/>
      <c r="K274" s="193"/>
      <c r="L274" s="193"/>
      <c r="M274" s="193"/>
      <c r="N274" s="195"/>
    </row>
    <row r="292" spans="1:14" ht="12" thickBot="1" x14ac:dyDescent="0.25"/>
    <row r="293" spans="1:14" x14ac:dyDescent="0.2">
      <c r="A293" s="184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8"/>
    </row>
    <row r="294" spans="1:14" x14ac:dyDescent="0.2">
      <c r="A294" s="189"/>
      <c r="B294" s="182"/>
      <c r="C294" s="182"/>
      <c r="D294" s="182"/>
      <c r="E294" s="182"/>
      <c r="F294" s="182"/>
      <c r="G294" s="182"/>
      <c r="H294" s="182"/>
      <c r="N294" s="191"/>
    </row>
    <row r="295" spans="1:14" x14ac:dyDescent="0.2">
      <c r="A295" s="189"/>
      <c r="B295" s="182"/>
      <c r="C295" s="182"/>
      <c r="D295" s="182"/>
      <c r="E295" s="182"/>
      <c r="F295" s="182"/>
      <c r="G295" s="182"/>
      <c r="H295" s="182"/>
      <c r="N295" s="191"/>
    </row>
    <row r="296" spans="1:14" x14ac:dyDescent="0.2">
      <c r="A296" s="189"/>
      <c r="B296" s="182"/>
      <c r="C296" s="182"/>
      <c r="D296" s="182"/>
      <c r="E296" s="182"/>
      <c r="F296" s="182"/>
      <c r="G296" s="182"/>
      <c r="H296" s="182"/>
      <c r="N296" s="191"/>
    </row>
    <row r="297" spans="1:14" x14ac:dyDescent="0.2">
      <c r="A297" s="189"/>
      <c r="B297" s="182"/>
      <c r="C297" s="182"/>
      <c r="D297" s="182"/>
      <c r="E297" s="182"/>
      <c r="F297" s="182"/>
      <c r="G297" s="182"/>
      <c r="H297" s="182"/>
      <c r="N297" s="191"/>
    </row>
    <row r="298" spans="1:14" x14ac:dyDescent="0.2">
      <c r="A298" s="189"/>
      <c r="B298" s="182"/>
      <c r="C298" s="182"/>
      <c r="D298" s="182"/>
      <c r="E298" s="182"/>
      <c r="F298" s="182"/>
      <c r="G298" s="182"/>
      <c r="H298" s="182"/>
      <c r="N298" s="191"/>
    </row>
    <row r="299" spans="1:14" x14ac:dyDescent="0.2">
      <c r="A299" s="189"/>
      <c r="B299" s="182"/>
      <c r="C299" s="182"/>
      <c r="D299" s="182"/>
      <c r="E299" s="182"/>
      <c r="F299" s="182"/>
      <c r="G299" s="182"/>
      <c r="H299" s="182"/>
      <c r="N299" s="191"/>
    </row>
    <row r="300" spans="1:14" x14ac:dyDescent="0.2">
      <c r="A300" s="189"/>
      <c r="B300" s="182"/>
      <c r="C300" s="182"/>
      <c r="D300" s="182"/>
      <c r="E300" s="182"/>
      <c r="F300" s="182"/>
      <c r="G300" s="182"/>
      <c r="H300" s="182"/>
      <c r="N300" s="191"/>
    </row>
    <row r="301" spans="1:14" ht="12" thickBot="1" x14ac:dyDescent="0.25">
      <c r="A301" s="192"/>
      <c r="B301" s="193"/>
      <c r="C301" s="193"/>
      <c r="D301" s="193"/>
      <c r="E301" s="193"/>
      <c r="F301" s="193"/>
      <c r="G301" s="193"/>
      <c r="H301" s="193"/>
      <c r="I301" s="193"/>
      <c r="J301" s="193"/>
      <c r="K301" s="193"/>
      <c r="L301" s="193"/>
      <c r="M301" s="193"/>
      <c r="N301" s="195"/>
    </row>
    <row r="302" spans="1:14" x14ac:dyDescent="0.2">
      <c r="A302" s="184"/>
      <c r="B302" s="18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8"/>
    </row>
    <row r="303" spans="1:14" x14ac:dyDescent="0.2">
      <c r="A303" s="189"/>
      <c r="B303" s="182"/>
      <c r="C303" s="182"/>
      <c r="D303" s="182"/>
      <c r="E303" s="182"/>
      <c r="F303" s="182"/>
      <c r="G303" s="182"/>
      <c r="H303" s="182"/>
      <c r="N303" s="191"/>
    </row>
    <row r="304" spans="1:14" x14ac:dyDescent="0.2">
      <c r="A304" s="189"/>
      <c r="B304" s="182"/>
      <c r="C304" s="182"/>
      <c r="D304" s="182"/>
      <c r="E304" s="182"/>
      <c r="F304" s="182"/>
      <c r="G304" s="182"/>
      <c r="H304" s="182"/>
      <c r="N304" s="191"/>
    </row>
    <row r="305" spans="1:14" x14ac:dyDescent="0.2">
      <c r="A305" s="189"/>
      <c r="B305" s="182"/>
      <c r="C305" s="182"/>
      <c r="D305" s="182"/>
      <c r="E305" s="182"/>
      <c r="F305" s="182"/>
      <c r="G305" s="182"/>
      <c r="H305" s="182"/>
      <c r="N305" s="191"/>
    </row>
    <row r="306" spans="1:14" x14ac:dyDescent="0.2">
      <c r="A306" s="189"/>
      <c r="B306" s="182"/>
      <c r="C306" s="182"/>
      <c r="D306" s="182"/>
      <c r="E306" s="182"/>
      <c r="F306" s="182"/>
      <c r="G306" s="182"/>
      <c r="H306" s="182"/>
      <c r="N306" s="191"/>
    </row>
    <row r="307" spans="1:14" x14ac:dyDescent="0.2">
      <c r="A307" s="189"/>
      <c r="B307" s="182"/>
      <c r="C307" s="182"/>
      <c r="D307" s="182"/>
      <c r="E307" s="182"/>
      <c r="F307" s="182"/>
      <c r="G307" s="182"/>
      <c r="H307" s="182"/>
      <c r="N307" s="191"/>
    </row>
    <row r="308" spans="1:14" x14ac:dyDescent="0.2">
      <c r="A308" s="189"/>
      <c r="B308" s="182"/>
      <c r="C308" s="182"/>
      <c r="D308" s="182"/>
      <c r="E308" s="182"/>
      <c r="F308" s="182"/>
      <c r="G308" s="182"/>
      <c r="H308" s="182"/>
      <c r="N308" s="191"/>
    </row>
    <row r="309" spans="1:14" x14ac:dyDescent="0.2">
      <c r="A309" s="189"/>
      <c r="B309" s="182"/>
      <c r="C309" s="182"/>
      <c r="D309" s="182"/>
      <c r="E309" s="182"/>
      <c r="F309" s="182"/>
      <c r="G309" s="182"/>
      <c r="H309" s="182"/>
      <c r="N309" s="191"/>
    </row>
    <row r="310" spans="1:14" ht="12" thickBot="1" x14ac:dyDescent="0.25">
      <c r="A310" s="192"/>
      <c r="B310" s="193"/>
      <c r="C310" s="193"/>
      <c r="D310" s="193"/>
      <c r="E310" s="193"/>
      <c r="F310" s="193"/>
      <c r="G310" s="193"/>
      <c r="H310" s="193"/>
      <c r="I310" s="193"/>
      <c r="J310" s="193"/>
      <c r="K310" s="193"/>
      <c r="L310" s="193"/>
      <c r="M310" s="193"/>
      <c r="N310" s="195"/>
    </row>
    <row r="328" spans="1:14" ht="12" thickBot="1" x14ac:dyDescent="0.25"/>
    <row r="329" spans="1:14" x14ac:dyDescent="0.2">
      <c r="A329" s="184"/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8"/>
    </row>
    <row r="330" spans="1:14" x14ac:dyDescent="0.2">
      <c r="A330" s="189"/>
      <c r="B330" s="182"/>
      <c r="C330" s="182"/>
      <c r="D330" s="182"/>
      <c r="E330" s="182"/>
      <c r="F330" s="182"/>
      <c r="G330" s="182"/>
      <c r="H330" s="182"/>
      <c r="N330" s="191"/>
    </row>
    <row r="331" spans="1:14" x14ac:dyDescent="0.2">
      <c r="A331" s="189"/>
      <c r="B331" s="182"/>
      <c r="C331" s="182"/>
      <c r="D331" s="182"/>
      <c r="E331" s="182"/>
      <c r="F331" s="182"/>
      <c r="G331" s="182"/>
      <c r="H331" s="182"/>
      <c r="N331" s="191"/>
    </row>
    <row r="332" spans="1:14" x14ac:dyDescent="0.2">
      <c r="A332" s="189"/>
      <c r="B332" s="182"/>
      <c r="C332" s="182"/>
      <c r="D332" s="182"/>
      <c r="E332" s="182"/>
      <c r="F332" s="182"/>
      <c r="G332" s="182"/>
      <c r="H332" s="182"/>
      <c r="N332" s="191"/>
    </row>
    <row r="333" spans="1:14" x14ac:dyDescent="0.2">
      <c r="A333" s="189"/>
      <c r="B333" s="182"/>
      <c r="C333" s="182"/>
      <c r="D333" s="182"/>
      <c r="E333" s="182"/>
      <c r="F333" s="182"/>
      <c r="G333" s="182"/>
      <c r="H333" s="182"/>
      <c r="N333" s="191"/>
    </row>
    <row r="334" spans="1:14" x14ac:dyDescent="0.2">
      <c r="A334" s="189"/>
      <c r="B334" s="182"/>
      <c r="C334" s="182"/>
      <c r="D334" s="182"/>
      <c r="E334" s="182"/>
      <c r="F334" s="182"/>
      <c r="G334" s="182"/>
      <c r="H334" s="182"/>
      <c r="N334" s="191"/>
    </row>
    <row r="335" spans="1:14" x14ac:dyDescent="0.2">
      <c r="A335" s="189"/>
      <c r="B335" s="182"/>
      <c r="C335" s="182"/>
      <c r="D335" s="182"/>
      <c r="E335" s="182"/>
      <c r="F335" s="182"/>
      <c r="G335" s="182"/>
      <c r="H335" s="182"/>
      <c r="N335" s="191"/>
    </row>
    <row r="336" spans="1:14" x14ac:dyDescent="0.2">
      <c r="A336" s="189"/>
      <c r="B336" s="182"/>
      <c r="C336" s="182"/>
      <c r="D336" s="182"/>
      <c r="E336" s="182"/>
      <c r="F336" s="182"/>
      <c r="G336" s="182"/>
      <c r="H336" s="182"/>
      <c r="N336" s="191"/>
    </row>
    <row r="337" spans="1:14" ht="12" thickBot="1" x14ac:dyDescent="0.25">
      <c r="A337" s="192"/>
      <c r="B337" s="193"/>
      <c r="C337" s="193"/>
      <c r="D337" s="193"/>
      <c r="E337" s="193"/>
      <c r="F337" s="193"/>
      <c r="G337" s="193"/>
      <c r="H337" s="193"/>
      <c r="I337" s="193"/>
      <c r="J337" s="193"/>
      <c r="K337" s="193"/>
      <c r="L337" s="193"/>
      <c r="M337" s="193"/>
      <c r="N337" s="195"/>
    </row>
    <row r="338" spans="1:14" x14ac:dyDescent="0.2">
      <c r="A338" s="184"/>
      <c r="B338" s="18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8"/>
    </row>
    <row r="339" spans="1:14" x14ac:dyDescent="0.2">
      <c r="A339" s="189"/>
      <c r="B339" s="182"/>
      <c r="C339" s="182"/>
      <c r="D339" s="182"/>
      <c r="E339" s="182"/>
      <c r="F339" s="182"/>
      <c r="G339" s="182"/>
      <c r="H339" s="182"/>
      <c r="N339" s="191"/>
    </row>
    <row r="340" spans="1:14" x14ac:dyDescent="0.2">
      <c r="A340" s="189"/>
      <c r="B340" s="182"/>
      <c r="C340" s="182"/>
      <c r="D340" s="182"/>
      <c r="E340" s="182"/>
      <c r="F340" s="182"/>
      <c r="G340" s="182"/>
      <c r="H340" s="182"/>
      <c r="N340" s="191"/>
    </row>
    <row r="341" spans="1:14" x14ac:dyDescent="0.2">
      <c r="A341" s="189"/>
      <c r="B341" s="182"/>
      <c r="C341" s="182"/>
      <c r="D341" s="182"/>
      <c r="E341" s="182"/>
      <c r="F341" s="182"/>
      <c r="G341" s="182"/>
      <c r="H341" s="182"/>
      <c r="N341" s="191"/>
    </row>
    <row r="342" spans="1:14" x14ac:dyDescent="0.2">
      <c r="A342" s="189"/>
      <c r="B342" s="182"/>
      <c r="C342" s="182"/>
      <c r="D342" s="182"/>
      <c r="E342" s="182"/>
      <c r="F342" s="182"/>
      <c r="G342" s="182"/>
      <c r="H342" s="182"/>
      <c r="N342" s="191"/>
    </row>
    <row r="343" spans="1:14" x14ac:dyDescent="0.2">
      <c r="A343" s="189"/>
      <c r="B343" s="182"/>
      <c r="C343" s="182"/>
      <c r="D343" s="182"/>
      <c r="E343" s="182"/>
      <c r="F343" s="182"/>
      <c r="G343" s="182"/>
      <c r="H343" s="182"/>
      <c r="N343" s="191"/>
    </row>
    <row r="344" spans="1:14" x14ac:dyDescent="0.2">
      <c r="A344" s="189"/>
      <c r="B344" s="182"/>
      <c r="C344" s="182"/>
      <c r="D344" s="182"/>
      <c r="E344" s="182"/>
      <c r="F344" s="182"/>
      <c r="G344" s="182"/>
      <c r="H344" s="182"/>
      <c r="N344" s="191"/>
    </row>
    <row r="345" spans="1:14" x14ac:dyDescent="0.2">
      <c r="A345" s="189"/>
      <c r="B345" s="182"/>
      <c r="C345" s="182"/>
      <c r="D345" s="182"/>
      <c r="E345" s="182"/>
      <c r="F345" s="182"/>
      <c r="G345" s="182"/>
      <c r="H345" s="182"/>
      <c r="N345" s="191"/>
    </row>
    <row r="346" spans="1:14" ht="12" thickBot="1" x14ac:dyDescent="0.25">
      <c r="A346" s="192"/>
      <c r="B346" s="193"/>
      <c r="C346" s="193"/>
      <c r="D346" s="193"/>
      <c r="E346" s="193"/>
      <c r="F346" s="193"/>
      <c r="G346" s="193"/>
      <c r="H346" s="193"/>
      <c r="I346" s="193"/>
      <c r="J346" s="193"/>
      <c r="K346" s="193"/>
      <c r="L346" s="193"/>
      <c r="M346" s="193"/>
      <c r="N346" s="195"/>
    </row>
    <row r="365" spans="1:14" ht="12" thickBot="1" x14ac:dyDescent="0.25"/>
    <row r="366" spans="1:14" x14ac:dyDescent="0.2">
      <c r="A366" s="184"/>
      <c r="B366" s="18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8"/>
    </row>
    <row r="367" spans="1:14" x14ac:dyDescent="0.2">
      <c r="A367" s="189"/>
      <c r="B367" s="182"/>
      <c r="C367" s="182"/>
      <c r="D367" s="182"/>
      <c r="E367" s="182"/>
      <c r="F367" s="182"/>
      <c r="G367" s="182"/>
      <c r="H367" s="182"/>
      <c r="N367" s="191"/>
    </row>
    <row r="368" spans="1:14" x14ac:dyDescent="0.2">
      <c r="A368" s="189"/>
      <c r="B368" s="182"/>
      <c r="C368" s="182"/>
      <c r="D368" s="182"/>
      <c r="E368" s="182"/>
      <c r="F368" s="182"/>
      <c r="G368" s="182"/>
      <c r="H368" s="182"/>
      <c r="N368" s="191"/>
    </row>
    <row r="369" spans="1:14" x14ac:dyDescent="0.2">
      <c r="A369" s="189"/>
      <c r="B369" s="182"/>
      <c r="C369" s="182"/>
      <c r="D369" s="182"/>
      <c r="E369" s="182"/>
      <c r="F369" s="182"/>
      <c r="G369" s="182"/>
      <c r="H369" s="182"/>
      <c r="N369" s="191"/>
    </row>
    <row r="370" spans="1:14" x14ac:dyDescent="0.2">
      <c r="A370" s="189"/>
      <c r="B370" s="182"/>
      <c r="C370" s="182"/>
      <c r="D370" s="182"/>
      <c r="E370" s="182"/>
      <c r="F370" s="182"/>
      <c r="G370" s="182"/>
      <c r="H370" s="182"/>
      <c r="N370" s="191"/>
    </row>
    <row r="371" spans="1:14" x14ac:dyDescent="0.2">
      <c r="A371" s="189"/>
      <c r="B371" s="182"/>
      <c r="C371" s="182"/>
      <c r="D371" s="182"/>
      <c r="E371" s="182"/>
      <c r="F371" s="182"/>
      <c r="G371" s="182"/>
      <c r="H371" s="182"/>
      <c r="N371" s="191"/>
    </row>
    <row r="372" spans="1:14" x14ac:dyDescent="0.2">
      <c r="A372" s="189"/>
      <c r="B372" s="182"/>
      <c r="C372" s="182"/>
      <c r="D372" s="182"/>
      <c r="E372" s="182"/>
      <c r="F372" s="182"/>
      <c r="G372" s="182"/>
      <c r="H372" s="182"/>
      <c r="N372" s="191"/>
    </row>
    <row r="373" spans="1:14" x14ac:dyDescent="0.2">
      <c r="A373" s="189"/>
      <c r="B373" s="182"/>
      <c r="C373" s="182"/>
      <c r="D373" s="182"/>
      <c r="E373" s="182"/>
      <c r="F373" s="182"/>
      <c r="G373" s="182"/>
      <c r="H373" s="182"/>
      <c r="N373" s="191"/>
    </row>
    <row r="374" spans="1:14" ht="12" thickBot="1" x14ac:dyDescent="0.25">
      <c r="A374" s="192"/>
      <c r="B374" s="193"/>
      <c r="C374" s="193"/>
      <c r="D374" s="193"/>
      <c r="E374" s="193"/>
      <c r="F374" s="193"/>
      <c r="G374" s="193"/>
      <c r="H374" s="193"/>
      <c r="I374" s="193"/>
      <c r="J374" s="193"/>
      <c r="K374" s="193"/>
      <c r="L374" s="193"/>
      <c r="M374" s="193"/>
      <c r="N374" s="195"/>
    </row>
    <row r="383" spans="1:14" ht="12" thickBot="1" x14ac:dyDescent="0.25"/>
    <row r="384" spans="1:14" x14ac:dyDescent="0.2">
      <c r="A384" s="184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8"/>
    </row>
    <row r="385" spans="1:14" x14ac:dyDescent="0.2">
      <c r="A385" s="189"/>
      <c r="B385" s="182"/>
      <c r="C385" s="182"/>
      <c r="D385" s="182"/>
      <c r="E385" s="182"/>
      <c r="F385" s="182"/>
      <c r="G385" s="182"/>
      <c r="H385" s="182"/>
      <c r="N385" s="191"/>
    </row>
    <row r="386" spans="1:14" x14ac:dyDescent="0.2">
      <c r="A386" s="189"/>
      <c r="B386" s="182"/>
      <c r="C386" s="182"/>
      <c r="D386" s="182"/>
      <c r="E386" s="182"/>
      <c r="F386" s="182"/>
      <c r="G386" s="182"/>
      <c r="H386" s="182"/>
      <c r="N386" s="191"/>
    </row>
    <row r="387" spans="1:14" x14ac:dyDescent="0.2">
      <c r="A387" s="189"/>
      <c r="B387" s="182"/>
      <c r="C387" s="182"/>
      <c r="D387" s="182"/>
      <c r="E387" s="182"/>
      <c r="F387" s="182"/>
      <c r="G387" s="182"/>
      <c r="H387" s="182"/>
      <c r="N387" s="191"/>
    </row>
    <row r="388" spans="1:14" x14ac:dyDescent="0.2">
      <c r="A388" s="189"/>
      <c r="B388" s="182"/>
      <c r="C388" s="182"/>
      <c r="D388" s="182"/>
      <c r="E388" s="182"/>
      <c r="F388" s="182"/>
      <c r="G388" s="182"/>
      <c r="H388" s="182"/>
      <c r="N388" s="191"/>
    </row>
    <row r="389" spans="1:14" x14ac:dyDescent="0.2">
      <c r="A389" s="189"/>
      <c r="B389" s="182"/>
      <c r="C389" s="182"/>
      <c r="D389" s="182"/>
      <c r="E389" s="182"/>
      <c r="F389" s="182"/>
      <c r="G389" s="182"/>
      <c r="H389" s="182"/>
      <c r="N389" s="191"/>
    </row>
    <row r="390" spans="1:14" x14ac:dyDescent="0.2">
      <c r="A390" s="189"/>
      <c r="B390" s="182"/>
      <c r="C390" s="182"/>
      <c r="D390" s="182"/>
      <c r="E390" s="182"/>
      <c r="F390" s="182"/>
      <c r="G390" s="182"/>
      <c r="H390" s="182"/>
      <c r="N390" s="191"/>
    </row>
    <row r="391" spans="1:14" x14ac:dyDescent="0.2">
      <c r="A391" s="189"/>
      <c r="B391" s="182"/>
      <c r="C391" s="182"/>
      <c r="D391" s="182"/>
      <c r="E391" s="182"/>
      <c r="F391" s="182"/>
      <c r="G391" s="182"/>
      <c r="H391" s="182"/>
      <c r="N391" s="191"/>
    </row>
    <row r="392" spans="1:14" ht="12" thickBot="1" x14ac:dyDescent="0.25">
      <c r="A392" s="192"/>
      <c r="B392" s="193"/>
      <c r="C392" s="193"/>
      <c r="D392" s="193"/>
      <c r="E392" s="193"/>
      <c r="F392" s="193"/>
      <c r="G392" s="193"/>
      <c r="H392" s="193"/>
      <c r="I392" s="193"/>
      <c r="J392" s="193"/>
      <c r="K392" s="193"/>
      <c r="L392" s="193"/>
      <c r="M392" s="193"/>
      <c r="N392" s="195"/>
    </row>
    <row r="419" spans="1:14" ht="12" thickBot="1" x14ac:dyDescent="0.25"/>
    <row r="420" spans="1:14" x14ac:dyDescent="0.2">
      <c r="A420" s="184"/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8"/>
    </row>
    <row r="421" spans="1:14" ht="12" thickBot="1" x14ac:dyDescent="0.25">
      <c r="A421" s="189"/>
      <c r="B421" s="182"/>
      <c r="C421" s="182"/>
      <c r="D421" s="182"/>
      <c r="E421" s="182"/>
      <c r="F421" s="182"/>
      <c r="G421" s="182"/>
      <c r="H421" s="182"/>
      <c r="N421" s="191"/>
    </row>
    <row r="422" spans="1:14" ht="45" x14ac:dyDescent="0.2">
      <c r="A422" s="184"/>
      <c r="B422" s="185" t="s">
        <v>24</v>
      </c>
      <c r="C422" s="185"/>
      <c r="D422" s="186"/>
      <c r="E422" s="186"/>
      <c r="F422" s="186"/>
      <c r="G422" s="186"/>
      <c r="H422" s="186"/>
      <c r="I422" s="187"/>
      <c r="J422" s="187"/>
      <c r="K422" s="187"/>
      <c r="L422" s="187"/>
      <c r="M422" s="187"/>
      <c r="N422" s="188"/>
    </row>
    <row r="423" spans="1:14" x14ac:dyDescent="0.2">
      <c r="A423" s="189"/>
      <c r="B423" s="182"/>
      <c r="C423" s="182"/>
      <c r="D423" s="182"/>
      <c r="E423" s="182"/>
      <c r="F423" s="182"/>
      <c r="G423" s="182"/>
      <c r="H423" s="182"/>
      <c r="I423" s="190"/>
      <c r="J423" s="190"/>
      <c r="K423" s="190"/>
      <c r="L423" s="190"/>
      <c r="M423" s="190"/>
      <c r="N423" s="191"/>
    </row>
    <row r="424" spans="1:14" x14ac:dyDescent="0.2">
      <c r="A424" s="189"/>
      <c r="B424" s="182"/>
      <c r="C424" s="182"/>
      <c r="D424" s="182"/>
      <c r="E424" s="182"/>
      <c r="F424" s="182"/>
      <c r="G424" s="182"/>
      <c r="H424" s="182"/>
      <c r="I424" s="190"/>
      <c r="J424" s="190"/>
      <c r="K424" s="190"/>
      <c r="L424" s="190"/>
      <c r="M424" s="190"/>
      <c r="N424" s="191"/>
    </row>
    <row r="425" spans="1:14" x14ac:dyDescent="0.2">
      <c r="A425" s="189"/>
      <c r="B425" s="182"/>
      <c r="C425" s="182"/>
      <c r="D425" s="182"/>
      <c r="E425" s="182"/>
      <c r="F425" s="182"/>
      <c r="G425" s="182"/>
      <c r="H425" s="182"/>
      <c r="I425" s="190"/>
      <c r="J425" s="190"/>
      <c r="K425" s="190"/>
      <c r="L425" s="190"/>
      <c r="M425" s="190"/>
      <c r="N425" s="191"/>
    </row>
    <row r="426" spans="1:14" x14ac:dyDescent="0.2">
      <c r="A426" s="189"/>
      <c r="B426" s="182"/>
      <c r="C426" s="182"/>
      <c r="D426" s="182"/>
      <c r="E426" s="182"/>
      <c r="F426" s="182"/>
      <c r="G426" s="182"/>
      <c r="H426" s="182"/>
      <c r="I426" s="190"/>
      <c r="J426" s="190"/>
      <c r="K426" s="190"/>
      <c r="L426" s="190"/>
      <c r="M426" s="190"/>
      <c r="N426" s="191"/>
    </row>
    <row r="427" spans="1:14" x14ac:dyDescent="0.2">
      <c r="A427" s="189"/>
      <c r="B427" s="182"/>
      <c r="C427" s="182"/>
      <c r="D427" s="182"/>
      <c r="E427" s="182"/>
      <c r="F427" s="182"/>
      <c r="G427" s="182"/>
      <c r="H427" s="182"/>
      <c r="I427" s="190"/>
      <c r="J427" s="190"/>
      <c r="K427" s="190"/>
      <c r="L427" s="190"/>
      <c r="M427" s="190"/>
      <c r="N427" s="191"/>
    </row>
    <row r="428" spans="1:14" x14ac:dyDescent="0.2">
      <c r="A428" s="189"/>
      <c r="B428" s="182"/>
      <c r="C428" s="182"/>
      <c r="D428" s="182"/>
      <c r="E428" s="182"/>
      <c r="F428" s="182"/>
      <c r="G428" s="182"/>
      <c r="H428" s="182"/>
      <c r="I428" s="190"/>
      <c r="J428" s="190"/>
      <c r="K428" s="190"/>
      <c r="L428" s="190"/>
      <c r="M428" s="190"/>
      <c r="N428" s="191"/>
    </row>
    <row r="429" spans="1:14" x14ac:dyDescent="0.2">
      <c r="A429" s="189"/>
      <c r="B429" s="182"/>
      <c r="C429" s="182"/>
      <c r="D429" s="182"/>
      <c r="E429" s="182"/>
      <c r="F429" s="182"/>
      <c r="G429" s="182"/>
      <c r="H429" s="182"/>
      <c r="I429" s="190"/>
      <c r="J429" s="190"/>
      <c r="K429" s="190"/>
      <c r="L429" s="190"/>
      <c r="M429" s="190"/>
      <c r="N429" s="191"/>
    </row>
    <row r="430" spans="1:14" x14ac:dyDescent="0.2">
      <c r="A430" s="189"/>
      <c r="B430" s="182"/>
      <c r="C430" s="182"/>
      <c r="D430" s="182"/>
      <c r="E430" s="182"/>
      <c r="F430" s="182"/>
      <c r="G430" s="182"/>
      <c r="H430" s="182"/>
      <c r="I430" s="190"/>
      <c r="J430" s="190"/>
      <c r="K430" s="190"/>
      <c r="L430" s="190"/>
      <c r="M430" s="190"/>
      <c r="N430" s="191"/>
    </row>
    <row r="431" spans="1:14" x14ac:dyDescent="0.2">
      <c r="A431" s="189"/>
      <c r="B431" s="182"/>
      <c r="C431" s="182"/>
      <c r="D431" s="182"/>
      <c r="E431" s="182"/>
      <c r="F431" s="182"/>
      <c r="G431" s="182"/>
      <c r="H431" s="182"/>
      <c r="I431" s="190"/>
      <c r="J431" s="190"/>
      <c r="K431" s="190"/>
      <c r="L431" s="190"/>
      <c r="M431" s="190"/>
      <c r="N431" s="191"/>
    </row>
    <row r="432" spans="1:14" x14ac:dyDescent="0.2">
      <c r="A432" s="189"/>
      <c r="B432" s="182"/>
      <c r="C432" s="182"/>
      <c r="D432" s="182"/>
      <c r="E432" s="182"/>
      <c r="F432" s="182"/>
      <c r="G432" s="182"/>
      <c r="H432" s="182"/>
      <c r="I432" s="190"/>
      <c r="J432" s="190"/>
      <c r="K432" s="190"/>
      <c r="L432" s="190"/>
      <c r="M432" s="190"/>
      <c r="N432" s="191"/>
    </row>
    <row r="433" spans="1:14" ht="12" thickBot="1" x14ac:dyDescent="0.25">
      <c r="A433" s="192"/>
      <c r="B433" s="193"/>
      <c r="C433" s="193"/>
      <c r="D433" s="193"/>
      <c r="E433" s="193"/>
      <c r="F433" s="193"/>
      <c r="G433" s="193"/>
      <c r="H433" s="193"/>
      <c r="I433" s="194"/>
      <c r="J433" s="194"/>
      <c r="K433" s="194"/>
      <c r="L433" s="194"/>
      <c r="M433" s="194"/>
      <c r="N433" s="195"/>
    </row>
    <row r="434" spans="1:14" x14ac:dyDescent="0.2">
      <c r="A434" s="184"/>
      <c r="B434" s="18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8"/>
    </row>
    <row r="435" spans="1:14" x14ac:dyDescent="0.2">
      <c r="A435" s="189"/>
      <c r="B435" s="182"/>
      <c r="C435" s="182"/>
      <c r="D435" s="182"/>
      <c r="E435" s="182"/>
      <c r="F435" s="182"/>
      <c r="G435" s="182"/>
      <c r="H435" s="182"/>
      <c r="N435" s="191"/>
    </row>
    <row r="436" spans="1:14" x14ac:dyDescent="0.2">
      <c r="A436" s="189"/>
      <c r="B436" s="182"/>
      <c r="C436" s="182"/>
      <c r="D436" s="182"/>
      <c r="E436" s="182"/>
      <c r="F436" s="182"/>
      <c r="G436" s="182"/>
      <c r="H436" s="182"/>
      <c r="N436" s="191"/>
    </row>
    <row r="437" spans="1:14" x14ac:dyDescent="0.2">
      <c r="A437" s="189"/>
      <c r="B437" s="182"/>
      <c r="C437" s="182"/>
      <c r="D437" s="182"/>
      <c r="E437" s="182"/>
      <c r="F437" s="182"/>
      <c r="G437" s="182"/>
      <c r="H437" s="182"/>
      <c r="N437" s="191"/>
    </row>
    <row r="438" spans="1:14" x14ac:dyDescent="0.2">
      <c r="A438" s="189"/>
      <c r="B438" s="182"/>
      <c r="C438" s="182"/>
      <c r="D438" s="182"/>
      <c r="E438" s="182"/>
      <c r="F438" s="182"/>
      <c r="G438" s="182"/>
      <c r="H438" s="182"/>
      <c r="N438" s="191"/>
    </row>
    <row r="439" spans="1:14" x14ac:dyDescent="0.2">
      <c r="A439" s="189"/>
      <c r="B439" s="182"/>
      <c r="C439" s="182"/>
      <c r="D439" s="182"/>
      <c r="E439" s="182"/>
      <c r="F439" s="182"/>
      <c r="G439" s="182"/>
      <c r="H439" s="182"/>
      <c r="N439" s="191"/>
    </row>
    <row r="440" spans="1:14" x14ac:dyDescent="0.2">
      <c r="A440" s="189"/>
      <c r="B440" s="182"/>
      <c r="C440" s="182"/>
      <c r="D440" s="182"/>
      <c r="E440" s="182"/>
      <c r="F440" s="182"/>
      <c r="G440" s="182"/>
      <c r="H440" s="182"/>
      <c r="N440" s="191"/>
    </row>
    <row r="441" spans="1:14" x14ac:dyDescent="0.2">
      <c r="A441" s="189"/>
      <c r="B441" s="182"/>
      <c r="C441" s="182"/>
      <c r="D441" s="182"/>
      <c r="E441" s="182"/>
      <c r="F441" s="182"/>
      <c r="G441" s="182"/>
      <c r="H441" s="182"/>
      <c r="N441" s="191"/>
    </row>
    <row r="442" spans="1:14" x14ac:dyDescent="0.2">
      <c r="A442" s="189"/>
      <c r="B442" s="182"/>
      <c r="C442" s="182"/>
      <c r="D442" s="182"/>
      <c r="E442" s="182"/>
      <c r="F442" s="182"/>
      <c r="G442" s="182"/>
      <c r="H442" s="182"/>
      <c r="N442" s="191"/>
    </row>
    <row r="443" spans="1:14" x14ac:dyDescent="0.2">
      <c r="A443" s="189"/>
      <c r="B443" s="182"/>
      <c r="C443" s="182"/>
      <c r="D443" s="182"/>
      <c r="E443" s="182"/>
      <c r="F443" s="182"/>
      <c r="G443" s="182"/>
      <c r="H443" s="182"/>
      <c r="N443" s="191"/>
    </row>
    <row r="444" spans="1:14" x14ac:dyDescent="0.2">
      <c r="A444" s="189"/>
      <c r="B444" s="182"/>
      <c r="C444" s="182"/>
      <c r="D444" s="182"/>
      <c r="E444" s="182"/>
      <c r="F444" s="182"/>
      <c r="G444" s="182"/>
      <c r="H444" s="182"/>
      <c r="N444" s="191"/>
    </row>
    <row r="445" spans="1:14" x14ac:dyDescent="0.2">
      <c r="A445" s="189"/>
      <c r="B445" s="182"/>
      <c r="C445" s="182"/>
      <c r="D445" s="182"/>
      <c r="E445" s="182"/>
      <c r="F445" s="182"/>
      <c r="G445" s="182"/>
      <c r="H445" s="182"/>
      <c r="N445" s="191"/>
    </row>
    <row r="446" spans="1:14" x14ac:dyDescent="0.2">
      <c r="A446" s="189"/>
      <c r="B446" s="182"/>
      <c r="C446" s="182"/>
      <c r="D446" s="182"/>
      <c r="E446" s="182"/>
      <c r="F446" s="182"/>
      <c r="G446" s="182"/>
      <c r="H446" s="182"/>
      <c r="N446" s="191"/>
    </row>
    <row r="447" spans="1:14" ht="12" thickBot="1" x14ac:dyDescent="0.25">
      <c r="A447" s="192"/>
      <c r="B447" s="193"/>
      <c r="C447" s="193"/>
      <c r="D447" s="193"/>
      <c r="E447" s="193"/>
      <c r="F447" s="193"/>
      <c r="G447" s="193"/>
      <c r="H447" s="193"/>
      <c r="I447" s="193"/>
      <c r="J447" s="193"/>
      <c r="K447" s="193"/>
      <c r="L447" s="193"/>
      <c r="M447" s="193"/>
      <c r="N447" s="195"/>
    </row>
    <row r="456" spans="1:14" ht="12" thickBot="1" x14ac:dyDescent="0.25"/>
    <row r="457" spans="1:14" x14ac:dyDescent="0.2">
      <c r="A457" s="184"/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8"/>
    </row>
    <row r="458" spans="1:14" x14ac:dyDescent="0.2">
      <c r="A458" s="189"/>
      <c r="B458" s="182"/>
      <c r="C458" s="182"/>
      <c r="D458" s="182"/>
      <c r="E458" s="182"/>
      <c r="F458" s="182"/>
      <c r="G458" s="182"/>
      <c r="H458" s="182"/>
      <c r="N458" s="191"/>
    </row>
    <row r="459" spans="1:14" x14ac:dyDescent="0.2">
      <c r="A459" s="189"/>
      <c r="B459" s="182"/>
      <c r="C459" s="182"/>
      <c r="D459" s="182"/>
      <c r="E459" s="182"/>
      <c r="F459" s="182"/>
      <c r="G459" s="182"/>
      <c r="H459" s="182"/>
      <c r="N459" s="191"/>
    </row>
    <row r="460" spans="1:14" x14ac:dyDescent="0.2">
      <c r="A460" s="189"/>
      <c r="B460" s="182"/>
      <c r="C460" s="182"/>
      <c r="D460" s="182"/>
      <c r="E460" s="182"/>
      <c r="F460" s="182"/>
      <c r="G460" s="182"/>
      <c r="H460" s="182"/>
      <c r="N460" s="191"/>
    </row>
    <row r="461" spans="1:14" x14ac:dyDescent="0.2">
      <c r="A461" s="189"/>
      <c r="B461" s="182"/>
      <c r="C461" s="182"/>
      <c r="D461" s="182"/>
      <c r="E461" s="182"/>
      <c r="F461" s="182"/>
      <c r="G461" s="182"/>
      <c r="H461" s="182"/>
      <c r="N461" s="191"/>
    </row>
    <row r="462" spans="1:14" x14ac:dyDescent="0.2">
      <c r="A462" s="189"/>
      <c r="B462" s="182"/>
      <c r="C462" s="182"/>
      <c r="D462" s="182"/>
      <c r="E462" s="182"/>
      <c r="F462" s="182"/>
      <c r="G462" s="182"/>
      <c r="H462" s="182"/>
      <c r="N462" s="191"/>
    </row>
    <row r="463" spans="1:14" x14ac:dyDescent="0.2">
      <c r="A463" s="189"/>
      <c r="B463" s="182"/>
      <c r="C463" s="182"/>
      <c r="D463" s="182"/>
      <c r="E463" s="182"/>
      <c r="F463" s="182"/>
      <c r="G463" s="182"/>
      <c r="H463" s="182"/>
      <c r="N463" s="191"/>
    </row>
    <row r="464" spans="1:14" x14ac:dyDescent="0.2">
      <c r="A464" s="189"/>
      <c r="B464" s="182"/>
      <c r="C464" s="182"/>
      <c r="D464" s="182"/>
      <c r="E464" s="182"/>
      <c r="F464" s="182"/>
      <c r="G464" s="182"/>
      <c r="H464" s="182"/>
      <c r="N464" s="191"/>
    </row>
    <row r="465" spans="1:14" ht="12" thickBot="1" x14ac:dyDescent="0.25">
      <c r="A465" s="192"/>
      <c r="B465" s="193"/>
      <c r="C465" s="193"/>
      <c r="D465" s="193"/>
      <c r="E465" s="193"/>
      <c r="F465" s="193"/>
      <c r="G465" s="193"/>
      <c r="H465" s="193"/>
      <c r="I465" s="193"/>
      <c r="J465" s="193"/>
      <c r="K465" s="193"/>
      <c r="L465" s="193"/>
      <c r="M465" s="193"/>
      <c r="N465" s="195"/>
    </row>
    <row r="506" spans="6:6" x14ac:dyDescent="0.2">
      <c r="F506" s="145">
        <v>415162</v>
      </c>
    </row>
    <row r="538" spans="1:14" ht="12" thickBot="1" x14ac:dyDescent="0.25"/>
    <row r="539" spans="1:14" x14ac:dyDescent="0.2">
      <c r="A539" s="184"/>
      <c r="B539" s="186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8"/>
    </row>
    <row r="540" spans="1:14" x14ac:dyDescent="0.2">
      <c r="A540" s="189"/>
      <c r="B540" s="182"/>
      <c r="C540" s="182"/>
      <c r="D540" s="182"/>
      <c r="E540" s="182"/>
      <c r="F540" s="182"/>
      <c r="G540" s="182"/>
      <c r="H540" s="182"/>
      <c r="N540" s="191"/>
    </row>
    <row r="541" spans="1:14" x14ac:dyDescent="0.2">
      <c r="A541" s="189"/>
      <c r="B541" s="182"/>
      <c r="C541" s="182"/>
      <c r="D541" s="182"/>
      <c r="E541" s="182"/>
      <c r="F541" s="182"/>
      <c r="G541" s="182"/>
      <c r="H541" s="182"/>
      <c r="N541" s="191"/>
    </row>
    <row r="542" spans="1:14" x14ac:dyDescent="0.2">
      <c r="A542" s="189"/>
      <c r="B542" s="182"/>
      <c r="C542" s="182"/>
      <c r="D542" s="182"/>
      <c r="E542" s="182"/>
      <c r="F542" s="182"/>
      <c r="G542" s="182"/>
      <c r="H542" s="182"/>
      <c r="N542" s="191"/>
    </row>
    <row r="543" spans="1:14" x14ac:dyDescent="0.2">
      <c r="A543" s="189"/>
      <c r="B543" s="182"/>
      <c r="C543" s="182"/>
      <c r="D543" s="182"/>
      <c r="E543" s="182"/>
      <c r="F543" s="182"/>
      <c r="G543" s="182"/>
      <c r="H543" s="182"/>
      <c r="N543" s="191"/>
    </row>
    <row r="544" spans="1:14" x14ac:dyDescent="0.2">
      <c r="A544" s="189"/>
      <c r="B544" s="182"/>
      <c r="C544" s="182"/>
      <c r="D544" s="182"/>
      <c r="E544" s="182"/>
      <c r="F544" s="182"/>
      <c r="G544" s="182"/>
      <c r="H544" s="182"/>
      <c r="N544" s="191"/>
    </row>
    <row r="545" spans="1:14" x14ac:dyDescent="0.2">
      <c r="A545" s="189"/>
      <c r="B545" s="182"/>
      <c r="C545" s="182"/>
      <c r="D545" s="182"/>
      <c r="E545" s="182"/>
      <c r="F545" s="182"/>
      <c r="G545" s="182"/>
      <c r="H545" s="182"/>
      <c r="N545" s="191"/>
    </row>
    <row r="546" spans="1:14" ht="12" thickBot="1" x14ac:dyDescent="0.25">
      <c r="A546" s="192"/>
      <c r="B546" s="193"/>
      <c r="C546" s="193"/>
      <c r="D546" s="193"/>
      <c r="E546" s="193"/>
      <c r="F546" s="193"/>
      <c r="G546" s="193"/>
      <c r="H546" s="193"/>
      <c r="I546" s="193"/>
      <c r="J546" s="193"/>
      <c r="K546" s="193"/>
      <c r="L546" s="193"/>
      <c r="M546" s="193"/>
      <c r="N546" s="195"/>
    </row>
    <row r="547" spans="1:14" x14ac:dyDescent="0.2">
      <c r="A547" s="184"/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8"/>
    </row>
    <row r="548" spans="1:14" x14ac:dyDescent="0.2">
      <c r="A548" s="189"/>
      <c r="B548" s="182"/>
      <c r="C548" s="182"/>
      <c r="D548" s="182"/>
      <c r="E548" s="182"/>
      <c r="F548" s="182"/>
      <c r="G548" s="182"/>
      <c r="H548" s="182"/>
      <c r="N548" s="191"/>
    </row>
    <row r="549" spans="1:14" x14ac:dyDescent="0.2">
      <c r="A549" s="189"/>
      <c r="B549" s="182"/>
      <c r="C549" s="182"/>
      <c r="D549" s="182"/>
      <c r="E549" s="182"/>
      <c r="F549" s="182"/>
      <c r="G549" s="182"/>
      <c r="H549" s="182"/>
      <c r="N549" s="191"/>
    </row>
    <row r="550" spans="1:14" ht="12" thickBot="1" x14ac:dyDescent="0.25">
      <c r="A550" s="192"/>
      <c r="B550" s="193"/>
      <c r="C550" s="193"/>
      <c r="D550" s="193"/>
      <c r="E550" s="193"/>
      <c r="F550" s="193"/>
      <c r="G550" s="193"/>
      <c r="H550" s="193"/>
      <c r="I550" s="193"/>
      <c r="J550" s="193"/>
      <c r="K550" s="193"/>
      <c r="L550" s="193"/>
      <c r="M550" s="193"/>
      <c r="N550" s="195"/>
    </row>
  </sheetData>
  <mergeCells count="49">
    <mergeCell ref="M1:N1"/>
    <mergeCell ref="A74:A85"/>
    <mergeCell ref="N74:N85"/>
    <mergeCell ref="C76:C80"/>
    <mergeCell ref="C84:C85"/>
    <mergeCell ref="N55:N61"/>
    <mergeCell ref="C57:C58"/>
    <mergeCell ref="C60:C61"/>
    <mergeCell ref="A55:A61"/>
    <mergeCell ref="A62:A73"/>
    <mergeCell ref="N62:N73"/>
    <mergeCell ref="C64:C68"/>
    <mergeCell ref="C72:C73"/>
    <mergeCell ref="N12:N22"/>
    <mergeCell ref="A44:A54"/>
    <mergeCell ref="N44:N54"/>
    <mergeCell ref="C46:C49"/>
    <mergeCell ref="C53:C54"/>
    <mergeCell ref="A32:A43"/>
    <mergeCell ref="N32:N43"/>
    <mergeCell ref="C34:C38"/>
    <mergeCell ref="C42:C43"/>
    <mergeCell ref="A23:A31"/>
    <mergeCell ref="N23:N31"/>
    <mergeCell ref="C25:C28"/>
    <mergeCell ref="C30:C31"/>
    <mergeCell ref="A12:A22"/>
    <mergeCell ref="C13:C17"/>
    <mergeCell ref="A4:A7"/>
    <mergeCell ref="B4:B7"/>
    <mergeCell ref="C4:C7"/>
    <mergeCell ref="C19:C20"/>
    <mergeCell ref="C21:C22"/>
    <mergeCell ref="A8:B8"/>
    <mergeCell ref="N4:N7"/>
    <mergeCell ref="J5:J7"/>
    <mergeCell ref="K5:M5"/>
    <mergeCell ref="D5:D7"/>
    <mergeCell ref="E5:E7"/>
    <mergeCell ref="F5:F7"/>
    <mergeCell ref="G5:H5"/>
    <mergeCell ref="G6:G7"/>
    <mergeCell ref="H6:H7"/>
    <mergeCell ref="D4:H4"/>
    <mergeCell ref="I5:I7"/>
    <mergeCell ref="K6:K7"/>
    <mergeCell ref="L6:L7"/>
    <mergeCell ref="M6:M7"/>
    <mergeCell ref="I4:M4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4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1" manualBreakCount="1">
    <brk id="4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BF550"/>
  <sheetViews>
    <sheetView showGridLines="0" view="pageBreakPreview" zoomScaleNormal="100" zoomScaleSheetLayoutView="100" workbookViewId="0">
      <selection activeCell="O1" sqref="O1"/>
    </sheetView>
  </sheetViews>
  <sheetFormatPr defaultRowHeight="11.25" outlineLevelRow="1" x14ac:dyDescent="0.2"/>
  <cols>
    <col min="1" max="1" width="3.7109375" style="177" customWidth="1"/>
    <col min="2" max="2" width="50.85546875" style="145" customWidth="1"/>
    <col min="3" max="3" width="10.85546875" style="145" customWidth="1"/>
    <col min="4" max="4" width="13.85546875" style="145" customWidth="1"/>
    <col min="5" max="5" width="11.85546875" style="145" customWidth="1"/>
    <col min="6" max="6" width="13" style="145" customWidth="1"/>
    <col min="7" max="7" width="13.140625" style="145" customWidth="1"/>
    <col min="8" max="8" width="12.7109375" style="145" customWidth="1"/>
    <col min="9" max="9" width="14.7109375" style="182" customWidth="1"/>
    <col min="10" max="10" width="10.28515625" style="182" customWidth="1"/>
    <col min="11" max="11" width="11" style="182" customWidth="1"/>
    <col min="12" max="12" width="12.140625" style="182" customWidth="1"/>
    <col min="13" max="13" width="14.7109375" style="182" customWidth="1"/>
    <col min="14" max="14" width="15.140625" style="183" customWidth="1"/>
    <col min="15" max="16384" width="9.140625" style="145"/>
  </cols>
  <sheetData>
    <row r="1" spans="1:58" ht="20.25" customHeight="1" x14ac:dyDescent="0.3">
      <c r="A1" s="646"/>
      <c r="I1" s="5"/>
      <c r="J1" s="5"/>
      <c r="K1" s="5"/>
      <c r="M1" s="3029" t="s">
        <v>355</v>
      </c>
      <c r="N1" s="3029"/>
    </row>
    <row r="2" spans="1:58" ht="3" customHeight="1" thickBot="1" x14ac:dyDescent="0.25">
      <c r="A2" s="646"/>
      <c r="C2" s="182"/>
      <c r="D2" s="647"/>
      <c r="G2" s="182"/>
      <c r="H2" s="182"/>
      <c r="I2" s="128"/>
      <c r="J2" s="426"/>
      <c r="K2" s="128"/>
      <c r="L2" s="128"/>
      <c r="M2" s="128"/>
      <c r="N2" s="123"/>
    </row>
    <row r="3" spans="1:58" s="126" customFormat="1" ht="40.5" customHeight="1" thickBot="1" x14ac:dyDescent="0.25">
      <c r="A3" s="3458" t="s">
        <v>187</v>
      </c>
      <c r="B3" s="3540"/>
      <c r="C3" s="3540"/>
      <c r="D3" s="3540"/>
      <c r="E3" s="3540"/>
      <c r="F3" s="3540"/>
      <c r="G3" s="3540"/>
      <c r="H3" s="3540"/>
      <c r="I3" s="3540"/>
      <c r="J3" s="3540"/>
      <c r="K3" s="3540"/>
      <c r="L3" s="3540"/>
      <c r="M3" s="3540"/>
      <c r="N3" s="3541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</row>
    <row r="4" spans="1:58" s="196" customFormat="1" ht="33.75" customHeight="1" x14ac:dyDescent="0.2">
      <c r="A4" s="3542" t="s">
        <v>25</v>
      </c>
      <c r="B4" s="3545" t="s">
        <v>26</v>
      </c>
      <c r="C4" s="3548" t="s">
        <v>27</v>
      </c>
      <c r="D4" s="3026" t="s">
        <v>338</v>
      </c>
      <c r="E4" s="3027"/>
      <c r="F4" s="3027"/>
      <c r="G4" s="3027"/>
      <c r="H4" s="3028"/>
      <c r="I4" s="3026" t="s">
        <v>316</v>
      </c>
      <c r="J4" s="3027"/>
      <c r="K4" s="3027"/>
      <c r="L4" s="3027"/>
      <c r="M4" s="3028"/>
      <c r="N4" s="3060" t="s">
        <v>28</v>
      </c>
    </row>
    <row r="5" spans="1:58" ht="27" customHeight="1" x14ac:dyDescent="0.2">
      <c r="A5" s="3543"/>
      <c r="B5" s="3546"/>
      <c r="C5" s="3549"/>
      <c r="D5" s="3011" t="s">
        <v>0</v>
      </c>
      <c r="E5" s="3014" t="s">
        <v>188</v>
      </c>
      <c r="F5" s="3017" t="s">
        <v>332</v>
      </c>
      <c r="G5" s="3020" t="s">
        <v>292</v>
      </c>
      <c r="H5" s="3021"/>
      <c r="I5" s="3002" t="s">
        <v>302</v>
      </c>
      <c r="J5" s="3064" t="s">
        <v>339</v>
      </c>
      <c r="K5" s="3424" t="s">
        <v>321</v>
      </c>
      <c r="L5" s="3425"/>
      <c r="M5" s="3426"/>
      <c r="N5" s="3061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</row>
    <row r="6" spans="1:58" ht="41.25" customHeight="1" x14ac:dyDescent="0.2">
      <c r="A6" s="3543"/>
      <c r="B6" s="3546"/>
      <c r="C6" s="3549"/>
      <c r="D6" s="3012"/>
      <c r="E6" s="3015"/>
      <c r="F6" s="3018"/>
      <c r="G6" s="3022" t="s">
        <v>301</v>
      </c>
      <c r="H6" s="3024" t="s">
        <v>251</v>
      </c>
      <c r="I6" s="3003"/>
      <c r="J6" s="3065"/>
      <c r="K6" s="3022" t="s">
        <v>304</v>
      </c>
      <c r="L6" s="3468" t="s">
        <v>340</v>
      </c>
      <c r="M6" s="3422" t="s">
        <v>341</v>
      </c>
      <c r="N6" s="3062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</row>
    <row r="7" spans="1:58" ht="53.25" customHeight="1" thickBot="1" x14ac:dyDescent="0.25">
      <c r="A7" s="3544"/>
      <c r="B7" s="3547"/>
      <c r="C7" s="3550"/>
      <c r="D7" s="3013"/>
      <c r="E7" s="3016"/>
      <c r="F7" s="3019"/>
      <c r="G7" s="3023"/>
      <c r="H7" s="3025"/>
      <c r="I7" s="3004"/>
      <c r="J7" s="3066"/>
      <c r="K7" s="3023"/>
      <c r="L7" s="3469"/>
      <c r="M7" s="3423"/>
      <c r="N7" s="3063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</row>
    <row r="8" spans="1:58" ht="14.25" customHeight="1" thickBot="1" x14ac:dyDescent="0.25">
      <c r="A8" s="3563">
        <v>1</v>
      </c>
      <c r="B8" s="3564"/>
      <c r="C8" s="648">
        <v>2</v>
      </c>
      <c r="D8" s="1538">
        <v>3</v>
      </c>
      <c r="E8" s="1539">
        <v>4</v>
      </c>
      <c r="F8" s="1539">
        <v>5</v>
      </c>
      <c r="G8" s="1539">
        <v>6</v>
      </c>
      <c r="H8" s="1646">
        <v>7</v>
      </c>
      <c r="I8" s="1538">
        <v>8</v>
      </c>
      <c r="J8" s="1647">
        <v>9</v>
      </c>
      <c r="K8" s="1647">
        <v>10</v>
      </c>
      <c r="L8" s="1648">
        <v>11</v>
      </c>
      <c r="M8" s="1649">
        <v>12</v>
      </c>
      <c r="N8" s="1541">
        <v>13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</row>
    <row r="9" spans="1:58" ht="24.75" customHeight="1" thickBot="1" x14ac:dyDescent="0.25">
      <c r="A9" s="612"/>
      <c r="B9" s="139" t="s">
        <v>189</v>
      </c>
      <c r="C9" s="204"/>
      <c r="D9" s="20">
        <f t="shared" ref="D9:H9" si="0">D10+D11</f>
        <v>276119015.63999999</v>
      </c>
      <c r="E9" s="21">
        <f t="shared" si="0"/>
        <v>127308880</v>
      </c>
      <c r="F9" s="21">
        <f t="shared" si="0"/>
        <v>59791465.640000001</v>
      </c>
      <c r="G9" s="21">
        <f t="shared" si="0"/>
        <v>40509206</v>
      </c>
      <c r="H9" s="22">
        <f t="shared" si="0"/>
        <v>48509464</v>
      </c>
      <c r="I9" s="140">
        <f t="shared" ref="I9" si="1">I10+I11</f>
        <v>199954608.04000002</v>
      </c>
      <c r="J9" s="141">
        <f t="shared" ref="J9:J32" si="2">I9/D9*100</f>
        <v>72.41609476860441</v>
      </c>
      <c r="K9" s="142">
        <f>K10+K11</f>
        <v>12854262.399999999</v>
      </c>
      <c r="L9" s="141">
        <f t="shared" ref="L9:L18" si="3">K9/G9*100</f>
        <v>31.731706615034618</v>
      </c>
      <c r="M9" s="21">
        <f>+K9-G9*0.5</f>
        <v>-7400340.6000000015</v>
      </c>
      <c r="N9" s="143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</row>
    <row r="10" spans="1:58" s="212" customFormat="1" ht="15.75" customHeight="1" thickTop="1" x14ac:dyDescent="0.2">
      <c r="A10" s="649"/>
      <c r="B10" s="207" t="s">
        <v>190</v>
      </c>
      <c r="C10" s="208"/>
      <c r="D10" s="31">
        <f t="shared" ref="D10:H10" si="4">D74+D190+D220</f>
        <v>43854294.109999999</v>
      </c>
      <c r="E10" s="650">
        <f t="shared" si="4"/>
        <v>16291447</v>
      </c>
      <c r="F10" s="29">
        <f t="shared" si="4"/>
        <v>6429036.1100000003</v>
      </c>
      <c r="G10" s="29">
        <f t="shared" si="4"/>
        <v>9389851</v>
      </c>
      <c r="H10" s="651">
        <f t="shared" si="4"/>
        <v>11743960</v>
      </c>
      <c r="I10" s="556">
        <f t="shared" ref="I10" si="5">I74+I190+I220</f>
        <v>25820092.109999999</v>
      </c>
      <c r="J10" s="652">
        <f t="shared" si="2"/>
        <v>58.87699855625381</v>
      </c>
      <c r="K10" s="653">
        <f>K74+K190+K220</f>
        <v>3099609</v>
      </c>
      <c r="L10" s="652">
        <f t="shared" si="3"/>
        <v>33.010204315276141</v>
      </c>
      <c r="M10" s="29">
        <f t="shared" ref="M10:M72" si="6">+K10-G10*0.5</f>
        <v>-1595316.5</v>
      </c>
      <c r="N10" s="39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</row>
    <row r="11" spans="1:58" s="212" customFormat="1" ht="17.25" customHeight="1" thickBot="1" x14ac:dyDescent="0.25">
      <c r="A11" s="649"/>
      <c r="B11" s="654" t="s">
        <v>191</v>
      </c>
      <c r="C11" s="655"/>
      <c r="D11" s="98">
        <f t="shared" ref="D11:H11" si="7">D34+D48+D61+D92+D108+D119+D130+D205</f>
        <v>232264721.53</v>
      </c>
      <c r="E11" s="656">
        <f t="shared" si="7"/>
        <v>111017433</v>
      </c>
      <c r="F11" s="96">
        <f t="shared" si="7"/>
        <v>53362429.530000001</v>
      </c>
      <c r="G11" s="96">
        <f t="shared" si="7"/>
        <v>31119355</v>
      </c>
      <c r="H11" s="657">
        <f t="shared" si="7"/>
        <v>36765504</v>
      </c>
      <c r="I11" s="658">
        <f t="shared" ref="I11" si="8">I34+I48+I61+I92+I108+I119+I130+I205</f>
        <v>174134515.93000001</v>
      </c>
      <c r="J11" s="157">
        <f t="shared" si="2"/>
        <v>74.972434376999558</v>
      </c>
      <c r="K11" s="659">
        <f>K34+K48+K61+K92+K108+K119+K130+K205</f>
        <v>9754653.3999999985</v>
      </c>
      <c r="L11" s="157">
        <f t="shared" si="3"/>
        <v>31.345936957883602</v>
      </c>
      <c r="M11" s="96">
        <f t="shared" si="6"/>
        <v>-5805024.1000000015</v>
      </c>
      <c r="N11" s="39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</row>
    <row r="12" spans="1:58" s="662" customFormat="1" ht="16.5" customHeight="1" x14ac:dyDescent="0.2">
      <c r="A12" s="3559"/>
      <c r="B12" s="217" t="s">
        <v>3</v>
      </c>
      <c r="C12" s="1169"/>
      <c r="D12" s="1501">
        <f>+D13+D18</f>
        <v>276119015.64000005</v>
      </c>
      <c r="E12" s="441">
        <f t="shared" ref="E12:G12" si="9">+E13+E18</f>
        <v>127308880</v>
      </c>
      <c r="F12" s="441">
        <f t="shared" si="9"/>
        <v>59791465.639999993</v>
      </c>
      <c r="G12" s="441">
        <f t="shared" si="9"/>
        <v>40509206</v>
      </c>
      <c r="H12" s="437">
        <f>+H13+H18</f>
        <v>48509464</v>
      </c>
      <c r="I12" s="1501">
        <f>+I13+I18</f>
        <v>199954608.04000002</v>
      </c>
      <c r="J12" s="887">
        <f t="shared" si="2"/>
        <v>72.416094768604395</v>
      </c>
      <c r="K12" s="1502">
        <f>+K13+K18</f>
        <v>12854262.4</v>
      </c>
      <c r="L12" s="887">
        <f t="shared" si="3"/>
        <v>31.731706615034618</v>
      </c>
      <c r="M12" s="439">
        <f t="shared" si="6"/>
        <v>-7400340.5999999996</v>
      </c>
      <c r="N12" s="3560"/>
      <c r="O12" s="661"/>
      <c r="P12" s="661"/>
      <c r="Q12" s="661"/>
      <c r="R12" s="661"/>
      <c r="S12" s="661"/>
      <c r="T12" s="661"/>
      <c r="U12" s="661"/>
      <c r="V12" s="661"/>
      <c r="W12" s="661"/>
      <c r="X12" s="661"/>
      <c r="Y12" s="661"/>
      <c r="Z12" s="661"/>
      <c r="AA12" s="661"/>
      <c r="AB12" s="661"/>
      <c r="AC12" s="661"/>
      <c r="AD12" s="661"/>
      <c r="AE12" s="661"/>
      <c r="AF12" s="661"/>
      <c r="AG12" s="661"/>
      <c r="AH12" s="661"/>
      <c r="AI12" s="661"/>
      <c r="AJ12" s="661"/>
      <c r="AK12" s="661"/>
      <c r="AL12" s="661"/>
      <c r="AM12" s="661"/>
      <c r="AN12" s="661"/>
      <c r="AO12" s="661"/>
      <c r="AP12" s="661"/>
      <c r="AQ12" s="661"/>
      <c r="AR12" s="661"/>
      <c r="AS12" s="661"/>
      <c r="AT12" s="661"/>
      <c r="AU12" s="661"/>
      <c r="AV12" s="661"/>
      <c r="AW12" s="661"/>
      <c r="AX12" s="661"/>
      <c r="AY12" s="661"/>
      <c r="AZ12" s="661"/>
      <c r="BA12" s="661"/>
      <c r="BB12" s="661"/>
      <c r="BC12" s="661"/>
      <c r="BD12" s="661"/>
      <c r="BE12" s="661"/>
      <c r="BF12" s="661"/>
    </row>
    <row r="13" spans="1:58" s="669" customFormat="1" ht="16.5" customHeight="1" x14ac:dyDescent="0.2">
      <c r="A13" s="3379"/>
      <c r="B13" s="663" t="s">
        <v>4</v>
      </c>
      <c r="C13" s="3561"/>
      <c r="D13" s="664">
        <f t="shared" ref="D13" si="10">SUM(D14:D17)</f>
        <v>110856154.26000001</v>
      </c>
      <c r="E13" s="665">
        <f>SUM(E14:E17)</f>
        <v>50153230</v>
      </c>
      <c r="F13" s="665">
        <f t="shared" ref="F13:H13" si="11">SUM(F14:F17)</f>
        <v>25572687.259999998</v>
      </c>
      <c r="G13" s="665">
        <f t="shared" si="11"/>
        <v>18017962</v>
      </c>
      <c r="H13" s="1187">
        <f t="shared" si="11"/>
        <v>17112275</v>
      </c>
      <c r="I13" s="664">
        <f t="shared" ref="I13" si="12">SUM(I14:I17)</f>
        <v>80520229.329999998</v>
      </c>
      <c r="J13" s="667">
        <f t="shared" si="2"/>
        <v>72.634875228622235</v>
      </c>
      <c r="K13" s="668">
        <f>SUM(K14:K17)</f>
        <v>4794312.07</v>
      </c>
      <c r="L13" s="667">
        <f t="shared" si="3"/>
        <v>26.608514714372252</v>
      </c>
      <c r="M13" s="666">
        <f t="shared" si="6"/>
        <v>-4214668.93</v>
      </c>
      <c r="N13" s="3037"/>
    </row>
    <row r="14" spans="1:58" s="196" customFormat="1" ht="16.5" customHeight="1" x14ac:dyDescent="0.2">
      <c r="A14" s="3379"/>
      <c r="B14" s="230" t="s">
        <v>5</v>
      </c>
      <c r="C14" s="3221"/>
      <c r="D14" s="401">
        <f t="shared" ref="D14:H14" si="13">D76+D94+D192+D207+D222</f>
        <v>2642187.1100000003</v>
      </c>
      <c r="E14" s="402">
        <f t="shared" si="13"/>
        <v>1680528</v>
      </c>
      <c r="F14" s="402">
        <f t="shared" si="13"/>
        <v>80153.11</v>
      </c>
      <c r="G14" s="402">
        <f t="shared" si="13"/>
        <v>389971</v>
      </c>
      <c r="H14" s="826">
        <f t="shared" si="13"/>
        <v>491535</v>
      </c>
      <c r="I14" s="401">
        <f t="shared" ref="I14" si="14">I76+I94+I192+I207+I222</f>
        <v>1792463.11</v>
      </c>
      <c r="J14" s="672">
        <f t="shared" si="2"/>
        <v>67.840127719039543</v>
      </c>
      <c r="K14" s="402">
        <f>K76+K94+K192+K207+K222</f>
        <v>31782</v>
      </c>
      <c r="L14" s="672">
        <f t="shared" si="3"/>
        <v>8.1498367827351252</v>
      </c>
      <c r="M14" s="403">
        <f t="shared" si="6"/>
        <v>-163203.5</v>
      </c>
      <c r="N14" s="3037"/>
    </row>
    <row r="15" spans="1:58" s="196" customFormat="1" ht="16.5" customHeight="1" outlineLevel="1" x14ac:dyDescent="0.2">
      <c r="A15" s="3379"/>
      <c r="B15" s="230" t="s">
        <v>8</v>
      </c>
      <c r="C15" s="3221"/>
      <c r="D15" s="401">
        <f>+D37+D51+D64+D77+D95</f>
        <v>33191120.399999999</v>
      </c>
      <c r="E15" s="402">
        <f t="shared" ref="E15:H15" si="15">+E37+E51+E64+E77+E95</f>
        <v>19455223</v>
      </c>
      <c r="F15" s="402">
        <f t="shared" si="15"/>
        <v>8945946.4000000004</v>
      </c>
      <c r="G15" s="402">
        <f t="shared" si="15"/>
        <v>4139951</v>
      </c>
      <c r="H15" s="826">
        <f t="shared" si="15"/>
        <v>650000</v>
      </c>
      <c r="I15" s="401">
        <f>+I37+I51+I64+I77+I95</f>
        <v>29389624.66</v>
      </c>
      <c r="J15" s="672">
        <f t="shared" si="2"/>
        <v>88.54664833790909</v>
      </c>
      <c r="K15" s="402">
        <f>+K37+K51+K64+K77+K95</f>
        <v>988455.26</v>
      </c>
      <c r="L15" s="672">
        <f t="shared" si="3"/>
        <v>23.876013508372441</v>
      </c>
      <c r="M15" s="403">
        <f t="shared" si="6"/>
        <v>-1081520.24</v>
      </c>
      <c r="N15" s="3037"/>
    </row>
    <row r="16" spans="1:58" s="196" customFormat="1" ht="16.5" customHeight="1" outlineLevel="1" x14ac:dyDescent="0.2">
      <c r="A16" s="3379"/>
      <c r="B16" s="230" t="s">
        <v>9</v>
      </c>
      <c r="C16" s="3221"/>
      <c r="D16" s="401">
        <f t="shared" ref="D16:H16" si="16">+D132+D147+D193+D208+D78+D96</f>
        <v>58470602.890000001</v>
      </c>
      <c r="E16" s="402">
        <f t="shared" si="16"/>
        <v>29017479</v>
      </c>
      <c r="F16" s="402">
        <f t="shared" si="16"/>
        <v>12744810.890000001</v>
      </c>
      <c r="G16" s="402">
        <f t="shared" si="16"/>
        <v>8452000</v>
      </c>
      <c r="H16" s="826">
        <f t="shared" si="16"/>
        <v>8256313</v>
      </c>
      <c r="I16" s="401">
        <f t="shared" ref="I16:K16" si="17">+I132+I147+I193+I208+I78+I96</f>
        <v>45385702.700000003</v>
      </c>
      <c r="J16" s="672">
        <f t="shared" si="2"/>
        <v>77.62140367422505</v>
      </c>
      <c r="K16" s="402">
        <f t="shared" si="17"/>
        <v>3623412.81</v>
      </c>
      <c r="L16" s="672">
        <f t="shared" si="3"/>
        <v>42.870478111689543</v>
      </c>
      <c r="M16" s="403">
        <f t="shared" si="6"/>
        <v>-602587.18999999994</v>
      </c>
      <c r="N16" s="3037"/>
    </row>
    <row r="17" spans="1:14" s="196" customFormat="1" ht="16.5" customHeight="1" outlineLevel="1" x14ac:dyDescent="0.2">
      <c r="A17" s="3379"/>
      <c r="B17" s="230" t="s">
        <v>30</v>
      </c>
      <c r="C17" s="3221"/>
      <c r="D17" s="401">
        <f t="shared" ref="D17:H17" si="18">+D110+D121</f>
        <v>16552243.859999999</v>
      </c>
      <c r="E17" s="402">
        <f t="shared" si="18"/>
        <v>0</v>
      </c>
      <c r="F17" s="402">
        <f t="shared" si="18"/>
        <v>3801776.86</v>
      </c>
      <c r="G17" s="402">
        <f t="shared" si="18"/>
        <v>5036040</v>
      </c>
      <c r="H17" s="826">
        <f t="shared" si="18"/>
        <v>7714427</v>
      </c>
      <c r="I17" s="401">
        <f t="shared" ref="I17" si="19">+I110+I121</f>
        <v>3952438.86</v>
      </c>
      <c r="J17" s="672">
        <f t="shared" si="2"/>
        <v>23.878568328439307</v>
      </c>
      <c r="K17" s="402">
        <f>+K110+K121</f>
        <v>150662</v>
      </c>
      <c r="L17" s="672">
        <f t="shared" si="3"/>
        <v>2.9916759993963509</v>
      </c>
      <c r="M17" s="403">
        <f t="shared" si="6"/>
        <v>-2367358</v>
      </c>
      <c r="N17" s="3037"/>
    </row>
    <row r="18" spans="1:14" s="132" customFormat="1" ht="16.5" customHeight="1" outlineLevel="1" x14ac:dyDescent="0.2">
      <c r="A18" s="3379"/>
      <c r="B18" s="673" t="s">
        <v>13</v>
      </c>
      <c r="C18" s="3221"/>
      <c r="D18" s="674">
        <f t="shared" ref="D18" si="20">+D20+D21+D22+D19</f>
        <v>165262861.38000003</v>
      </c>
      <c r="E18" s="675">
        <f>+E20+E21+E22+E19</f>
        <v>77155650</v>
      </c>
      <c r="F18" s="675">
        <f t="shared" ref="F18:H18" si="21">+F20+F21+F22+F19</f>
        <v>34218778.379999995</v>
      </c>
      <c r="G18" s="675">
        <f t="shared" si="21"/>
        <v>22491244</v>
      </c>
      <c r="H18" s="1188">
        <f t="shared" si="21"/>
        <v>31397189</v>
      </c>
      <c r="I18" s="674">
        <f t="shared" ref="I18:K18" si="22">+I20+I21+I22+I19</f>
        <v>119434378.71000001</v>
      </c>
      <c r="J18" s="224">
        <f t="shared" si="2"/>
        <v>72.269339712917414</v>
      </c>
      <c r="K18" s="676">
        <f t="shared" si="22"/>
        <v>8059950.3300000001</v>
      </c>
      <c r="L18" s="224">
        <f t="shared" si="3"/>
        <v>35.835947224617719</v>
      </c>
      <c r="M18" s="1208">
        <f t="shared" si="6"/>
        <v>-3185671.67</v>
      </c>
      <c r="N18" s="3037"/>
    </row>
    <row r="19" spans="1:14" s="132" customFormat="1" ht="16.5" customHeight="1" outlineLevel="1" x14ac:dyDescent="0.2">
      <c r="A19" s="3379"/>
      <c r="B19" s="230" t="s">
        <v>5</v>
      </c>
      <c r="C19" s="3221"/>
      <c r="D19" s="401">
        <f t="shared" ref="D19:H19" si="23">D195+D210</f>
        <v>4156816</v>
      </c>
      <c r="E19" s="402">
        <f t="shared" si="23"/>
        <v>4156816</v>
      </c>
      <c r="F19" s="402">
        <f t="shared" si="23"/>
        <v>0</v>
      </c>
      <c r="G19" s="677">
        <f t="shared" si="23"/>
        <v>0</v>
      </c>
      <c r="H19" s="1189">
        <f t="shared" si="23"/>
        <v>0</v>
      </c>
      <c r="I19" s="401">
        <f t="shared" ref="I19" si="24">I195+I210</f>
        <v>4156816</v>
      </c>
      <c r="J19" s="672">
        <f t="shared" si="2"/>
        <v>100</v>
      </c>
      <c r="K19" s="402"/>
      <c r="L19" s="672">
        <v>0</v>
      </c>
      <c r="M19" s="678">
        <f t="shared" si="6"/>
        <v>0</v>
      </c>
      <c r="N19" s="3037"/>
    </row>
    <row r="20" spans="1:14" s="196" customFormat="1" ht="16.5" customHeight="1" outlineLevel="1" x14ac:dyDescent="0.2">
      <c r="A20" s="3379"/>
      <c r="B20" s="230" t="s">
        <v>15</v>
      </c>
      <c r="C20" s="3221"/>
      <c r="D20" s="401">
        <f t="shared" ref="D20:H20" si="25">+D39+D53+D66+D134+D80+D98+D224</f>
        <v>95487130.420000002</v>
      </c>
      <c r="E20" s="402">
        <f t="shared" si="25"/>
        <v>41084590</v>
      </c>
      <c r="F20" s="402">
        <f t="shared" si="25"/>
        <v>28277249.419999998</v>
      </c>
      <c r="G20" s="402">
        <f t="shared" si="25"/>
        <v>15560443</v>
      </c>
      <c r="H20" s="826">
        <f t="shared" si="25"/>
        <v>10564848</v>
      </c>
      <c r="I20" s="401">
        <f>+I39+I53+I66+I134+I80+I98+I224</f>
        <v>75424507.770000011</v>
      </c>
      <c r="J20" s="672">
        <f t="shared" si="2"/>
        <v>78.989186750345752</v>
      </c>
      <c r="K20" s="402">
        <f>+K39+K53+K66+K134+K80+K98+K224</f>
        <v>6062668.3499999996</v>
      </c>
      <c r="L20" s="672">
        <f t="shared" ref="L20:L27" si="26">K20/G20*100</f>
        <v>38.962054936353674</v>
      </c>
      <c r="M20" s="403">
        <f t="shared" si="6"/>
        <v>-1717553.1500000004</v>
      </c>
      <c r="N20" s="3037"/>
    </row>
    <row r="21" spans="1:14" s="196" customFormat="1" ht="16.5" customHeight="1" outlineLevel="1" x14ac:dyDescent="0.2">
      <c r="A21" s="3379"/>
      <c r="B21" s="230" t="s">
        <v>9</v>
      </c>
      <c r="C21" s="3221"/>
      <c r="D21" s="401">
        <f t="shared" ref="D21:H21" si="27">+D135+D149+D196+D211+D81+D99</f>
        <v>47227515</v>
      </c>
      <c r="E21" s="402">
        <f t="shared" si="27"/>
        <v>31284995</v>
      </c>
      <c r="F21" s="402">
        <f t="shared" si="27"/>
        <v>3753212</v>
      </c>
      <c r="G21" s="402">
        <f t="shared" si="27"/>
        <v>5700000</v>
      </c>
      <c r="H21" s="826">
        <f t="shared" si="27"/>
        <v>6489308</v>
      </c>
      <c r="I21" s="401">
        <f>+I135+I149+I196+I211+I81+I99</f>
        <v>36852567</v>
      </c>
      <c r="J21" s="672">
        <f t="shared" si="2"/>
        <v>78.031984109263419</v>
      </c>
      <c r="K21" s="402">
        <f>+K135+K149+K196+K211+K81+K99</f>
        <v>1814360</v>
      </c>
      <c r="L21" s="672">
        <f t="shared" si="26"/>
        <v>31.830877192982456</v>
      </c>
      <c r="M21" s="403">
        <f t="shared" si="6"/>
        <v>-1035640</v>
      </c>
      <c r="N21" s="3037"/>
    </row>
    <row r="22" spans="1:14" s="196" customFormat="1" ht="16.5" customHeight="1" outlineLevel="1" x14ac:dyDescent="0.2">
      <c r="A22" s="3379"/>
      <c r="B22" s="230" t="s">
        <v>14</v>
      </c>
      <c r="C22" s="3562"/>
      <c r="D22" s="401">
        <f t="shared" ref="D22:H22" si="28">+D112+D123</f>
        <v>18391399.960000001</v>
      </c>
      <c r="E22" s="402">
        <f t="shared" si="28"/>
        <v>629249</v>
      </c>
      <c r="F22" s="402">
        <f t="shared" si="28"/>
        <v>2188316.96</v>
      </c>
      <c r="G22" s="402">
        <f t="shared" si="28"/>
        <v>1230801</v>
      </c>
      <c r="H22" s="826">
        <f t="shared" si="28"/>
        <v>14343033</v>
      </c>
      <c r="I22" s="401">
        <f t="shared" ref="I22" si="29">+I112+I123</f>
        <v>3000487.9400000004</v>
      </c>
      <c r="J22" s="672">
        <f t="shared" si="2"/>
        <v>16.314625023249182</v>
      </c>
      <c r="K22" s="402">
        <f>+K112+K123</f>
        <v>182921.97999999998</v>
      </c>
      <c r="L22" s="672">
        <f t="shared" si="26"/>
        <v>14.862027248921637</v>
      </c>
      <c r="M22" s="403">
        <f t="shared" si="6"/>
        <v>-432478.52</v>
      </c>
      <c r="N22" s="3037"/>
    </row>
    <row r="23" spans="1:14" s="132" customFormat="1" ht="16.5" customHeight="1" outlineLevel="1" x14ac:dyDescent="0.2">
      <c r="A23" s="3379"/>
      <c r="B23" s="236" t="s">
        <v>17</v>
      </c>
      <c r="C23" s="237"/>
      <c r="D23" s="1495">
        <f t="shared" ref="D23" si="30">+D24+D29</f>
        <v>274851190.71000004</v>
      </c>
      <c r="E23" s="1496">
        <f>+E24+E29</f>
        <v>132414005</v>
      </c>
      <c r="F23" s="1496">
        <f>+F24+F29</f>
        <v>59429398.710000001</v>
      </c>
      <c r="G23" s="1496">
        <f>+G24+G29</f>
        <v>38888683</v>
      </c>
      <c r="H23" s="1497">
        <f>+H24+H29</f>
        <v>44119104</v>
      </c>
      <c r="I23" s="1495">
        <f>+I24+I29</f>
        <v>205886777.70999998</v>
      </c>
      <c r="J23" s="1498">
        <f t="shared" si="2"/>
        <v>74.908453981279806</v>
      </c>
      <c r="K23" s="1499">
        <f>+K24+K29</f>
        <v>14043374</v>
      </c>
      <c r="L23" s="1498">
        <f t="shared" si="26"/>
        <v>36.111724328643376</v>
      </c>
      <c r="M23" s="1500">
        <f t="shared" si="6"/>
        <v>-5400967.5</v>
      </c>
      <c r="N23" s="3037"/>
    </row>
    <row r="24" spans="1:14" s="132" customFormat="1" ht="16.5" customHeight="1" outlineLevel="1" x14ac:dyDescent="0.2">
      <c r="A24" s="3379"/>
      <c r="B24" s="679" t="s">
        <v>4</v>
      </c>
      <c r="C24" s="3561"/>
      <c r="D24" s="674">
        <f t="shared" ref="D24:H24" si="31">SUM(D25:D28)</f>
        <v>109535307.28999999</v>
      </c>
      <c r="E24" s="680">
        <f t="shared" si="31"/>
        <v>50420500</v>
      </c>
      <c r="F24" s="680">
        <f t="shared" si="31"/>
        <v>24866076.289999999</v>
      </c>
      <c r="G24" s="680">
        <f t="shared" si="31"/>
        <v>17627991</v>
      </c>
      <c r="H24" s="1190">
        <f t="shared" si="31"/>
        <v>16620740</v>
      </c>
      <c r="I24" s="674">
        <f t="shared" ref="I24" si="32">SUM(I25:I28)</f>
        <v>80630625.289999992</v>
      </c>
      <c r="J24" s="682">
        <f t="shared" si="2"/>
        <v>73.61153885890559</v>
      </c>
      <c r="K24" s="683">
        <f>SUM(K25:K28)</f>
        <v>5344049</v>
      </c>
      <c r="L24" s="682">
        <f t="shared" si="26"/>
        <v>30.315700751151958</v>
      </c>
      <c r="M24" s="681">
        <f t="shared" si="6"/>
        <v>-3469946.5</v>
      </c>
      <c r="N24" s="3037"/>
    </row>
    <row r="25" spans="1:14" s="196" customFormat="1" ht="16.5" customHeight="1" outlineLevel="1" x14ac:dyDescent="0.2">
      <c r="A25" s="3379"/>
      <c r="B25" s="230" t="s">
        <v>8</v>
      </c>
      <c r="C25" s="3221"/>
      <c r="D25" s="401">
        <f t="shared" ref="D25:H25" si="33">+D42+D56+D69+D84+D102</f>
        <v>33191120.399999999</v>
      </c>
      <c r="E25" s="402">
        <f t="shared" si="33"/>
        <v>20379355</v>
      </c>
      <c r="F25" s="402">
        <f t="shared" si="33"/>
        <v>8021814.4000000004</v>
      </c>
      <c r="G25" s="402">
        <f t="shared" si="33"/>
        <v>4139951</v>
      </c>
      <c r="H25" s="826">
        <f t="shared" si="33"/>
        <v>650000</v>
      </c>
      <c r="I25" s="401">
        <f t="shared" ref="I25" si="34">+I42+I56+I69+I84+I102</f>
        <v>29399940.399999999</v>
      </c>
      <c r="J25" s="672">
        <f t="shared" si="2"/>
        <v>88.577728156474052</v>
      </c>
      <c r="K25" s="402">
        <f>+K42+K56+K69+K84+K102</f>
        <v>998771</v>
      </c>
      <c r="L25" s="672">
        <f t="shared" si="26"/>
        <v>24.125188921318149</v>
      </c>
      <c r="M25" s="403">
        <f t="shared" si="6"/>
        <v>-1071204.5</v>
      </c>
      <c r="N25" s="3037"/>
    </row>
    <row r="26" spans="1:14" s="196" customFormat="1" ht="16.5" customHeight="1" outlineLevel="1" x14ac:dyDescent="0.2">
      <c r="A26" s="3379"/>
      <c r="B26" s="230" t="s">
        <v>9</v>
      </c>
      <c r="C26" s="3221"/>
      <c r="D26" s="401">
        <f t="shared" ref="D26" si="35">+D138+D152+D85+D103+D199+D214</f>
        <v>58470602.890000001</v>
      </c>
      <c r="E26" s="402">
        <f>+E138+E152+E85+E103+E199+E214</f>
        <v>29017479</v>
      </c>
      <c r="F26" s="402">
        <f t="shared" ref="F26:H26" si="36">+F138+F152+F85+F103+F199+F214</f>
        <v>12744810.890000001</v>
      </c>
      <c r="G26" s="402">
        <f t="shared" si="36"/>
        <v>8452000</v>
      </c>
      <c r="H26" s="826">
        <f t="shared" si="36"/>
        <v>8256313</v>
      </c>
      <c r="I26" s="401">
        <f t="shared" ref="I26:K26" si="37">+I138+I152+I85+I103+I199+I214</f>
        <v>45580912.890000001</v>
      </c>
      <c r="J26" s="672">
        <f t="shared" si="2"/>
        <v>77.955264076463848</v>
      </c>
      <c r="K26" s="402">
        <f t="shared" si="37"/>
        <v>3818623</v>
      </c>
      <c r="L26" s="672">
        <f t="shared" si="26"/>
        <v>45.180111216280174</v>
      </c>
      <c r="M26" s="403">
        <f t="shared" si="6"/>
        <v>-407377</v>
      </c>
      <c r="N26" s="3037"/>
    </row>
    <row r="27" spans="1:14" s="196" customFormat="1" ht="16.5" customHeight="1" outlineLevel="1" x14ac:dyDescent="0.2">
      <c r="A27" s="3379"/>
      <c r="B27" s="230" t="s">
        <v>30</v>
      </c>
      <c r="C27" s="3221"/>
      <c r="D27" s="401">
        <f t="shared" ref="D27:H27" si="38">+D115+D126</f>
        <v>16552244</v>
      </c>
      <c r="E27" s="402">
        <f t="shared" si="38"/>
        <v>0</v>
      </c>
      <c r="F27" s="402">
        <f t="shared" si="38"/>
        <v>3801777</v>
      </c>
      <c r="G27" s="402">
        <f t="shared" si="38"/>
        <v>5036040</v>
      </c>
      <c r="H27" s="826">
        <f t="shared" si="38"/>
        <v>7714427</v>
      </c>
      <c r="I27" s="401">
        <f>+I115+I126</f>
        <v>3952439</v>
      </c>
      <c r="J27" s="672">
        <f t="shared" si="2"/>
        <v>23.878568972279528</v>
      </c>
      <c r="K27" s="402">
        <f>+K115+K126</f>
        <v>150662</v>
      </c>
      <c r="L27" s="672">
        <f t="shared" si="26"/>
        <v>2.9916759993963509</v>
      </c>
      <c r="M27" s="403">
        <f t="shared" si="6"/>
        <v>-2367358</v>
      </c>
      <c r="N27" s="3037"/>
    </row>
    <row r="28" spans="1:14" s="196" customFormat="1" ht="16.5" customHeight="1" outlineLevel="1" x14ac:dyDescent="0.2">
      <c r="A28" s="3379"/>
      <c r="B28" s="230" t="s">
        <v>192</v>
      </c>
      <c r="C28" s="3221"/>
      <c r="D28" s="401">
        <f>D200+D86</f>
        <v>1321340</v>
      </c>
      <c r="E28" s="402">
        <f t="shared" ref="E28:K28" si="39">E200+E86</f>
        <v>1023666</v>
      </c>
      <c r="F28" s="402">
        <f t="shared" si="39"/>
        <v>297674</v>
      </c>
      <c r="G28" s="402">
        <f t="shared" si="39"/>
        <v>0</v>
      </c>
      <c r="H28" s="826">
        <f t="shared" si="39"/>
        <v>0</v>
      </c>
      <c r="I28" s="401">
        <f t="shared" si="39"/>
        <v>1697333</v>
      </c>
      <c r="J28" s="672">
        <f t="shared" si="2"/>
        <v>128.45543160730773</v>
      </c>
      <c r="K28" s="402">
        <f t="shared" si="39"/>
        <v>375993</v>
      </c>
      <c r="L28" s="677">
        <v>0</v>
      </c>
      <c r="M28" s="403">
        <f t="shared" si="6"/>
        <v>375993</v>
      </c>
      <c r="N28" s="3037"/>
    </row>
    <row r="29" spans="1:14" s="132" customFormat="1" ht="16.5" customHeight="1" outlineLevel="1" x14ac:dyDescent="0.2">
      <c r="A29" s="3379"/>
      <c r="B29" s="673" t="s">
        <v>13</v>
      </c>
      <c r="C29" s="3221"/>
      <c r="D29" s="240">
        <f t="shared" ref="D29:H29" si="40">+D30+D31+D32</f>
        <v>165315883.42000002</v>
      </c>
      <c r="E29" s="241">
        <f t="shared" si="40"/>
        <v>81993505</v>
      </c>
      <c r="F29" s="241">
        <f t="shared" si="40"/>
        <v>34563322.420000002</v>
      </c>
      <c r="G29" s="241">
        <f t="shared" si="40"/>
        <v>21260692</v>
      </c>
      <c r="H29" s="1191">
        <f t="shared" si="40"/>
        <v>27498364</v>
      </c>
      <c r="I29" s="240">
        <f t="shared" ref="I29:K29" si="41">+I30+I31+I32</f>
        <v>125256152.42</v>
      </c>
      <c r="J29" s="684">
        <f t="shared" si="2"/>
        <v>75.767766429179332</v>
      </c>
      <c r="K29" s="223">
        <f t="shared" si="41"/>
        <v>8699325</v>
      </c>
      <c r="L29" s="684">
        <f>K29/G29*100</f>
        <v>40.917412283664149</v>
      </c>
      <c r="M29" s="242">
        <f t="shared" si="6"/>
        <v>-1931021</v>
      </c>
      <c r="N29" s="3037"/>
    </row>
    <row r="30" spans="1:14" s="196" customFormat="1" ht="16.5" customHeight="1" outlineLevel="1" x14ac:dyDescent="0.2">
      <c r="A30" s="3379"/>
      <c r="B30" s="230" t="s">
        <v>15</v>
      </c>
      <c r="C30" s="3221"/>
      <c r="D30" s="401">
        <f t="shared" ref="D30:H30" si="42">+D45+D59+D72+D141+D105+D227+D88</f>
        <v>95487130.420000002</v>
      </c>
      <c r="E30" s="402">
        <f t="shared" si="42"/>
        <v>43847683</v>
      </c>
      <c r="F30" s="402">
        <f t="shared" si="42"/>
        <v>25511732.419999998</v>
      </c>
      <c r="G30" s="402">
        <f t="shared" si="42"/>
        <v>15560692</v>
      </c>
      <c r="H30" s="826">
        <f t="shared" si="42"/>
        <v>10567023</v>
      </c>
      <c r="I30" s="401">
        <f t="shared" ref="I30" si="43">+I45+I59+I72+I141+I105+I227+I88</f>
        <v>75533409.420000002</v>
      </c>
      <c r="J30" s="672">
        <f t="shared" si="2"/>
        <v>79.10323526088429</v>
      </c>
      <c r="K30" s="402">
        <f>+K45+K59+K72+K141+K105+K227+K88</f>
        <v>6173994</v>
      </c>
      <c r="L30" s="672">
        <f>K30/G30*100</f>
        <v>39.676860129356719</v>
      </c>
      <c r="M30" s="403">
        <f t="shared" si="6"/>
        <v>-1606352</v>
      </c>
      <c r="N30" s="3037"/>
    </row>
    <row r="31" spans="1:14" s="196" customFormat="1" ht="16.5" customHeight="1" outlineLevel="1" x14ac:dyDescent="0.2">
      <c r="A31" s="3379"/>
      <c r="B31" s="230" t="s">
        <v>9</v>
      </c>
      <c r="C31" s="3221"/>
      <c r="D31" s="401">
        <f t="shared" ref="D31:H31" si="44">+D142+D155+D106+D89+D202+D217</f>
        <v>47227515</v>
      </c>
      <c r="E31" s="402">
        <f t="shared" si="44"/>
        <v>31284995</v>
      </c>
      <c r="F31" s="402">
        <f t="shared" si="44"/>
        <v>3753212</v>
      </c>
      <c r="G31" s="402">
        <f t="shared" si="44"/>
        <v>5700000</v>
      </c>
      <c r="H31" s="826">
        <f t="shared" si="44"/>
        <v>6489308</v>
      </c>
      <c r="I31" s="401">
        <f t="shared" ref="I31:K31" si="45">+I142+I155+I106+I89+I202+I217</f>
        <v>37438207</v>
      </c>
      <c r="J31" s="672">
        <f t="shared" si="2"/>
        <v>79.272023946210169</v>
      </c>
      <c r="K31" s="402">
        <f t="shared" si="45"/>
        <v>2400000</v>
      </c>
      <c r="L31" s="672">
        <f>K31/G31*100</f>
        <v>42.105263157894733</v>
      </c>
      <c r="M31" s="403">
        <f t="shared" si="6"/>
        <v>-450000</v>
      </c>
      <c r="N31" s="3037"/>
    </row>
    <row r="32" spans="1:14" s="196" customFormat="1" ht="16.5" customHeight="1" outlineLevel="1" thickBot="1" x14ac:dyDescent="0.25">
      <c r="A32" s="3380"/>
      <c r="B32" s="230" t="s">
        <v>14</v>
      </c>
      <c r="C32" s="3222"/>
      <c r="D32" s="685">
        <f>D117+D128+D203+D90</f>
        <v>22601238</v>
      </c>
      <c r="E32" s="686">
        <f t="shared" ref="E32:H32" si="46">E117+E128+E203+E90</f>
        <v>6860827</v>
      </c>
      <c r="F32" s="686">
        <f t="shared" si="46"/>
        <v>5298378</v>
      </c>
      <c r="G32" s="686">
        <f t="shared" si="46"/>
        <v>0</v>
      </c>
      <c r="H32" s="1192">
        <f t="shared" si="46"/>
        <v>10442033</v>
      </c>
      <c r="I32" s="685">
        <f t="shared" ref="I32" si="47">I117+I128+I203+I90</f>
        <v>12284536</v>
      </c>
      <c r="J32" s="672">
        <f t="shared" si="2"/>
        <v>54.353376571672754</v>
      </c>
      <c r="K32" s="686">
        <f t="shared" ref="K32" si="48">K117+K128+K203+K90</f>
        <v>125331</v>
      </c>
      <c r="L32" s="677">
        <v>0</v>
      </c>
      <c r="M32" s="1209">
        <f t="shared" si="6"/>
        <v>125331</v>
      </c>
      <c r="N32" s="3038"/>
    </row>
    <row r="33" spans="1:14" s="689" customFormat="1" ht="39.75" customHeight="1" thickBot="1" x14ac:dyDescent="0.25">
      <c r="A33" s="3551" t="s">
        <v>33</v>
      </c>
      <c r="B33" s="1715" t="s">
        <v>360</v>
      </c>
      <c r="C33" s="1716" t="s">
        <v>193</v>
      </c>
      <c r="D33" s="1210"/>
      <c r="E33" s="688"/>
      <c r="F33" s="688"/>
      <c r="G33" s="688"/>
      <c r="H33" s="1717"/>
      <c r="I33" s="1718"/>
      <c r="J33" s="1719"/>
      <c r="K33" s="1720"/>
      <c r="L33" s="1719"/>
      <c r="M33" s="1717"/>
      <c r="N33" s="3130" t="s">
        <v>194</v>
      </c>
    </row>
    <row r="34" spans="1:14" s="690" customFormat="1" ht="14.25" customHeight="1" x14ac:dyDescent="0.2">
      <c r="A34" s="3552"/>
      <c r="B34" s="1721" t="s">
        <v>3</v>
      </c>
      <c r="C34" s="724"/>
      <c r="D34" s="302">
        <f t="shared" ref="D34:F34" si="49">+D35+D38</f>
        <v>27429825.699999999</v>
      </c>
      <c r="E34" s="304">
        <f t="shared" si="49"/>
        <v>14670244</v>
      </c>
      <c r="F34" s="304">
        <f t="shared" si="49"/>
        <v>8793735.6999999993</v>
      </c>
      <c r="G34" s="304">
        <f>+G35+G38</f>
        <v>3965846</v>
      </c>
      <c r="H34" s="306">
        <f t="shared" ref="H34" si="50">+H35+H38</f>
        <v>0</v>
      </c>
      <c r="I34" s="302">
        <f>I35+I38</f>
        <v>23463979.699999999</v>
      </c>
      <c r="J34" s="1181">
        <f t="shared" ref="J34:J46" si="51">I34/D34*100</f>
        <v>85.541847610063385</v>
      </c>
      <c r="K34" s="304">
        <f>+K35+K38</f>
        <v>0</v>
      </c>
      <c r="L34" s="1181">
        <f t="shared" ref="L34:L45" si="52">K34/G34*100</f>
        <v>0</v>
      </c>
      <c r="M34" s="1185">
        <f t="shared" si="6"/>
        <v>-1982923</v>
      </c>
      <c r="N34" s="3554"/>
    </row>
    <row r="35" spans="1:14" s="690" customFormat="1" ht="14.25" customHeight="1" thickBot="1" x14ac:dyDescent="0.25">
      <c r="A35" s="3552"/>
      <c r="B35" s="1722" t="s">
        <v>4</v>
      </c>
      <c r="C35" s="3122" t="s">
        <v>195</v>
      </c>
      <c r="D35" s="296">
        <f>+D36+D37</f>
        <v>13714912.699999999</v>
      </c>
      <c r="E35" s="297">
        <f>SUM(E36:E37)</f>
        <v>7335122</v>
      </c>
      <c r="F35" s="297">
        <f>SUM(F36:F37)</f>
        <v>4396867.7</v>
      </c>
      <c r="G35" s="297">
        <f>SUM(G36:G37)</f>
        <v>1982923</v>
      </c>
      <c r="H35" s="1723">
        <f>SUM(H36:H37)</f>
        <v>0</v>
      </c>
      <c r="I35" s="296">
        <f>I37</f>
        <v>11731989.699999999</v>
      </c>
      <c r="J35" s="1256">
        <f t="shared" si="51"/>
        <v>85.541847451934558</v>
      </c>
      <c r="K35" s="297">
        <f>SUM(K36:K37)</f>
        <v>0</v>
      </c>
      <c r="L35" s="1256">
        <f t="shared" si="52"/>
        <v>0</v>
      </c>
      <c r="M35" s="1423">
        <f t="shared" si="6"/>
        <v>-991461.5</v>
      </c>
      <c r="N35" s="3555"/>
    </row>
    <row r="36" spans="1:14" s="689" customFormat="1" ht="13.5" hidden="1" customHeight="1" x14ac:dyDescent="0.25">
      <c r="A36" s="3552"/>
      <c r="B36" s="1724" t="s">
        <v>5</v>
      </c>
      <c r="C36" s="3100"/>
      <c r="D36" s="1725">
        <f>+E36+F36+G36+H36</f>
        <v>0</v>
      </c>
      <c r="E36" s="1726">
        <v>0</v>
      </c>
      <c r="F36" s="1726">
        <v>0</v>
      </c>
      <c r="G36" s="1726"/>
      <c r="H36" s="1727"/>
      <c r="I36" s="1725"/>
      <c r="J36" s="1726" t="e">
        <f t="shared" si="51"/>
        <v>#DIV/0!</v>
      </c>
      <c r="K36" s="1726">
        <v>0</v>
      </c>
      <c r="L36" s="1726" t="e">
        <f t="shared" si="52"/>
        <v>#DIV/0!</v>
      </c>
      <c r="M36" s="1728">
        <f t="shared" si="6"/>
        <v>0</v>
      </c>
      <c r="N36" s="3132"/>
    </row>
    <row r="37" spans="1:14" s="873" customFormat="1" ht="15.75" customHeight="1" x14ac:dyDescent="0.2">
      <c r="A37" s="3552"/>
      <c r="B37" s="1729" t="s">
        <v>8</v>
      </c>
      <c r="C37" s="3100"/>
      <c r="D37" s="1730">
        <f>+E37+F37+G37+H37</f>
        <v>13714912.699999999</v>
      </c>
      <c r="E37" s="1702">
        <f>1318026+6017096</f>
        <v>7335122</v>
      </c>
      <c r="F37" s="1731">
        <f>4396868-0.3</f>
        <v>4396867.7</v>
      </c>
      <c r="G37" s="1702">
        <v>1982923</v>
      </c>
      <c r="H37" s="1732">
        <v>0</v>
      </c>
      <c r="I37" s="1730">
        <f>F37+K37+E37</f>
        <v>11731989.699999999</v>
      </c>
      <c r="J37" s="1291">
        <f t="shared" si="51"/>
        <v>85.541847451934558</v>
      </c>
      <c r="K37" s="1702">
        <v>0</v>
      </c>
      <c r="L37" s="1291">
        <f t="shared" si="52"/>
        <v>0</v>
      </c>
      <c r="M37" s="1424">
        <f t="shared" si="6"/>
        <v>-991461.5</v>
      </c>
      <c r="N37" s="3554"/>
    </row>
    <row r="38" spans="1:14" s="689" customFormat="1" ht="15.75" customHeight="1" x14ac:dyDescent="0.2">
      <c r="A38" s="3552"/>
      <c r="B38" s="1733" t="s">
        <v>13</v>
      </c>
      <c r="C38" s="3100"/>
      <c r="D38" s="1734">
        <f t="shared" ref="D38:H38" si="53">+D39</f>
        <v>13714913</v>
      </c>
      <c r="E38" s="1706">
        <f t="shared" si="53"/>
        <v>7335122</v>
      </c>
      <c r="F38" s="1706">
        <f t="shared" si="53"/>
        <v>4396868</v>
      </c>
      <c r="G38" s="1706">
        <f t="shared" si="53"/>
        <v>1982923</v>
      </c>
      <c r="H38" s="309">
        <f t="shared" si="53"/>
        <v>0</v>
      </c>
      <c r="I38" s="1734">
        <f>I39</f>
        <v>11731990</v>
      </c>
      <c r="J38" s="1256">
        <f t="shared" si="51"/>
        <v>85.541847768192184</v>
      </c>
      <c r="K38" s="1706">
        <f>+K39</f>
        <v>0</v>
      </c>
      <c r="L38" s="1256">
        <f t="shared" si="52"/>
        <v>0</v>
      </c>
      <c r="M38" s="1425">
        <f t="shared" si="6"/>
        <v>-991461.5</v>
      </c>
      <c r="N38" s="3555"/>
    </row>
    <row r="39" spans="1:14" s="873" customFormat="1" ht="15.75" customHeight="1" x14ac:dyDescent="0.2">
      <c r="A39" s="3552"/>
      <c r="B39" s="1735" t="s">
        <v>15</v>
      </c>
      <c r="C39" s="3100"/>
      <c r="D39" s="1730">
        <f>+E39+F39+G39+H39</f>
        <v>13714913</v>
      </c>
      <c r="E39" s="1702">
        <f>1318026+6017096</f>
        <v>7335122</v>
      </c>
      <c r="F39" s="1731">
        <v>4396868</v>
      </c>
      <c r="G39" s="1702">
        <v>1982923</v>
      </c>
      <c r="H39" s="1732"/>
      <c r="I39" s="1730">
        <f>F39+K39+E39</f>
        <v>11731990</v>
      </c>
      <c r="J39" s="1291">
        <f t="shared" si="51"/>
        <v>85.541847768192184</v>
      </c>
      <c r="K39" s="1702">
        <v>0</v>
      </c>
      <c r="L39" s="1291">
        <f t="shared" si="52"/>
        <v>0</v>
      </c>
      <c r="M39" s="1424">
        <f t="shared" si="6"/>
        <v>-991461.5</v>
      </c>
      <c r="N39" s="3555"/>
    </row>
    <row r="40" spans="1:14" s="689" customFormat="1" ht="15" customHeight="1" x14ac:dyDescent="0.2">
      <c r="A40" s="3552"/>
      <c r="B40" s="1721" t="s">
        <v>17</v>
      </c>
      <c r="C40" s="724"/>
      <c r="D40" s="302">
        <f>+D41+D44</f>
        <v>27429825.699999999</v>
      </c>
      <c r="E40" s="304">
        <f t="shared" ref="E40:F40" si="54">+E41+E44</f>
        <v>14670244</v>
      </c>
      <c r="F40" s="304">
        <f t="shared" si="54"/>
        <v>8793735.6999999993</v>
      </c>
      <c r="G40" s="304">
        <f>+G41+G44</f>
        <v>3965846</v>
      </c>
      <c r="H40" s="306">
        <f t="shared" ref="H40" si="55">+H41+H44</f>
        <v>0</v>
      </c>
      <c r="I40" s="302">
        <f>I41+I44</f>
        <v>23463979.699999999</v>
      </c>
      <c r="J40" s="1181">
        <f t="shared" si="51"/>
        <v>85.541847610063385</v>
      </c>
      <c r="K40" s="304">
        <f>+K41+K44</f>
        <v>0</v>
      </c>
      <c r="L40" s="1181">
        <f t="shared" si="52"/>
        <v>0</v>
      </c>
      <c r="M40" s="1185">
        <f t="shared" si="6"/>
        <v>-1982923</v>
      </c>
      <c r="N40" s="3555"/>
    </row>
    <row r="41" spans="1:14" s="137" customFormat="1" ht="15" customHeight="1" x14ac:dyDescent="0.2">
      <c r="A41" s="3552"/>
      <c r="B41" s="1722" t="s">
        <v>4</v>
      </c>
      <c r="C41" s="3391" t="s">
        <v>195</v>
      </c>
      <c r="D41" s="296">
        <f>+D42</f>
        <v>13714912.699999999</v>
      </c>
      <c r="E41" s="297">
        <f>+E42+E43</f>
        <v>7335122</v>
      </c>
      <c r="F41" s="297">
        <f>+F42+F43</f>
        <v>4396867.7</v>
      </c>
      <c r="G41" s="297">
        <f>+G42+G43</f>
        <v>1982923</v>
      </c>
      <c r="H41" s="1723">
        <f>+H42+H43</f>
        <v>0</v>
      </c>
      <c r="I41" s="296">
        <f>I42</f>
        <v>11731989.699999999</v>
      </c>
      <c r="J41" s="1256">
        <f t="shared" si="51"/>
        <v>85.541847451934558</v>
      </c>
      <c r="K41" s="297">
        <f>+K42+K43</f>
        <v>0</v>
      </c>
      <c r="L41" s="1256">
        <f t="shared" si="52"/>
        <v>0</v>
      </c>
      <c r="M41" s="1423">
        <f t="shared" si="6"/>
        <v>-991461.5</v>
      </c>
      <c r="N41" s="3555"/>
    </row>
    <row r="42" spans="1:14" s="874" customFormat="1" ht="15" customHeight="1" x14ac:dyDescent="0.2">
      <c r="A42" s="3552"/>
      <c r="B42" s="1729" t="s">
        <v>8</v>
      </c>
      <c r="C42" s="3557"/>
      <c r="D42" s="1730">
        <f>+E42+F42+G42+H42</f>
        <v>13714912.699999999</v>
      </c>
      <c r="E42" s="1702">
        <f>1318026+6017096</f>
        <v>7335122</v>
      </c>
      <c r="F42" s="1731">
        <f>4396868-0.3</f>
        <v>4396867.7</v>
      </c>
      <c r="G42" s="1702">
        <v>1982923</v>
      </c>
      <c r="H42" s="1732">
        <v>0</v>
      </c>
      <c r="I42" s="1730">
        <f>F42+K42+E42</f>
        <v>11731989.699999999</v>
      </c>
      <c r="J42" s="1291">
        <f t="shared" si="51"/>
        <v>85.541847451934558</v>
      </c>
      <c r="K42" s="1702">
        <v>0</v>
      </c>
      <c r="L42" s="1291">
        <f t="shared" si="52"/>
        <v>0</v>
      </c>
      <c r="M42" s="1424">
        <f t="shared" si="6"/>
        <v>-991461.5</v>
      </c>
      <c r="N42" s="3555"/>
    </row>
    <row r="43" spans="1:14" s="137" customFormat="1" ht="15" hidden="1" customHeight="1" x14ac:dyDescent="0.2">
      <c r="A43" s="3552"/>
      <c r="B43" s="1724" t="s">
        <v>192</v>
      </c>
      <c r="C43" s="3557"/>
      <c r="D43" s="1730">
        <f>+E43+F43+G43+H43</f>
        <v>0</v>
      </c>
      <c r="E43" s="1702"/>
      <c r="F43" s="1702"/>
      <c r="G43" s="1702"/>
      <c r="H43" s="1732"/>
      <c r="I43" s="1730"/>
      <c r="J43" s="1291" t="e">
        <f t="shared" si="51"/>
        <v>#DIV/0!</v>
      </c>
      <c r="K43" s="1702">
        <v>0</v>
      </c>
      <c r="L43" s="1291" t="e">
        <f t="shared" si="52"/>
        <v>#DIV/0!</v>
      </c>
      <c r="M43" s="1424">
        <f t="shared" si="6"/>
        <v>0</v>
      </c>
      <c r="N43" s="3555"/>
    </row>
    <row r="44" spans="1:14" s="137" customFormat="1" ht="15" customHeight="1" x14ac:dyDescent="0.2">
      <c r="A44" s="3552"/>
      <c r="B44" s="1733" t="s">
        <v>13</v>
      </c>
      <c r="C44" s="3557"/>
      <c r="D44" s="1734">
        <f>+D45</f>
        <v>13714913</v>
      </c>
      <c r="E44" s="1706">
        <f>+E45+E46</f>
        <v>7335122</v>
      </c>
      <c r="F44" s="1706">
        <f>+F45+F46</f>
        <v>4396868</v>
      </c>
      <c r="G44" s="1706">
        <f>+G45+G46</f>
        <v>1982923</v>
      </c>
      <c r="H44" s="309">
        <f>+H45+H46</f>
        <v>0</v>
      </c>
      <c r="I44" s="1734">
        <f>I45</f>
        <v>11731990</v>
      </c>
      <c r="J44" s="1256">
        <f t="shared" si="51"/>
        <v>85.541847768192184</v>
      </c>
      <c r="K44" s="1706">
        <f>+K45+K46</f>
        <v>0</v>
      </c>
      <c r="L44" s="1291">
        <f t="shared" si="52"/>
        <v>0</v>
      </c>
      <c r="M44" s="1425">
        <f t="shared" si="6"/>
        <v>-991461.5</v>
      </c>
      <c r="N44" s="3555"/>
    </row>
    <row r="45" spans="1:14" s="874" customFormat="1" ht="15" customHeight="1" thickBot="1" x14ac:dyDescent="0.25">
      <c r="A45" s="3553"/>
      <c r="B45" s="1736" t="s">
        <v>15</v>
      </c>
      <c r="C45" s="3558"/>
      <c r="D45" s="289">
        <f>+E45+F45+G45+H45</f>
        <v>13714913</v>
      </c>
      <c r="E45" s="1712">
        <f>1318026+6017096</f>
        <v>7335122</v>
      </c>
      <c r="F45" s="1737">
        <v>4396868</v>
      </c>
      <c r="G45" s="1712">
        <v>1982923</v>
      </c>
      <c r="H45" s="294">
        <v>0</v>
      </c>
      <c r="I45" s="289">
        <f>F45+K45+E45</f>
        <v>11731990</v>
      </c>
      <c r="J45" s="290">
        <f t="shared" si="51"/>
        <v>85.541847768192184</v>
      </c>
      <c r="K45" s="1712">
        <v>0</v>
      </c>
      <c r="L45" s="290">
        <f t="shared" si="52"/>
        <v>0</v>
      </c>
      <c r="M45" s="1428">
        <f t="shared" si="6"/>
        <v>-991461.5</v>
      </c>
      <c r="N45" s="3556"/>
    </row>
    <row r="46" spans="1:14" s="137" customFormat="1" ht="13.5" hidden="1" customHeight="1" thickBot="1" x14ac:dyDescent="0.25">
      <c r="A46" s="695"/>
      <c r="B46" s="696" t="s">
        <v>14</v>
      </c>
      <c r="C46" s="697"/>
      <c r="D46" s="698">
        <f>+E46+F46+G46+H46</f>
        <v>0</v>
      </c>
      <c r="E46" s="699">
        <v>0</v>
      </c>
      <c r="F46" s="700"/>
      <c r="G46" s="701"/>
      <c r="H46" s="1193"/>
      <c r="I46" s="702"/>
      <c r="J46" s="591" t="e">
        <f t="shared" si="51"/>
        <v>#DIV/0!</v>
      </c>
      <c r="K46" s="592"/>
      <c r="L46" s="1493">
        <v>10</v>
      </c>
      <c r="M46" s="1494">
        <f t="shared" si="6"/>
        <v>0</v>
      </c>
      <c r="N46" s="1207"/>
    </row>
    <row r="47" spans="1:14" s="689" customFormat="1" ht="54" customHeight="1" x14ac:dyDescent="0.2">
      <c r="A47" s="3565" t="s">
        <v>36</v>
      </c>
      <c r="B47" s="1738" t="s">
        <v>361</v>
      </c>
      <c r="C47" s="1716" t="s">
        <v>193</v>
      </c>
      <c r="D47" s="1210"/>
      <c r="E47" s="688"/>
      <c r="F47" s="688"/>
      <c r="G47" s="688"/>
      <c r="H47" s="1144"/>
      <c r="I47" s="1210"/>
      <c r="J47" s="688"/>
      <c r="K47" s="688"/>
      <c r="L47" s="688"/>
      <c r="M47" s="1739"/>
      <c r="N47" s="3121" t="s">
        <v>194</v>
      </c>
    </row>
    <row r="48" spans="1:14" s="690" customFormat="1" ht="12.75" customHeight="1" x14ac:dyDescent="0.2">
      <c r="A48" s="3566"/>
      <c r="B48" s="312" t="s">
        <v>3</v>
      </c>
      <c r="C48" s="724"/>
      <c r="D48" s="302">
        <f t="shared" ref="D48" si="56">+D49+D52</f>
        <v>29594828.699999999</v>
      </c>
      <c r="E48" s="304">
        <f>+E49+E52</f>
        <v>21051526</v>
      </c>
      <c r="F48" s="1496">
        <f>+F49+F52</f>
        <v>5184834.7</v>
      </c>
      <c r="G48" s="304">
        <f t="shared" ref="G48" si="57">+G49+G52</f>
        <v>3358468</v>
      </c>
      <c r="H48" s="1075">
        <f t="shared" ref="H48" si="58">+H49+H52</f>
        <v>0</v>
      </c>
      <c r="I48" s="302">
        <f>I49+I52</f>
        <v>27787796.420000002</v>
      </c>
      <c r="J48" s="1181">
        <f t="shared" ref="J48:J59" si="59">I48/D48*100</f>
        <v>93.894094477390922</v>
      </c>
      <c r="K48" s="304">
        <f>+K49+K52</f>
        <v>1551435.72</v>
      </c>
      <c r="L48" s="1740">
        <f t="shared" ref="L48:L59" si="60">K48/G48*100</f>
        <v>46.194744746711891</v>
      </c>
      <c r="M48" s="1185">
        <f t="shared" si="6"/>
        <v>-127798.28000000003</v>
      </c>
      <c r="N48" s="3106"/>
    </row>
    <row r="49" spans="1:14" s="690" customFormat="1" ht="13.5" customHeight="1" x14ac:dyDescent="0.2">
      <c r="A49" s="3566"/>
      <c r="B49" s="419" t="s">
        <v>4</v>
      </c>
      <c r="C49" s="3122" t="s">
        <v>195</v>
      </c>
      <c r="D49" s="296">
        <f>+D51</f>
        <v>15526098.699999999</v>
      </c>
      <c r="E49" s="297">
        <f>SUM(E50:E51)</f>
        <v>10525763</v>
      </c>
      <c r="F49" s="1706">
        <f>SUM(F50:F51)</f>
        <v>3239307.7</v>
      </c>
      <c r="G49" s="297">
        <f>SUM(G50:G51)</f>
        <v>1761028</v>
      </c>
      <c r="H49" s="1741">
        <f>SUM(H50:H51)</f>
        <v>0</v>
      </c>
      <c r="I49" s="296">
        <f>I51</f>
        <v>14579486.960000001</v>
      </c>
      <c r="J49" s="1256">
        <f t="shared" si="59"/>
        <v>93.903093376573736</v>
      </c>
      <c r="K49" s="297">
        <f>SUM(K50:K51)</f>
        <v>814416.26</v>
      </c>
      <c r="L49" s="1742">
        <f t="shared" si="60"/>
        <v>46.246638895009049</v>
      </c>
      <c r="M49" s="1423">
        <f t="shared" si="6"/>
        <v>-66097.739999999991</v>
      </c>
      <c r="N49" s="3106"/>
    </row>
    <row r="50" spans="1:14" s="689" customFormat="1" ht="13.5" hidden="1" customHeight="1" x14ac:dyDescent="0.2">
      <c r="A50" s="3566"/>
      <c r="B50" s="279" t="s">
        <v>5</v>
      </c>
      <c r="C50" s="3100"/>
      <c r="D50" s="1177" t="e">
        <f>+E50+F50+G50+#REF!+#REF!+#REF!</f>
        <v>#REF!</v>
      </c>
      <c r="E50" s="1743">
        <v>0</v>
      </c>
      <c r="F50" s="1744">
        <v>0</v>
      </c>
      <c r="G50" s="1743"/>
      <c r="H50" s="1745"/>
      <c r="I50" s="1746"/>
      <c r="J50" s="1747" t="e">
        <f t="shared" si="59"/>
        <v>#REF!</v>
      </c>
      <c r="K50" s="1744">
        <v>0</v>
      </c>
      <c r="L50" s="1748" t="e">
        <f t="shared" si="60"/>
        <v>#DIV/0!</v>
      </c>
      <c r="M50" s="1728">
        <f t="shared" si="6"/>
        <v>0</v>
      </c>
      <c r="N50" s="3106"/>
    </row>
    <row r="51" spans="1:14" s="689" customFormat="1" ht="15" customHeight="1" x14ac:dyDescent="0.2">
      <c r="A51" s="3566"/>
      <c r="B51" s="692" t="s">
        <v>8</v>
      </c>
      <c r="C51" s="3100"/>
      <c r="D51" s="1730">
        <f>+E51+F51+G51+H51</f>
        <v>15526098.699999999</v>
      </c>
      <c r="E51" s="1702">
        <f>2167528+8358235</f>
        <v>10525763</v>
      </c>
      <c r="F51" s="1744">
        <f>3239308-0.3</f>
        <v>3239307.7</v>
      </c>
      <c r="G51" s="1702">
        <v>1761028</v>
      </c>
      <c r="H51" s="1077">
        <v>0</v>
      </c>
      <c r="I51" s="1730">
        <f>F51+K51+E51</f>
        <v>14579486.960000001</v>
      </c>
      <c r="J51" s="1291">
        <f t="shared" si="59"/>
        <v>93.903093376573736</v>
      </c>
      <c r="K51" s="1702">
        <v>814416.26</v>
      </c>
      <c r="L51" s="1749">
        <f t="shared" si="60"/>
        <v>46.246638895009049</v>
      </c>
      <c r="M51" s="1424">
        <f t="shared" si="6"/>
        <v>-66097.739999999991</v>
      </c>
      <c r="N51" s="3106"/>
    </row>
    <row r="52" spans="1:14" s="689" customFormat="1" ht="15" customHeight="1" x14ac:dyDescent="0.2">
      <c r="A52" s="3566"/>
      <c r="B52" s="419" t="s">
        <v>13</v>
      </c>
      <c r="C52" s="3100"/>
      <c r="D52" s="296">
        <f t="shared" ref="D52:H52" si="61">+D53</f>
        <v>14068730</v>
      </c>
      <c r="E52" s="297">
        <f t="shared" si="61"/>
        <v>10525763</v>
      </c>
      <c r="F52" s="1706">
        <f>+F53</f>
        <v>1945527</v>
      </c>
      <c r="G52" s="297">
        <f t="shared" si="61"/>
        <v>1597440</v>
      </c>
      <c r="H52" s="1741">
        <f t="shared" si="61"/>
        <v>0</v>
      </c>
      <c r="I52" s="296">
        <f>I53</f>
        <v>13208309.460000001</v>
      </c>
      <c r="J52" s="1256">
        <f t="shared" si="59"/>
        <v>93.884163389303794</v>
      </c>
      <c r="K52" s="297">
        <f>+K53</f>
        <v>737019.46</v>
      </c>
      <c r="L52" s="1742">
        <f t="shared" si="60"/>
        <v>46.137536308092947</v>
      </c>
      <c r="M52" s="1423">
        <f t="shared" si="6"/>
        <v>-61700.540000000037</v>
      </c>
      <c r="N52" s="3106"/>
    </row>
    <row r="53" spans="1:14" s="689" customFormat="1" ht="15" customHeight="1" x14ac:dyDescent="0.2">
      <c r="A53" s="3566"/>
      <c r="B53" s="692" t="s">
        <v>15</v>
      </c>
      <c r="C53" s="3100"/>
      <c r="D53" s="1730">
        <f>+E53+F53+G53+H53</f>
        <v>14068730</v>
      </c>
      <c r="E53" s="1702">
        <f>2167528+8358235</f>
        <v>10525763</v>
      </c>
      <c r="F53" s="1744">
        <v>1945527</v>
      </c>
      <c r="G53" s="1702">
        <v>1597440</v>
      </c>
      <c r="H53" s="1077">
        <v>0</v>
      </c>
      <c r="I53" s="1730">
        <f>F53+K53+E53</f>
        <v>13208309.460000001</v>
      </c>
      <c r="J53" s="1291">
        <f t="shared" si="59"/>
        <v>93.884163389303794</v>
      </c>
      <c r="K53" s="1702">
        <v>737019.46</v>
      </c>
      <c r="L53" s="1749">
        <f t="shared" si="60"/>
        <v>46.137536308092947</v>
      </c>
      <c r="M53" s="1424">
        <f t="shared" si="6"/>
        <v>-61700.540000000037</v>
      </c>
      <c r="N53" s="3106"/>
    </row>
    <row r="54" spans="1:14" s="689" customFormat="1" ht="14.25" customHeight="1" x14ac:dyDescent="0.2">
      <c r="A54" s="3566"/>
      <c r="B54" s="312" t="s">
        <v>17</v>
      </c>
      <c r="C54" s="724"/>
      <c r="D54" s="302">
        <f t="shared" ref="D54:H54" si="62">+D55+D58</f>
        <v>29594828.699999999</v>
      </c>
      <c r="E54" s="304">
        <f t="shared" si="62"/>
        <v>21051526</v>
      </c>
      <c r="F54" s="1496">
        <f>+F55+F58</f>
        <v>5184834.7</v>
      </c>
      <c r="G54" s="304">
        <f t="shared" ref="G54" si="63">+G55+G58</f>
        <v>3358468</v>
      </c>
      <c r="H54" s="1075">
        <f t="shared" si="62"/>
        <v>0</v>
      </c>
      <c r="I54" s="302">
        <f>I55+I58</f>
        <v>27869261.699999999</v>
      </c>
      <c r="J54" s="1181">
        <f t="shared" si="59"/>
        <v>94.169363109035331</v>
      </c>
      <c r="K54" s="304">
        <f>+K55+K58</f>
        <v>1632901</v>
      </c>
      <c r="L54" s="1740">
        <f t="shared" si="60"/>
        <v>48.620412640525387</v>
      </c>
      <c r="M54" s="1185">
        <f t="shared" si="6"/>
        <v>-46333</v>
      </c>
      <c r="N54" s="3106"/>
    </row>
    <row r="55" spans="1:14" s="137" customFormat="1" ht="14.25" customHeight="1" x14ac:dyDescent="0.2">
      <c r="A55" s="3566"/>
      <c r="B55" s="419" t="s">
        <v>4</v>
      </c>
      <c r="C55" s="3391" t="s">
        <v>195</v>
      </c>
      <c r="D55" s="296">
        <f>+D56</f>
        <v>15526098.699999999</v>
      </c>
      <c r="E55" s="297">
        <f>+E56+E57</f>
        <v>10525763</v>
      </c>
      <c r="F55" s="1706">
        <f>+F56+F57</f>
        <v>3239307.7</v>
      </c>
      <c r="G55" s="297">
        <f>+G56+G57</f>
        <v>1761028</v>
      </c>
      <c r="H55" s="1741">
        <f>+H56+H57</f>
        <v>0</v>
      </c>
      <c r="I55" s="296">
        <f>I56</f>
        <v>14579487.699999999</v>
      </c>
      <c r="J55" s="1256">
        <f t="shared" si="59"/>
        <v>93.903098142742067</v>
      </c>
      <c r="K55" s="297">
        <f>+K56+K57</f>
        <v>814417</v>
      </c>
      <c r="L55" s="1742">
        <f t="shared" si="60"/>
        <v>46.246680915919562</v>
      </c>
      <c r="M55" s="1423">
        <f t="shared" si="6"/>
        <v>-66097</v>
      </c>
      <c r="N55" s="3106"/>
    </row>
    <row r="56" spans="1:14" s="137" customFormat="1" ht="14.25" customHeight="1" x14ac:dyDescent="0.2">
      <c r="A56" s="3566"/>
      <c r="B56" s="692" t="s">
        <v>8</v>
      </c>
      <c r="C56" s="3568"/>
      <c r="D56" s="1730">
        <f>+E56+F56+G56+H56</f>
        <v>15526098.699999999</v>
      </c>
      <c r="E56" s="1702">
        <f>2167528+8358235</f>
        <v>10525763</v>
      </c>
      <c r="F56" s="1744">
        <f>3239308-0.3</f>
        <v>3239307.7</v>
      </c>
      <c r="G56" s="1702">
        <v>1761028</v>
      </c>
      <c r="H56" s="1077">
        <v>0</v>
      </c>
      <c r="I56" s="1730">
        <f>F56+K56+E56</f>
        <v>14579487.699999999</v>
      </c>
      <c r="J56" s="1291">
        <f t="shared" si="59"/>
        <v>93.903098142742067</v>
      </c>
      <c r="K56" s="1702">
        <v>814417</v>
      </c>
      <c r="L56" s="1749">
        <f t="shared" si="60"/>
        <v>46.246680915919562</v>
      </c>
      <c r="M56" s="1424">
        <f t="shared" si="6"/>
        <v>-66097</v>
      </c>
      <c r="N56" s="3106"/>
    </row>
    <row r="57" spans="1:14" s="137" customFormat="1" ht="12" hidden="1" customHeight="1" x14ac:dyDescent="0.2">
      <c r="A57" s="3566"/>
      <c r="B57" s="692" t="s">
        <v>192</v>
      </c>
      <c r="C57" s="3568"/>
      <c r="D57" s="1730" t="e">
        <f>+E57+F57+G57+#REF!+#REF!+#REF!</f>
        <v>#REF!</v>
      </c>
      <c r="E57" s="1702"/>
      <c r="F57" s="1744">
        <v>0</v>
      </c>
      <c r="G57" s="1702"/>
      <c r="H57" s="1077"/>
      <c r="I57" s="1730"/>
      <c r="J57" s="1291" t="e">
        <f t="shared" si="59"/>
        <v>#REF!</v>
      </c>
      <c r="K57" s="1702">
        <v>0</v>
      </c>
      <c r="L57" s="1749" t="e">
        <f t="shared" si="60"/>
        <v>#DIV/0!</v>
      </c>
      <c r="M57" s="1424">
        <f t="shared" si="6"/>
        <v>0</v>
      </c>
      <c r="N57" s="3106"/>
    </row>
    <row r="58" spans="1:14" s="137" customFormat="1" ht="15" customHeight="1" x14ac:dyDescent="0.2">
      <c r="A58" s="3566"/>
      <c r="B58" s="419" t="s">
        <v>13</v>
      </c>
      <c r="C58" s="3568"/>
      <c r="D58" s="296">
        <f t="shared" ref="D58:H58" si="64">+D59</f>
        <v>14068730</v>
      </c>
      <c r="E58" s="297">
        <f t="shared" si="64"/>
        <v>10525763</v>
      </c>
      <c r="F58" s="1706">
        <f>+F59+F60</f>
        <v>1945527</v>
      </c>
      <c r="G58" s="297">
        <f t="shared" ref="G58" si="65">+G59</f>
        <v>1597440</v>
      </c>
      <c r="H58" s="1741">
        <f t="shared" si="64"/>
        <v>0</v>
      </c>
      <c r="I58" s="296">
        <f>I59</f>
        <v>13289774</v>
      </c>
      <c r="J58" s="1256">
        <f t="shared" si="59"/>
        <v>94.463210254230475</v>
      </c>
      <c r="K58" s="297">
        <f>+K59</f>
        <v>818484</v>
      </c>
      <c r="L58" s="1742">
        <f t="shared" si="60"/>
        <v>51.237229567307693</v>
      </c>
      <c r="M58" s="1423">
        <f t="shared" si="6"/>
        <v>19764</v>
      </c>
      <c r="N58" s="3106"/>
    </row>
    <row r="59" spans="1:14" s="137" customFormat="1" ht="15" customHeight="1" thickBot="1" x14ac:dyDescent="0.25">
      <c r="A59" s="3567"/>
      <c r="B59" s="693" t="s">
        <v>15</v>
      </c>
      <c r="C59" s="3569"/>
      <c r="D59" s="1785">
        <f>+E59+F59+G59+H59</f>
        <v>14068730</v>
      </c>
      <c r="E59" s="1786">
        <f>2167528+8358235</f>
        <v>10525763</v>
      </c>
      <c r="F59" s="1794">
        <v>1945527</v>
      </c>
      <c r="G59" s="1786">
        <v>1597440</v>
      </c>
      <c r="H59" s="1079">
        <v>0</v>
      </c>
      <c r="I59" s="289">
        <f>F59+K59+E59</f>
        <v>13289774</v>
      </c>
      <c r="J59" s="290">
        <f t="shared" si="59"/>
        <v>94.463210254230475</v>
      </c>
      <c r="K59" s="1712">
        <v>818484</v>
      </c>
      <c r="L59" s="1162">
        <f t="shared" si="60"/>
        <v>51.237229567307693</v>
      </c>
      <c r="M59" s="1428">
        <f t="shared" si="6"/>
        <v>19764</v>
      </c>
      <c r="N59" s="3120"/>
    </row>
    <row r="60" spans="1:14" s="137" customFormat="1" ht="66" customHeight="1" x14ac:dyDescent="0.2">
      <c r="A60" s="3570" t="s">
        <v>41</v>
      </c>
      <c r="B60" s="1715" t="s">
        <v>359</v>
      </c>
      <c r="C60" s="687" t="s">
        <v>193</v>
      </c>
      <c r="D60" s="1210"/>
      <c r="E60" s="688"/>
      <c r="F60" s="688"/>
      <c r="G60" s="2774"/>
      <c r="H60" s="2663"/>
      <c r="I60" s="1210"/>
      <c r="J60" s="688"/>
      <c r="K60" s="688"/>
      <c r="L60" s="2663"/>
      <c r="M60" s="1717"/>
      <c r="N60" s="3573" t="s">
        <v>196</v>
      </c>
    </row>
    <row r="61" spans="1:14" s="137" customFormat="1" ht="15.75" customHeight="1" x14ac:dyDescent="0.2">
      <c r="A61" s="3571"/>
      <c r="B61" s="1969" t="s">
        <v>3</v>
      </c>
      <c r="C61" s="1167"/>
      <c r="D61" s="302">
        <f t="shared" ref="D61" si="66">+D62+D65</f>
        <v>9327265</v>
      </c>
      <c r="E61" s="304">
        <f>+E62+E65</f>
        <v>5630738</v>
      </c>
      <c r="F61" s="304">
        <f>+F62+F65</f>
        <v>3696527</v>
      </c>
      <c r="G61" s="2775">
        <f t="shared" ref="G61:H61" si="67">+G62+G65</f>
        <v>0</v>
      </c>
      <c r="H61" s="2132">
        <f t="shared" si="67"/>
        <v>0</v>
      </c>
      <c r="I61" s="302">
        <f>I62+I65</f>
        <v>9327265</v>
      </c>
      <c r="J61" s="1181">
        <f t="shared" ref="J61:J72" si="68">I61/D61*100</f>
        <v>100</v>
      </c>
      <c r="K61" s="303">
        <f>+K62+K65</f>
        <v>0</v>
      </c>
      <c r="L61" s="2132">
        <v>0</v>
      </c>
      <c r="M61" s="306">
        <f t="shared" si="6"/>
        <v>0</v>
      </c>
      <c r="N61" s="3574"/>
    </row>
    <row r="62" spans="1:14" s="137" customFormat="1" ht="15.75" customHeight="1" x14ac:dyDescent="0.2">
      <c r="A62" s="3571"/>
      <c r="B62" s="1722" t="s">
        <v>4</v>
      </c>
      <c r="C62" s="3578" t="s">
        <v>197</v>
      </c>
      <c r="D62" s="296">
        <f>+D64</f>
        <v>2331816</v>
      </c>
      <c r="E62" s="297">
        <f>SUM(E63:E64)</f>
        <v>1407684</v>
      </c>
      <c r="F62" s="297">
        <f>SUM(F63:F64)</f>
        <v>924132</v>
      </c>
      <c r="G62" s="2776">
        <f>SUM(G63:G64)</f>
        <v>0</v>
      </c>
      <c r="H62" s="2692">
        <f>SUM(H63:H64)</f>
        <v>0</v>
      </c>
      <c r="I62" s="1750">
        <f>SUM(I63:I64)</f>
        <v>2331816</v>
      </c>
      <c r="J62" s="1751">
        <f t="shared" si="68"/>
        <v>100</v>
      </c>
      <c r="K62" s="1752">
        <f>SUM(K63:K64)</f>
        <v>0</v>
      </c>
      <c r="L62" s="2664">
        <v>0</v>
      </c>
      <c r="M62" s="1723">
        <f t="shared" si="6"/>
        <v>0</v>
      </c>
      <c r="N62" s="3574"/>
    </row>
    <row r="63" spans="1:14" s="137" customFormat="1" ht="12" hidden="1" customHeight="1" x14ac:dyDescent="0.25">
      <c r="A63" s="3571"/>
      <c r="B63" s="1724" t="s">
        <v>5</v>
      </c>
      <c r="C63" s="3579"/>
      <c r="D63" s="1725" t="e">
        <f>+E63+F63+G63+#REF!+#REF!+#REF!</f>
        <v>#REF!</v>
      </c>
      <c r="E63" s="1726">
        <v>0</v>
      </c>
      <c r="F63" s="1726">
        <v>0</v>
      </c>
      <c r="G63" s="2777">
        <v>0</v>
      </c>
      <c r="H63" s="1745"/>
      <c r="I63" s="1753"/>
      <c r="J63" s="1754" t="e">
        <f t="shared" si="68"/>
        <v>#REF!</v>
      </c>
      <c r="K63" s="1755"/>
      <c r="L63" s="2665" t="e">
        <f>K63/G63*100</f>
        <v>#DIV/0!</v>
      </c>
      <c r="M63" s="1727">
        <f t="shared" si="6"/>
        <v>0</v>
      </c>
      <c r="N63" s="3575"/>
    </row>
    <row r="64" spans="1:14" s="137" customFormat="1" ht="15" customHeight="1" x14ac:dyDescent="0.2">
      <c r="A64" s="3571"/>
      <c r="B64" s="2772" t="s">
        <v>8</v>
      </c>
      <c r="C64" s="3580"/>
      <c r="D64" s="1730">
        <f>+E64+F64+G64+H64</f>
        <v>2331816</v>
      </c>
      <c r="E64" s="1702">
        <v>1407684</v>
      </c>
      <c r="F64" s="1702">
        <v>924132</v>
      </c>
      <c r="G64" s="2778">
        <v>0</v>
      </c>
      <c r="H64" s="2165">
        <v>0</v>
      </c>
      <c r="I64" s="1730">
        <f>F64+K64+E64</f>
        <v>2331816</v>
      </c>
      <c r="J64" s="1291">
        <f t="shared" si="68"/>
        <v>100</v>
      </c>
      <c r="K64" s="280">
        <v>0</v>
      </c>
      <c r="L64" s="2165">
        <v>0</v>
      </c>
      <c r="M64" s="1732">
        <f t="shared" si="6"/>
        <v>0</v>
      </c>
      <c r="N64" s="3576"/>
    </row>
    <row r="65" spans="1:14" s="137" customFormat="1" ht="15" customHeight="1" x14ac:dyDescent="0.2">
      <c r="A65" s="3571"/>
      <c r="B65" s="2773" t="s">
        <v>13</v>
      </c>
      <c r="C65" s="3580"/>
      <c r="D65" s="296">
        <f t="shared" ref="D65:H65" si="69">+D66</f>
        <v>6995449</v>
      </c>
      <c r="E65" s="297">
        <f t="shared" si="69"/>
        <v>4223054</v>
      </c>
      <c r="F65" s="297">
        <f t="shared" si="69"/>
        <v>2772395</v>
      </c>
      <c r="G65" s="2776">
        <f t="shared" si="69"/>
        <v>0</v>
      </c>
      <c r="H65" s="2692">
        <f t="shared" si="69"/>
        <v>0</v>
      </c>
      <c r="I65" s="1750">
        <f t="shared" ref="I65" si="70">+I66</f>
        <v>6995449</v>
      </c>
      <c r="J65" s="1751">
        <f t="shared" si="68"/>
        <v>100</v>
      </c>
      <c r="K65" s="1752">
        <f>+K66</f>
        <v>0</v>
      </c>
      <c r="L65" s="2664">
        <v>0</v>
      </c>
      <c r="M65" s="1723">
        <f t="shared" si="6"/>
        <v>0</v>
      </c>
      <c r="N65" s="3574"/>
    </row>
    <row r="66" spans="1:14" s="137" customFormat="1" ht="15" customHeight="1" x14ac:dyDescent="0.2">
      <c r="A66" s="3571"/>
      <c r="B66" s="1724" t="s">
        <v>15</v>
      </c>
      <c r="C66" s="3580"/>
      <c r="D66" s="1730">
        <f>+E66+F66+G66+H66</f>
        <v>6995449</v>
      </c>
      <c r="E66" s="1702">
        <v>4223054</v>
      </c>
      <c r="F66" s="1702">
        <v>2772395</v>
      </c>
      <c r="G66" s="2778">
        <v>0</v>
      </c>
      <c r="H66" s="2165">
        <v>0</v>
      </c>
      <c r="I66" s="1730">
        <f>F66+K66+E66</f>
        <v>6995449</v>
      </c>
      <c r="J66" s="1291">
        <f t="shared" si="68"/>
        <v>100</v>
      </c>
      <c r="K66" s="280">
        <v>0</v>
      </c>
      <c r="L66" s="2165">
        <v>0</v>
      </c>
      <c r="M66" s="1732">
        <f t="shared" si="6"/>
        <v>0</v>
      </c>
      <c r="N66" s="3574"/>
    </row>
    <row r="67" spans="1:14" s="137" customFormat="1" ht="15" customHeight="1" x14ac:dyDescent="0.2">
      <c r="A67" s="3571"/>
      <c r="B67" s="1969" t="s">
        <v>17</v>
      </c>
      <c r="C67" s="1167"/>
      <c r="D67" s="302">
        <f t="shared" ref="D67" si="71">+D68+D71</f>
        <v>9327265</v>
      </c>
      <c r="E67" s="304">
        <f>+E68+E71</f>
        <v>9327265</v>
      </c>
      <c r="F67" s="303">
        <f>+F68+F71</f>
        <v>0</v>
      </c>
      <c r="G67" s="2775">
        <f t="shared" ref="G67:H67" si="72">+G68+G71</f>
        <v>0</v>
      </c>
      <c r="H67" s="2132">
        <f t="shared" si="72"/>
        <v>0</v>
      </c>
      <c r="I67" s="302">
        <f t="shared" ref="I67" si="73">+I68+I71</f>
        <v>9327265</v>
      </c>
      <c r="J67" s="1181">
        <f t="shared" si="68"/>
        <v>100</v>
      </c>
      <c r="K67" s="303">
        <f>+K68+K71</f>
        <v>0</v>
      </c>
      <c r="L67" s="1075">
        <v>0</v>
      </c>
      <c r="M67" s="306">
        <f t="shared" si="6"/>
        <v>0</v>
      </c>
      <c r="N67" s="3574"/>
    </row>
    <row r="68" spans="1:14" s="137" customFormat="1" ht="15" customHeight="1" x14ac:dyDescent="0.2">
      <c r="A68" s="3571"/>
      <c r="B68" s="1722" t="s">
        <v>4</v>
      </c>
      <c r="C68" s="2658"/>
      <c r="D68" s="296">
        <f>+D69</f>
        <v>2331816</v>
      </c>
      <c r="E68" s="297">
        <f>+E69+E70</f>
        <v>2331816</v>
      </c>
      <c r="F68" s="299">
        <f>+F69+F70</f>
        <v>0</v>
      </c>
      <c r="G68" s="2776">
        <f>+G69+G70</f>
        <v>0</v>
      </c>
      <c r="H68" s="2692">
        <f>+H69+H70</f>
        <v>0</v>
      </c>
      <c r="I68" s="1750">
        <f>+I69+I70</f>
        <v>2331816</v>
      </c>
      <c r="J68" s="1751">
        <f t="shared" si="68"/>
        <v>100</v>
      </c>
      <c r="K68" s="1752">
        <f>+K69+K70</f>
        <v>0</v>
      </c>
      <c r="L68" s="1076">
        <v>0</v>
      </c>
      <c r="M68" s="1723">
        <f t="shared" si="6"/>
        <v>0</v>
      </c>
      <c r="N68" s="3574"/>
    </row>
    <row r="69" spans="1:14" s="137" customFormat="1" ht="15" customHeight="1" x14ac:dyDescent="0.2">
      <c r="A69" s="3571"/>
      <c r="B69" s="2772" t="s">
        <v>8</v>
      </c>
      <c r="C69" s="2658"/>
      <c r="D69" s="1730">
        <f>+E69+F69+G69+H69</f>
        <v>2331816</v>
      </c>
      <c r="E69" s="1702">
        <v>2331816</v>
      </c>
      <c r="F69" s="280">
        <v>0</v>
      </c>
      <c r="G69" s="2778">
        <v>0</v>
      </c>
      <c r="H69" s="2165">
        <v>0</v>
      </c>
      <c r="I69" s="1730">
        <f>F69+K69+E69</f>
        <v>2331816</v>
      </c>
      <c r="J69" s="1291">
        <f t="shared" si="68"/>
        <v>100</v>
      </c>
      <c r="K69" s="280">
        <v>0</v>
      </c>
      <c r="L69" s="1077">
        <v>0</v>
      </c>
      <c r="M69" s="1732">
        <f t="shared" si="6"/>
        <v>0</v>
      </c>
      <c r="N69" s="3574"/>
    </row>
    <row r="70" spans="1:14" s="137" customFormat="1" ht="12" hidden="1" customHeight="1" x14ac:dyDescent="0.2">
      <c r="A70" s="3571"/>
      <c r="B70" s="1724" t="s">
        <v>192</v>
      </c>
      <c r="C70" s="2658"/>
      <c r="D70" s="1177" t="e">
        <f>+E70+F70+G70+#REF!+#REF!+#REF!</f>
        <v>#REF!</v>
      </c>
      <c r="E70" s="1743">
        <v>0</v>
      </c>
      <c r="F70" s="1745">
        <v>0</v>
      </c>
      <c r="G70" s="2779">
        <v>0</v>
      </c>
      <c r="H70" s="1745"/>
      <c r="I70" s="1753"/>
      <c r="J70" s="1754" t="e">
        <f t="shared" si="68"/>
        <v>#REF!</v>
      </c>
      <c r="K70" s="1755"/>
      <c r="L70" s="899" t="e">
        <f>K70/G70*100</f>
        <v>#DIV/0!</v>
      </c>
      <c r="M70" s="1727">
        <f t="shared" si="6"/>
        <v>0</v>
      </c>
      <c r="N70" s="3574"/>
    </row>
    <row r="71" spans="1:14" s="137" customFormat="1" ht="15" customHeight="1" thickBot="1" x14ac:dyDescent="0.25">
      <c r="A71" s="3571"/>
      <c r="B71" s="2773" t="s">
        <v>13</v>
      </c>
      <c r="C71" s="2658"/>
      <c r="D71" s="296">
        <f t="shared" ref="D71:H71" si="74">+D72+D129</f>
        <v>6995449</v>
      </c>
      <c r="E71" s="297">
        <f t="shared" si="74"/>
        <v>6995449</v>
      </c>
      <c r="F71" s="299">
        <f t="shared" si="74"/>
        <v>0</v>
      </c>
      <c r="G71" s="2776">
        <f t="shared" si="74"/>
        <v>0</v>
      </c>
      <c r="H71" s="2692">
        <f t="shared" si="74"/>
        <v>0</v>
      </c>
      <c r="I71" s="1750">
        <f t="shared" ref="I71" si="75">+I72+I129</f>
        <v>6995449</v>
      </c>
      <c r="J71" s="1751">
        <f t="shared" si="68"/>
        <v>100</v>
      </c>
      <c r="K71" s="1752">
        <f>+K72+K129</f>
        <v>0</v>
      </c>
      <c r="L71" s="1076">
        <v>0</v>
      </c>
      <c r="M71" s="1723">
        <f t="shared" si="6"/>
        <v>0</v>
      </c>
      <c r="N71" s="3575"/>
    </row>
    <row r="72" spans="1:14" s="137" customFormat="1" ht="15" customHeight="1" thickBot="1" x14ac:dyDescent="0.25">
      <c r="A72" s="3572"/>
      <c r="B72" s="298" t="s">
        <v>15</v>
      </c>
      <c r="C72" s="2657"/>
      <c r="D72" s="2712">
        <f>+E72+F72+G72+H72</f>
        <v>6995449</v>
      </c>
      <c r="E72" s="2188">
        <v>6995449</v>
      </c>
      <c r="F72" s="2188">
        <v>0</v>
      </c>
      <c r="G72" s="2713">
        <v>0</v>
      </c>
      <c r="H72" s="294">
        <v>0</v>
      </c>
      <c r="I72" s="289">
        <f>F72+K72+E72</f>
        <v>6995449</v>
      </c>
      <c r="J72" s="290">
        <f t="shared" si="68"/>
        <v>100</v>
      </c>
      <c r="K72" s="288">
        <v>0</v>
      </c>
      <c r="L72" s="288">
        <v>0</v>
      </c>
      <c r="M72" s="294">
        <f t="shared" si="6"/>
        <v>0</v>
      </c>
      <c r="N72" s="3577"/>
    </row>
    <row r="73" spans="1:14" ht="45" customHeight="1" x14ac:dyDescent="0.2">
      <c r="A73" s="3581" t="s">
        <v>42</v>
      </c>
      <c r="B73" s="1738" t="s">
        <v>358</v>
      </c>
      <c r="C73" s="687" t="s">
        <v>198</v>
      </c>
      <c r="D73" s="1756"/>
      <c r="E73" s="1757"/>
      <c r="F73" s="1503"/>
      <c r="G73" s="1503"/>
      <c r="H73" s="1758"/>
      <c r="I73" s="1756"/>
      <c r="J73" s="1759"/>
      <c r="K73" s="1503"/>
      <c r="L73" s="1503"/>
      <c r="M73" s="1760"/>
      <c r="N73" s="3121" t="s">
        <v>199</v>
      </c>
    </row>
    <row r="74" spans="1:14" ht="12.95" customHeight="1" x14ac:dyDescent="0.2">
      <c r="A74" s="3582"/>
      <c r="B74" s="312" t="s">
        <v>3</v>
      </c>
      <c r="C74" s="1761"/>
      <c r="D74" s="302">
        <f t="shared" ref="D74:H74" si="76">+D75+D79</f>
        <v>6692332</v>
      </c>
      <c r="E74" s="304">
        <f t="shared" si="76"/>
        <v>1304141</v>
      </c>
      <c r="F74" s="304">
        <f t="shared" si="76"/>
        <v>1342191</v>
      </c>
      <c r="G74" s="304">
        <f t="shared" si="76"/>
        <v>1446000</v>
      </c>
      <c r="H74" s="1185">
        <f t="shared" si="76"/>
        <v>2600000</v>
      </c>
      <c r="I74" s="302">
        <f>I75+I79</f>
        <v>3295009</v>
      </c>
      <c r="J74" s="1181">
        <f t="shared" ref="J74:J90" si="77">I74/D74*100</f>
        <v>49.235587833956835</v>
      </c>
      <c r="K74" s="304">
        <f>+K75+K79</f>
        <v>648677</v>
      </c>
      <c r="L74" s="1181">
        <f>K74/G74*100</f>
        <v>44.860096818810511</v>
      </c>
      <c r="M74" s="1185">
        <f t="shared" ref="M74:M137" si="78">+K74-G74*0.5</f>
        <v>-74323</v>
      </c>
      <c r="N74" s="3106"/>
    </row>
    <row r="75" spans="1:14" ht="12.95" customHeight="1" x14ac:dyDescent="0.2">
      <c r="A75" s="3582"/>
      <c r="B75" s="419" t="s">
        <v>4</v>
      </c>
      <c r="C75" s="3584" t="s">
        <v>197</v>
      </c>
      <c r="D75" s="1750">
        <f>+D76+D78+D77</f>
        <v>1852056</v>
      </c>
      <c r="E75" s="1697">
        <f>SUM(E76:E78)</f>
        <v>431141</v>
      </c>
      <c r="F75" s="1697">
        <f>SUM(F76:F78)</f>
        <v>374915</v>
      </c>
      <c r="G75" s="1697">
        <f>SUM(G76:G78)</f>
        <v>396000</v>
      </c>
      <c r="H75" s="1762">
        <f>SUM(H77:H78)</f>
        <v>650000</v>
      </c>
      <c r="I75" s="1750">
        <f>I76+I78+I77</f>
        <v>980095</v>
      </c>
      <c r="J75" s="1751">
        <f t="shared" si="77"/>
        <v>52.919296176789466</v>
      </c>
      <c r="K75" s="1697">
        <f>K76+K78+K77</f>
        <v>174039</v>
      </c>
      <c r="L75" s="1751">
        <f>K75/G75*100</f>
        <v>43.949242424242421</v>
      </c>
      <c r="M75" s="1762">
        <f t="shared" si="78"/>
        <v>-23961</v>
      </c>
      <c r="N75" s="3106"/>
    </row>
    <row r="76" spans="1:14" ht="12.95" customHeight="1" x14ac:dyDescent="0.2">
      <c r="A76" s="3582"/>
      <c r="B76" s="279" t="s">
        <v>5</v>
      </c>
      <c r="C76" s="3584"/>
      <c r="D76" s="1730">
        <f>+E76+F76+G76+H76</f>
        <v>127778</v>
      </c>
      <c r="E76" s="1702">
        <f>51748+46322+29708</f>
        <v>127778</v>
      </c>
      <c r="F76" s="1702">
        <v>0</v>
      </c>
      <c r="G76" s="1702">
        <v>0</v>
      </c>
      <c r="H76" s="1424">
        <v>0</v>
      </c>
      <c r="I76" s="1730">
        <f>F76+K76+E76</f>
        <v>127778</v>
      </c>
      <c r="J76" s="1291">
        <f t="shared" si="77"/>
        <v>100</v>
      </c>
      <c r="K76" s="280">
        <v>0</v>
      </c>
      <c r="L76" s="280">
        <v>0</v>
      </c>
      <c r="M76" s="1424">
        <f t="shared" si="78"/>
        <v>0</v>
      </c>
      <c r="N76" s="3106"/>
    </row>
    <row r="77" spans="1:14" ht="12.95" customHeight="1" x14ac:dyDescent="0.2">
      <c r="A77" s="3582"/>
      <c r="B77" s="279" t="s">
        <v>8</v>
      </c>
      <c r="C77" s="3584"/>
      <c r="D77" s="1730">
        <f>+E77+F77+G77+H77</f>
        <v>1607569</v>
      </c>
      <c r="E77" s="1702">
        <v>186654</v>
      </c>
      <c r="F77" s="1763">
        <v>374915</v>
      </c>
      <c r="G77" s="1702">
        <f>396000</f>
        <v>396000</v>
      </c>
      <c r="H77" s="1424">
        <f>325000+325000</f>
        <v>650000</v>
      </c>
      <c r="I77" s="1730">
        <f>F77+K77+E77</f>
        <v>735608</v>
      </c>
      <c r="J77" s="1291">
        <f t="shared" si="77"/>
        <v>45.759031183109407</v>
      </c>
      <c r="K77" s="1702">
        <v>174039</v>
      </c>
      <c r="L77" s="1291">
        <f>K77/G77*100</f>
        <v>43.949242424242421</v>
      </c>
      <c r="M77" s="1424">
        <f t="shared" si="78"/>
        <v>-23961</v>
      </c>
      <c r="N77" s="3106"/>
    </row>
    <row r="78" spans="1:14" ht="12.95" customHeight="1" x14ac:dyDescent="0.2">
      <c r="A78" s="3582"/>
      <c r="B78" s="279" t="s">
        <v>9</v>
      </c>
      <c r="C78" s="3584"/>
      <c r="D78" s="1730">
        <f>+E78+F78+G78+H78</f>
        <v>116709</v>
      </c>
      <c r="E78" s="1702">
        <f>4966+111743</f>
        <v>116709</v>
      </c>
      <c r="F78" s="1702">
        <v>0</v>
      </c>
      <c r="G78" s="1702">
        <v>0</v>
      </c>
      <c r="H78" s="1424">
        <v>0</v>
      </c>
      <c r="I78" s="1730">
        <f>F78+K78+E78</f>
        <v>116709</v>
      </c>
      <c r="J78" s="1291">
        <f t="shared" si="77"/>
        <v>100</v>
      </c>
      <c r="K78" s="280">
        <v>0</v>
      </c>
      <c r="L78" s="280">
        <v>0</v>
      </c>
      <c r="M78" s="1424">
        <f t="shared" si="78"/>
        <v>0</v>
      </c>
      <c r="N78" s="3106"/>
    </row>
    <row r="79" spans="1:14" ht="12.95" customHeight="1" x14ac:dyDescent="0.2">
      <c r="A79" s="3582"/>
      <c r="B79" s="419" t="s">
        <v>13</v>
      </c>
      <c r="C79" s="3584"/>
      <c r="D79" s="1750">
        <f>+D81+D80</f>
        <v>4840276</v>
      </c>
      <c r="E79" s="1697">
        <f>E81+E80</f>
        <v>873000</v>
      </c>
      <c r="F79" s="1697">
        <f>F81+F80</f>
        <v>967276</v>
      </c>
      <c r="G79" s="1697">
        <f>G81+G80</f>
        <v>1050000</v>
      </c>
      <c r="H79" s="1762">
        <f>H81+H80</f>
        <v>1950000</v>
      </c>
      <c r="I79" s="1750">
        <f>I81+I80</f>
        <v>2314914</v>
      </c>
      <c r="J79" s="1751">
        <f t="shared" si="77"/>
        <v>47.82607438088241</v>
      </c>
      <c r="K79" s="1697">
        <f>K81+K80</f>
        <v>474638</v>
      </c>
      <c r="L79" s="1751">
        <f>K79/G79*100</f>
        <v>45.20361904761905</v>
      </c>
      <c r="M79" s="1762">
        <f t="shared" si="78"/>
        <v>-50362</v>
      </c>
      <c r="N79" s="3106"/>
    </row>
    <row r="80" spans="1:14" ht="12.95" customHeight="1" x14ac:dyDescent="0.2">
      <c r="A80" s="3582"/>
      <c r="B80" s="279" t="s">
        <v>15</v>
      </c>
      <c r="C80" s="3584"/>
      <c r="D80" s="1730">
        <f>+E80+F80+G80+H80</f>
        <v>4526316</v>
      </c>
      <c r="E80" s="1702">
        <v>559040</v>
      </c>
      <c r="F80" s="1763">
        <v>967276</v>
      </c>
      <c r="G80" s="1702">
        <v>1050000</v>
      </c>
      <c r="H80" s="1424">
        <f>975000+975000</f>
        <v>1950000</v>
      </c>
      <c r="I80" s="1730">
        <f>F80+K80+E80</f>
        <v>2000954</v>
      </c>
      <c r="J80" s="1291">
        <f t="shared" si="77"/>
        <v>44.207121199668784</v>
      </c>
      <c r="K80" s="1702">
        <v>474638</v>
      </c>
      <c r="L80" s="1291">
        <f>K80/G80*100</f>
        <v>45.20361904761905</v>
      </c>
      <c r="M80" s="1424">
        <f t="shared" si="78"/>
        <v>-50362</v>
      </c>
      <c r="N80" s="3106"/>
    </row>
    <row r="81" spans="1:14" ht="12.95" customHeight="1" x14ac:dyDescent="0.2">
      <c r="A81" s="3582"/>
      <c r="B81" s="279" t="s">
        <v>9</v>
      </c>
      <c r="C81" s="3584"/>
      <c r="D81" s="1730">
        <f>+E81+F81+G81+H81</f>
        <v>313960</v>
      </c>
      <c r="E81" s="1702">
        <f>14897+299063</f>
        <v>313960</v>
      </c>
      <c r="F81" s="1702">
        <v>0</v>
      </c>
      <c r="G81" s="1702">
        <v>0</v>
      </c>
      <c r="H81" s="1424">
        <v>0</v>
      </c>
      <c r="I81" s="1730">
        <f>F81+K81+E81</f>
        <v>313960</v>
      </c>
      <c r="J81" s="1291">
        <f t="shared" si="77"/>
        <v>100</v>
      </c>
      <c r="K81" s="280">
        <v>0</v>
      </c>
      <c r="L81" s="280">
        <v>0</v>
      </c>
      <c r="M81" s="1424">
        <f t="shared" si="78"/>
        <v>0</v>
      </c>
      <c r="N81" s="3106"/>
    </row>
    <row r="82" spans="1:14" ht="12.95" customHeight="1" x14ac:dyDescent="0.2">
      <c r="A82" s="3582"/>
      <c r="B82" s="312" t="s">
        <v>17</v>
      </c>
      <c r="C82" s="1761"/>
      <c r="D82" s="302">
        <f>+D83+D87</f>
        <v>6635250</v>
      </c>
      <c r="E82" s="304">
        <f>+E83+E87</f>
        <v>1176363</v>
      </c>
      <c r="F82" s="304">
        <f>+F83+F87</f>
        <v>1412887</v>
      </c>
      <c r="G82" s="304">
        <f>+G83+G87</f>
        <v>1446000</v>
      </c>
      <c r="H82" s="1185">
        <f>+H83+H87</f>
        <v>2600000</v>
      </c>
      <c r="I82" s="302">
        <f>I83+I87</f>
        <v>3275828</v>
      </c>
      <c r="J82" s="1181">
        <f t="shared" si="77"/>
        <v>49.370076485437622</v>
      </c>
      <c r="K82" s="304">
        <f>+K83+K87</f>
        <v>686578</v>
      </c>
      <c r="L82" s="1181">
        <f>K82/G82*100</f>
        <v>47.48118948824343</v>
      </c>
      <c r="M82" s="1185">
        <f t="shared" si="78"/>
        <v>-36422</v>
      </c>
      <c r="N82" s="3106"/>
    </row>
    <row r="83" spans="1:14" ht="12.95" customHeight="1" x14ac:dyDescent="0.2">
      <c r="A83" s="3582"/>
      <c r="B83" s="419" t="s">
        <v>4</v>
      </c>
      <c r="C83" s="3584" t="s">
        <v>197</v>
      </c>
      <c r="D83" s="1750">
        <f>+D85+D84+D86</f>
        <v>1741952</v>
      </c>
      <c r="E83" s="1697">
        <f>E84+E85+E86</f>
        <v>303363</v>
      </c>
      <c r="F83" s="1697">
        <f>F84+F85+F86</f>
        <v>392589</v>
      </c>
      <c r="G83" s="1697">
        <f t="shared" ref="G83" si="79">G84+G85+G86</f>
        <v>396000</v>
      </c>
      <c r="H83" s="1762">
        <f t="shared" ref="H83" si="80">H84+H85+H86</f>
        <v>650000</v>
      </c>
      <c r="I83" s="1750">
        <f>+I85+I84+I86</f>
        <v>880306</v>
      </c>
      <c r="J83" s="1751">
        <f t="shared" si="77"/>
        <v>50.535606032772428</v>
      </c>
      <c r="K83" s="1697">
        <f>+K85+K84+K86</f>
        <v>184354</v>
      </c>
      <c r="L83" s="1751">
        <f>K83/G83*100</f>
        <v>46.5540404040404</v>
      </c>
      <c r="M83" s="1762">
        <f t="shared" si="78"/>
        <v>-13646</v>
      </c>
      <c r="N83" s="3106"/>
    </row>
    <row r="84" spans="1:14" ht="12.95" customHeight="1" x14ac:dyDescent="0.2">
      <c r="A84" s="3582"/>
      <c r="B84" s="279" t="s">
        <v>8</v>
      </c>
      <c r="C84" s="3584"/>
      <c r="D84" s="1730">
        <f>+E84+F84+G84+H84</f>
        <v>1607569</v>
      </c>
      <c r="E84" s="1702">
        <v>186654</v>
      </c>
      <c r="F84" s="1763">
        <v>374915</v>
      </c>
      <c r="G84" s="1702">
        <v>396000</v>
      </c>
      <c r="H84" s="1424">
        <f>325000+325000</f>
        <v>650000</v>
      </c>
      <c r="I84" s="1730">
        <f>F84+K84+E84</f>
        <v>745923</v>
      </c>
      <c r="J84" s="1291">
        <f t="shared" si="77"/>
        <v>46.400683267716659</v>
      </c>
      <c r="K84" s="1702">
        <v>184354</v>
      </c>
      <c r="L84" s="1291">
        <f>K84/G84*100</f>
        <v>46.5540404040404</v>
      </c>
      <c r="M84" s="1424">
        <f t="shared" si="78"/>
        <v>-13646</v>
      </c>
      <c r="N84" s="3106"/>
    </row>
    <row r="85" spans="1:14" ht="12.95" customHeight="1" x14ac:dyDescent="0.2">
      <c r="A85" s="3582"/>
      <c r="B85" s="279" t="s">
        <v>9</v>
      </c>
      <c r="C85" s="3584"/>
      <c r="D85" s="1730">
        <f>+E85+F85+G85+H85</f>
        <v>116709</v>
      </c>
      <c r="E85" s="1702">
        <f>4966+111743</f>
        <v>116709</v>
      </c>
      <c r="F85" s="280">
        <v>0</v>
      </c>
      <c r="G85" s="280">
        <v>0</v>
      </c>
      <c r="H85" s="1732">
        <v>0</v>
      </c>
      <c r="I85" s="1730">
        <f>F85+K85+E85</f>
        <v>116709</v>
      </c>
      <c r="J85" s="1291">
        <f t="shared" si="77"/>
        <v>100</v>
      </c>
      <c r="K85" s="280">
        <v>0</v>
      </c>
      <c r="L85" s="280">
        <v>0</v>
      </c>
      <c r="M85" s="1732">
        <f t="shared" si="78"/>
        <v>0</v>
      </c>
      <c r="N85" s="3106"/>
    </row>
    <row r="86" spans="1:14" ht="12.95" customHeight="1" x14ac:dyDescent="0.2">
      <c r="A86" s="3582"/>
      <c r="B86" s="279" t="s">
        <v>192</v>
      </c>
      <c r="C86" s="3584"/>
      <c r="D86" s="1730">
        <f>+E86+F86+G86+H86</f>
        <v>17674</v>
      </c>
      <c r="E86" s="280">
        <v>0</v>
      </c>
      <c r="F86" s="1702">
        <v>17674</v>
      </c>
      <c r="G86" s="280">
        <v>0</v>
      </c>
      <c r="H86" s="1732">
        <v>0</v>
      </c>
      <c r="I86" s="1730">
        <f>F86+K86+E86</f>
        <v>17674</v>
      </c>
      <c r="J86" s="1291">
        <f t="shared" si="77"/>
        <v>100</v>
      </c>
      <c r="K86" s="280"/>
      <c r="L86" s="280"/>
      <c r="M86" s="1732">
        <f t="shared" si="78"/>
        <v>0</v>
      </c>
      <c r="N86" s="3106"/>
    </row>
    <row r="87" spans="1:14" ht="12.95" customHeight="1" x14ac:dyDescent="0.2">
      <c r="A87" s="3582"/>
      <c r="B87" s="419" t="s">
        <v>13</v>
      </c>
      <c r="C87" s="3584"/>
      <c r="D87" s="1750">
        <f>D88+D89+D90</f>
        <v>4893298</v>
      </c>
      <c r="E87" s="1697">
        <f>E88+E89+E90</f>
        <v>873000</v>
      </c>
      <c r="F87" s="1697">
        <f t="shared" ref="F87:H87" si="81">F88+F89+F90</f>
        <v>1020298</v>
      </c>
      <c r="G87" s="1697">
        <f t="shared" si="81"/>
        <v>1050000</v>
      </c>
      <c r="H87" s="1762">
        <f t="shared" si="81"/>
        <v>1950000</v>
      </c>
      <c r="I87" s="1750">
        <f>I88+I89+I90</f>
        <v>2395522</v>
      </c>
      <c r="J87" s="1751">
        <f t="shared" si="77"/>
        <v>48.9551627552624</v>
      </c>
      <c r="K87" s="1697">
        <f>K88+K89+K90</f>
        <v>502224</v>
      </c>
      <c r="L87" s="1751">
        <f>K87/G87*100</f>
        <v>47.830857142857141</v>
      </c>
      <c r="M87" s="1762">
        <f t="shared" si="78"/>
        <v>-22776</v>
      </c>
      <c r="N87" s="3106"/>
    </row>
    <row r="88" spans="1:14" ht="12.95" customHeight="1" x14ac:dyDescent="0.2">
      <c r="A88" s="3582"/>
      <c r="B88" s="279" t="s">
        <v>15</v>
      </c>
      <c r="C88" s="3584"/>
      <c r="D88" s="1730">
        <f>+E88+F88+G88+H88</f>
        <v>4526316</v>
      </c>
      <c r="E88" s="1702">
        <v>559040</v>
      </c>
      <c r="F88" s="1763">
        <v>967276</v>
      </c>
      <c r="G88" s="1702">
        <v>1050000</v>
      </c>
      <c r="H88" s="1424">
        <f>975000+975000</f>
        <v>1950000</v>
      </c>
      <c r="I88" s="1730">
        <f>F88+K88+E88</f>
        <v>2028540</v>
      </c>
      <c r="J88" s="1291">
        <f t="shared" si="77"/>
        <v>44.816579310856774</v>
      </c>
      <c r="K88" s="1702">
        <v>502224</v>
      </c>
      <c r="L88" s="1291">
        <f>K88/G88*100</f>
        <v>47.830857142857141</v>
      </c>
      <c r="M88" s="1424">
        <f t="shared" si="78"/>
        <v>-22776</v>
      </c>
      <c r="N88" s="3106"/>
    </row>
    <row r="89" spans="1:14" ht="12.95" customHeight="1" x14ac:dyDescent="0.2">
      <c r="A89" s="3582"/>
      <c r="B89" s="279" t="s">
        <v>9</v>
      </c>
      <c r="C89" s="3584"/>
      <c r="D89" s="1730">
        <f>+E89+F89+G89+H89</f>
        <v>313960</v>
      </c>
      <c r="E89" s="1702">
        <f>14897+299063</f>
        <v>313960</v>
      </c>
      <c r="F89" s="280">
        <v>0</v>
      </c>
      <c r="G89" s="280">
        <v>0</v>
      </c>
      <c r="H89" s="1732">
        <v>0</v>
      </c>
      <c r="I89" s="1730">
        <f>F89+K89+E89</f>
        <v>313960</v>
      </c>
      <c r="J89" s="1291">
        <f t="shared" si="77"/>
        <v>100</v>
      </c>
      <c r="K89" s="280">
        <v>0</v>
      </c>
      <c r="L89" s="280">
        <v>0</v>
      </c>
      <c r="M89" s="1732">
        <f t="shared" si="78"/>
        <v>0</v>
      </c>
      <c r="N89" s="3106"/>
    </row>
    <row r="90" spans="1:14" ht="12.95" customHeight="1" thickBot="1" x14ac:dyDescent="0.25">
      <c r="A90" s="3583"/>
      <c r="B90" s="298" t="s">
        <v>14</v>
      </c>
      <c r="C90" s="3585"/>
      <c r="D90" s="289">
        <f>+E90+F90+G90+H90</f>
        <v>53022</v>
      </c>
      <c r="E90" s="288">
        <v>0</v>
      </c>
      <c r="F90" s="1712">
        <v>53022</v>
      </c>
      <c r="G90" s="288">
        <v>0</v>
      </c>
      <c r="H90" s="294">
        <v>0</v>
      </c>
      <c r="I90" s="289">
        <f>F90+K90+E90</f>
        <v>53022</v>
      </c>
      <c r="J90" s="290">
        <f t="shared" si="77"/>
        <v>100</v>
      </c>
      <c r="K90" s="288"/>
      <c r="L90" s="288"/>
      <c r="M90" s="294">
        <f t="shared" si="78"/>
        <v>0</v>
      </c>
      <c r="N90" s="3120"/>
    </row>
    <row r="91" spans="1:14" s="137" customFormat="1" ht="39.75" customHeight="1" x14ac:dyDescent="0.2">
      <c r="A91" s="3586" t="s">
        <v>44</v>
      </c>
      <c r="B91" s="1738" t="s">
        <v>362</v>
      </c>
      <c r="C91" s="1716" t="s">
        <v>193</v>
      </c>
      <c r="D91" s="1210"/>
      <c r="E91" s="688"/>
      <c r="F91" s="688"/>
      <c r="G91" s="688"/>
      <c r="H91" s="1144"/>
      <c r="I91" s="1718"/>
      <c r="J91" s="1719"/>
      <c r="K91" s="1720"/>
      <c r="L91" s="1764"/>
      <c r="M91" s="1717"/>
      <c r="N91" s="3554" t="s">
        <v>199</v>
      </c>
    </row>
    <row r="92" spans="1:14" s="137" customFormat="1" ht="12" customHeight="1" x14ac:dyDescent="0.2">
      <c r="A92" s="3571"/>
      <c r="B92" s="312" t="s">
        <v>3</v>
      </c>
      <c r="C92" s="724"/>
      <c r="D92" s="302">
        <f t="shared" ref="D92:H92" si="82">+D93+D97</f>
        <v>38955.089999999997</v>
      </c>
      <c r="E92" s="304">
        <f t="shared" si="82"/>
        <v>11475</v>
      </c>
      <c r="F92" s="304">
        <f t="shared" si="82"/>
        <v>27480.09</v>
      </c>
      <c r="G92" s="303">
        <f t="shared" si="82"/>
        <v>0</v>
      </c>
      <c r="H92" s="1075">
        <f t="shared" si="82"/>
        <v>0</v>
      </c>
      <c r="I92" s="302">
        <f>I93+I97</f>
        <v>38955.089999999997</v>
      </c>
      <c r="J92" s="1181">
        <f>I92/D92*100</f>
        <v>100</v>
      </c>
      <c r="K92" s="303">
        <f>+K93+K97</f>
        <v>0</v>
      </c>
      <c r="L92" s="1075">
        <v>0</v>
      </c>
      <c r="M92" s="306">
        <f t="shared" si="78"/>
        <v>0</v>
      </c>
      <c r="N92" s="3555"/>
    </row>
    <row r="93" spans="1:14" s="137" customFormat="1" ht="12" customHeight="1" thickBot="1" x14ac:dyDescent="0.25">
      <c r="A93" s="3587"/>
      <c r="B93" s="419" t="s">
        <v>4</v>
      </c>
      <c r="C93" s="3122" t="s">
        <v>197</v>
      </c>
      <c r="D93" s="296">
        <f>+D94+D96+D95</f>
        <v>13592</v>
      </c>
      <c r="E93" s="297">
        <f>SUM(E94:E96)</f>
        <v>2868</v>
      </c>
      <c r="F93" s="297">
        <f>SUM(F94:F96)</f>
        <v>10724</v>
      </c>
      <c r="G93" s="299">
        <f>SUM(G94:G96)</f>
        <v>0</v>
      </c>
      <c r="H93" s="1741">
        <f>SUM(H95:H96)</f>
        <v>0</v>
      </c>
      <c r="I93" s="296">
        <f>I94+I96+I95</f>
        <v>13592</v>
      </c>
      <c r="J93" s="1256">
        <f>I93/D93*100</f>
        <v>100</v>
      </c>
      <c r="K93" s="299">
        <f>K94+K96+K95</f>
        <v>0</v>
      </c>
      <c r="L93" s="1076">
        <v>0</v>
      </c>
      <c r="M93" s="1723">
        <f t="shared" si="78"/>
        <v>0</v>
      </c>
      <c r="N93" s="3556"/>
    </row>
    <row r="94" spans="1:14" s="137" customFormat="1" ht="8.25" hidden="1" customHeight="1" x14ac:dyDescent="0.25">
      <c r="A94" s="3587"/>
      <c r="B94" s="279" t="s">
        <v>5</v>
      </c>
      <c r="C94" s="3122"/>
      <c r="D94" s="1743">
        <f>+E94+F94+G94+H94</f>
        <v>0</v>
      </c>
      <c r="E94" s="1743"/>
      <c r="F94" s="1743"/>
      <c r="G94" s="1745">
        <v>0</v>
      </c>
      <c r="H94" s="1745">
        <v>0</v>
      </c>
      <c r="I94" s="1177"/>
      <c r="J94" s="1743"/>
      <c r="K94" s="1745">
        <v>0</v>
      </c>
      <c r="L94" s="1745"/>
      <c r="M94" s="1727">
        <f t="shared" si="78"/>
        <v>0</v>
      </c>
      <c r="N94" s="3131"/>
    </row>
    <row r="95" spans="1:14" s="137" customFormat="1" ht="12" customHeight="1" x14ac:dyDescent="0.2">
      <c r="A95" s="3570"/>
      <c r="B95" s="279" t="s">
        <v>8</v>
      </c>
      <c r="C95" s="3122"/>
      <c r="D95" s="1730">
        <f>+E95+F95+G95+H95</f>
        <v>10724</v>
      </c>
      <c r="E95" s="1702">
        <v>0</v>
      </c>
      <c r="F95" s="1702">
        <v>10724</v>
      </c>
      <c r="G95" s="280">
        <v>0</v>
      </c>
      <c r="H95" s="1077">
        <v>0</v>
      </c>
      <c r="I95" s="1730">
        <f>F95+K95+E95</f>
        <v>10724</v>
      </c>
      <c r="J95" s="1291">
        <f t="shared" ref="J95:J106" si="83">I95/D95*100</f>
        <v>100</v>
      </c>
      <c r="K95" s="280">
        <v>0</v>
      </c>
      <c r="L95" s="1077">
        <v>0</v>
      </c>
      <c r="M95" s="1732">
        <f t="shared" si="78"/>
        <v>0</v>
      </c>
      <c r="N95" s="3554"/>
    </row>
    <row r="96" spans="1:14" s="137" customFormat="1" ht="12" customHeight="1" x14ac:dyDescent="0.2">
      <c r="A96" s="3571"/>
      <c r="B96" s="279" t="s">
        <v>9</v>
      </c>
      <c r="C96" s="3122"/>
      <c r="D96" s="1730">
        <f>+E96+F96+G96+H96</f>
        <v>2868</v>
      </c>
      <c r="E96" s="1702">
        <v>2868</v>
      </c>
      <c r="F96" s="1702">
        <v>0</v>
      </c>
      <c r="G96" s="280">
        <v>0</v>
      </c>
      <c r="H96" s="1077">
        <v>0</v>
      </c>
      <c r="I96" s="1730">
        <f>F96+K96+E96</f>
        <v>2868</v>
      </c>
      <c r="J96" s="1291">
        <f t="shared" si="83"/>
        <v>100</v>
      </c>
      <c r="K96" s="280">
        <v>0</v>
      </c>
      <c r="L96" s="1077">
        <v>0</v>
      </c>
      <c r="M96" s="1732">
        <f t="shared" si="78"/>
        <v>0</v>
      </c>
      <c r="N96" s="3555"/>
    </row>
    <row r="97" spans="1:14" s="137" customFormat="1" ht="12" customHeight="1" x14ac:dyDescent="0.2">
      <c r="A97" s="3571"/>
      <c r="B97" s="419" t="s">
        <v>13</v>
      </c>
      <c r="C97" s="3122"/>
      <c r="D97" s="296">
        <f>+D99+D98</f>
        <v>25363.09</v>
      </c>
      <c r="E97" s="297">
        <f>E99+E98</f>
        <v>8607</v>
      </c>
      <c r="F97" s="297">
        <f>F99+F98</f>
        <v>16756.09</v>
      </c>
      <c r="G97" s="299">
        <f>G99+G98</f>
        <v>0</v>
      </c>
      <c r="H97" s="1741">
        <f>H99+H98</f>
        <v>0</v>
      </c>
      <c r="I97" s="296">
        <f>I99+I98</f>
        <v>25363.09</v>
      </c>
      <c r="J97" s="1256">
        <f t="shared" si="83"/>
        <v>100</v>
      </c>
      <c r="K97" s="299">
        <f>K99+K98</f>
        <v>0</v>
      </c>
      <c r="L97" s="1076">
        <v>0</v>
      </c>
      <c r="M97" s="1723">
        <f t="shared" si="78"/>
        <v>0</v>
      </c>
      <c r="N97" s="3555"/>
    </row>
    <row r="98" spans="1:14" s="137" customFormat="1" ht="12" customHeight="1" x14ac:dyDescent="0.2">
      <c r="A98" s="3571"/>
      <c r="B98" s="279" t="s">
        <v>15</v>
      </c>
      <c r="C98" s="3122"/>
      <c r="D98" s="1730">
        <f>+E98+F98+G98+H98</f>
        <v>16756.09</v>
      </c>
      <c r="E98" s="1702">
        <v>0</v>
      </c>
      <c r="F98" s="1702">
        <v>16756.09</v>
      </c>
      <c r="G98" s="280">
        <v>0</v>
      </c>
      <c r="H98" s="1077">
        <v>0</v>
      </c>
      <c r="I98" s="1730">
        <f>F98+K98+E98</f>
        <v>16756.09</v>
      </c>
      <c r="J98" s="1291">
        <f t="shared" si="83"/>
        <v>100</v>
      </c>
      <c r="K98" s="280">
        <v>0</v>
      </c>
      <c r="L98" s="1077">
        <v>0</v>
      </c>
      <c r="M98" s="1732">
        <f t="shared" si="78"/>
        <v>0</v>
      </c>
      <c r="N98" s="3555"/>
    </row>
    <row r="99" spans="1:14" s="137" customFormat="1" ht="12" customHeight="1" x14ac:dyDescent="0.2">
      <c r="A99" s="3571"/>
      <c r="B99" s="279" t="s">
        <v>9</v>
      </c>
      <c r="C99" s="3122"/>
      <c r="D99" s="1730">
        <f>+E99+F99+G99+H99</f>
        <v>8607</v>
      </c>
      <c r="E99" s="1702">
        <v>8607</v>
      </c>
      <c r="F99" s="1702">
        <v>0</v>
      </c>
      <c r="G99" s="280">
        <v>0</v>
      </c>
      <c r="H99" s="1077">
        <v>0</v>
      </c>
      <c r="I99" s="1730">
        <f>F99+K99+E99</f>
        <v>8607</v>
      </c>
      <c r="J99" s="1291">
        <f t="shared" si="83"/>
        <v>100</v>
      </c>
      <c r="K99" s="280">
        <v>0</v>
      </c>
      <c r="L99" s="1077">
        <v>0</v>
      </c>
      <c r="M99" s="1732">
        <f t="shared" si="78"/>
        <v>0</v>
      </c>
      <c r="N99" s="3555"/>
    </row>
    <row r="100" spans="1:14" s="137" customFormat="1" ht="12" customHeight="1" x14ac:dyDescent="0.2">
      <c r="A100" s="3571"/>
      <c r="B100" s="312" t="s">
        <v>17</v>
      </c>
      <c r="C100" s="724"/>
      <c r="D100" s="302">
        <f t="shared" ref="D100:H100" si="84">+D101+D104</f>
        <v>38955.089999999997</v>
      </c>
      <c r="E100" s="304">
        <f t="shared" si="84"/>
        <v>11475</v>
      </c>
      <c r="F100" s="304">
        <f t="shared" si="84"/>
        <v>27480.09</v>
      </c>
      <c r="G100" s="303">
        <f t="shared" si="84"/>
        <v>0</v>
      </c>
      <c r="H100" s="1075">
        <f t="shared" si="84"/>
        <v>0</v>
      </c>
      <c r="I100" s="302">
        <f>I101+I104</f>
        <v>38955.089999999997</v>
      </c>
      <c r="J100" s="1181">
        <f t="shared" si="83"/>
        <v>100</v>
      </c>
      <c r="K100" s="303">
        <f>+K101+K104</f>
        <v>0</v>
      </c>
      <c r="L100" s="1075">
        <v>0</v>
      </c>
      <c r="M100" s="306">
        <f t="shared" si="78"/>
        <v>0</v>
      </c>
      <c r="N100" s="3555"/>
    </row>
    <row r="101" spans="1:14" s="137" customFormat="1" ht="12" customHeight="1" x14ac:dyDescent="0.2">
      <c r="A101" s="3571"/>
      <c r="B101" s="419" t="s">
        <v>4</v>
      </c>
      <c r="C101" s="3122" t="s">
        <v>197</v>
      </c>
      <c r="D101" s="296">
        <f>+D103+D102</f>
        <v>13592</v>
      </c>
      <c r="E101" s="297">
        <f>E102+E103</f>
        <v>2868</v>
      </c>
      <c r="F101" s="297">
        <f>F102+F103</f>
        <v>10724</v>
      </c>
      <c r="G101" s="299">
        <f>G102+G103</f>
        <v>0</v>
      </c>
      <c r="H101" s="1741">
        <f>H102</f>
        <v>0</v>
      </c>
      <c r="I101" s="296">
        <f>I103+I102</f>
        <v>13592</v>
      </c>
      <c r="J101" s="1256">
        <f t="shared" si="83"/>
        <v>100</v>
      </c>
      <c r="K101" s="299">
        <f>K103+K102</f>
        <v>0</v>
      </c>
      <c r="L101" s="1076">
        <v>0</v>
      </c>
      <c r="M101" s="1723">
        <f t="shared" si="78"/>
        <v>0</v>
      </c>
      <c r="N101" s="3555"/>
    </row>
    <row r="102" spans="1:14" s="137" customFormat="1" ht="12" customHeight="1" x14ac:dyDescent="0.2">
      <c r="A102" s="3571"/>
      <c r="B102" s="279" t="s">
        <v>8</v>
      </c>
      <c r="C102" s="3122"/>
      <c r="D102" s="1730">
        <f>+E102+F102+G102+H102</f>
        <v>10724</v>
      </c>
      <c r="E102" s="1702">
        <v>0</v>
      </c>
      <c r="F102" s="1702">
        <v>10724</v>
      </c>
      <c r="G102" s="280">
        <v>0</v>
      </c>
      <c r="H102" s="1077">
        <v>0</v>
      </c>
      <c r="I102" s="1730">
        <f>F102+K102+E102</f>
        <v>10724</v>
      </c>
      <c r="J102" s="1291">
        <f t="shared" si="83"/>
        <v>100</v>
      </c>
      <c r="K102" s="280">
        <v>0</v>
      </c>
      <c r="L102" s="1077">
        <v>0</v>
      </c>
      <c r="M102" s="1732">
        <f t="shared" si="78"/>
        <v>0</v>
      </c>
      <c r="N102" s="3555"/>
    </row>
    <row r="103" spans="1:14" s="137" customFormat="1" ht="12" customHeight="1" x14ac:dyDescent="0.2">
      <c r="A103" s="3571"/>
      <c r="B103" s="279" t="s">
        <v>9</v>
      </c>
      <c r="C103" s="3100"/>
      <c r="D103" s="1730">
        <f>+E103+F103+G103+H103</f>
        <v>2868</v>
      </c>
      <c r="E103" s="1702">
        <v>2868</v>
      </c>
      <c r="F103" s="1702">
        <v>0</v>
      </c>
      <c r="G103" s="280">
        <v>0</v>
      </c>
      <c r="H103" s="1077">
        <v>0</v>
      </c>
      <c r="I103" s="1730">
        <f>F103+K103+E103</f>
        <v>2868</v>
      </c>
      <c r="J103" s="1291">
        <f t="shared" si="83"/>
        <v>100</v>
      </c>
      <c r="K103" s="280">
        <v>0</v>
      </c>
      <c r="L103" s="1077">
        <v>0</v>
      </c>
      <c r="M103" s="1732">
        <f t="shared" si="78"/>
        <v>0</v>
      </c>
      <c r="N103" s="3555"/>
    </row>
    <row r="104" spans="1:14" s="137" customFormat="1" ht="12" customHeight="1" x14ac:dyDescent="0.2">
      <c r="A104" s="3571"/>
      <c r="B104" s="419" t="s">
        <v>13</v>
      </c>
      <c r="C104" s="3100"/>
      <c r="D104" s="296">
        <f t="shared" ref="D104:H104" si="85">D105+D106</f>
        <v>25363.09</v>
      </c>
      <c r="E104" s="297">
        <f t="shared" si="85"/>
        <v>8607</v>
      </c>
      <c r="F104" s="297">
        <f t="shared" si="85"/>
        <v>16756.09</v>
      </c>
      <c r="G104" s="299">
        <f t="shared" si="85"/>
        <v>0</v>
      </c>
      <c r="H104" s="1741">
        <f t="shared" si="85"/>
        <v>0</v>
      </c>
      <c r="I104" s="296">
        <f>I106+I105</f>
        <v>25363.09</v>
      </c>
      <c r="J104" s="1256">
        <f t="shared" si="83"/>
        <v>100</v>
      </c>
      <c r="K104" s="299">
        <f>+K106+K105</f>
        <v>0</v>
      </c>
      <c r="L104" s="1076">
        <v>0</v>
      </c>
      <c r="M104" s="1723">
        <f t="shared" si="78"/>
        <v>0</v>
      </c>
      <c r="N104" s="3555"/>
    </row>
    <row r="105" spans="1:14" s="137" customFormat="1" ht="12" customHeight="1" x14ac:dyDescent="0.2">
      <c r="A105" s="3571"/>
      <c r="B105" s="279" t="s">
        <v>15</v>
      </c>
      <c r="C105" s="3100"/>
      <c r="D105" s="1730">
        <f>+E105+F105+G105+H105</f>
        <v>16756.09</v>
      </c>
      <c r="E105" s="1702">
        <v>0</v>
      </c>
      <c r="F105" s="1702">
        <v>16756.09</v>
      </c>
      <c r="G105" s="280">
        <v>0</v>
      </c>
      <c r="H105" s="1077">
        <v>0</v>
      </c>
      <c r="I105" s="1730">
        <f>F105+K105+E105</f>
        <v>16756.09</v>
      </c>
      <c r="J105" s="1291">
        <f t="shared" si="83"/>
        <v>100</v>
      </c>
      <c r="K105" s="280">
        <v>0</v>
      </c>
      <c r="L105" s="1077">
        <v>0</v>
      </c>
      <c r="M105" s="1732">
        <f t="shared" si="78"/>
        <v>0</v>
      </c>
      <c r="N105" s="3555"/>
    </row>
    <row r="106" spans="1:14" s="137" customFormat="1" ht="12" customHeight="1" thickBot="1" x14ac:dyDescent="0.25">
      <c r="A106" s="3588"/>
      <c r="B106" s="298" t="s">
        <v>9</v>
      </c>
      <c r="C106" s="3043"/>
      <c r="D106" s="289">
        <f>+E106+F106+G106+H106</f>
        <v>8607</v>
      </c>
      <c r="E106" s="1712">
        <v>8607</v>
      </c>
      <c r="F106" s="1712">
        <v>0</v>
      </c>
      <c r="G106" s="288">
        <v>0</v>
      </c>
      <c r="H106" s="1079">
        <v>0</v>
      </c>
      <c r="I106" s="289">
        <f>F106+K106+E106</f>
        <v>8607</v>
      </c>
      <c r="J106" s="290">
        <f t="shared" si="83"/>
        <v>100</v>
      </c>
      <c r="K106" s="288">
        <v>0</v>
      </c>
      <c r="L106" s="1079">
        <v>0</v>
      </c>
      <c r="M106" s="294">
        <f t="shared" si="78"/>
        <v>0</v>
      </c>
      <c r="N106" s="3556"/>
    </row>
    <row r="107" spans="1:14" s="689" customFormat="1" ht="39.75" customHeight="1" x14ac:dyDescent="0.2">
      <c r="A107" s="3589" t="s">
        <v>45</v>
      </c>
      <c r="B107" s="1738" t="s">
        <v>200</v>
      </c>
      <c r="C107" s="1716" t="s">
        <v>193</v>
      </c>
      <c r="D107" s="1210"/>
      <c r="E107" s="688"/>
      <c r="F107" s="688"/>
      <c r="G107" s="688"/>
      <c r="H107" s="1144"/>
      <c r="I107" s="1718"/>
      <c r="J107" s="1719"/>
      <c r="K107" s="1720"/>
      <c r="L107" s="1764"/>
      <c r="M107" s="1717"/>
      <c r="N107" s="3554" t="s">
        <v>196</v>
      </c>
    </row>
    <row r="108" spans="1:14" s="690" customFormat="1" ht="13.5" customHeight="1" x14ac:dyDescent="0.2">
      <c r="A108" s="3590"/>
      <c r="B108" s="312" t="s">
        <v>3</v>
      </c>
      <c r="C108" s="724"/>
      <c r="D108" s="302">
        <f t="shared" ref="D108:E108" si="86">+D109+D111</f>
        <v>15220420.82</v>
      </c>
      <c r="E108" s="304">
        <f t="shared" si="86"/>
        <v>629249</v>
      </c>
      <c r="F108" s="1499">
        <f>+F109+F111</f>
        <v>5656221.8200000003</v>
      </c>
      <c r="G108" s="304">
        <f t="shared" ref="G108:H108" si="87">+G109+G111</f>
        <v>3118514</v>
      </c>
      <c r="H108" s="1180">
        <f t="shared" si="87"/>
        <v>5816436</v>
      </c>
      <c r="I108" s="302">
        <f>I109+I111</f>
        <v>6474112.5199999996</v>
      </c>
      <c r="J108" s="1181">
        <f t="shared" ref="J108:J117" si="88">I108/D108*100</f>
        <v>42.535699876923637</v>
      </c>
      <c r="K108" s="304">
        <f>+K109+K111</f>
        <v>188641.7</v>
      </c>
      <c r="L108" s="1740">
        <f t="shared" ref="L108:L115" si="89">K108/G108*100</f>
        <v>6.0490894060440326</v>
      </c>
      <c r="M108" s="1185">
        <f t="shared" si="78"/>
        <v>-1370615.3</v>
      </c>
      <c r="N108" s="3555"/>
    </row>
    <row r="109" spans="1:14" s="690" customFormat="1" ht="13.5" customHeight="1" x14ac:dyDescent="0.2">
      <c r="A109" s="3590"/>
      <c r="B109" s="419" t="s">
        <v>4</v>
      </c>
      <c r="C109" s="3122" t="s">
        <v>195</v>
      </c>
      <c r="D109" s="1750">
        <f>+D110</f>
        <v>7209672.8599999994</v>
      </c>
      <c r="E109" s="1752">
        <v>0</v>
      </c>
      <c r="F109" s="1707">
        <f>F110</f>
        <v>3801776.86</v>
      </c>
      <c r="G109" s="1697">
        <f>SUM(G110:G110)</f>
        <v>2700881</v>
      </c>
      <c r="H109" s="1765">
        <f>SUM(H110:H110)</f>
        <v>707015</v>
      </c>
      <c r="I109" s="296">
        <f>I110</f>
        <v>3952438.86</v>
      </c>
      <c r="J109" s="1751">
        <f t="shared" si="88"/>
        <v>54.821334292829484</v>
      </c>
      <c r="K109" s="1697">
        <f>K110</f>
        <v>150662</v>
      </c>
      <c r="L109" s="1766">
        <f t="shared" si="89"/>
        <v>5.5782539104832827</v>
      </c>
      <c r="M109" s="1762">
        <f t="shared" si="78"/>
        <v>-1199778.5</v>
      </c>
      <c r="N109" s="3555"/>
    </row>
    <row r="110" spans="1:14" s="689" customFormat="1" ht="13.5" customHeight="1" x14ac:dyDescent="0.2">
      <c r="A110" s="3590"/>
      <c r="B110" s="279" t="s">
        <v>11</v>
      </c>
      <c r="C110" s="3591"/>
      <c r="D110" s="1730">
        <f>+E110+F110+G110+H110</f>
        <v>7209672.8599999994</v>
      </c>
      <c r="E110" s="280">
        <v>0</v>
      </c>
      <c r="F110" s="1763">
        <v>3801776.86</v>
      </c>
      <c r="G110" s="1702">
        <v>2700881</v>
      </c>
      <c r="H110" s="1767">
        <f>271930+370675+64410</f>
        <v>707015</v>
      </c>
      <c r="I110" s="1730">
        <f>F110+K110+E110</f>
        <v>3952438.86</v>
      </c>
      <c r="J110" s="1291">
        <f t="shared" si="88"/>
        <v>54.821334292829484</v>
      </c>
      <c r="K110" s="1702">
        <v>150662</v>
      </c>
      <c r="L110" s="1749">
        <f t="shared" si="89"/>
        <v>5.5782539104832827</v>
      </c>
      <c r="M110" s="1424">
        <f t="shared" si="78"/>
        <v>-1199778.5</v>
      </c>
      <c r="N110" s="3555"/>
    </row>
    <row r="111" spans="1:14" s="689" customFormat="1" ht="13.5" customHeight="1" x14ac:dyDescent="0.2">
      <c r="A111" s="3590"/>
      <c r="B111" s="419" t="s">
        <v>13</v>
      </c>
      <c r="C111" s="3591"/>
      <c r="D111" s="1750">
        <f t="shared" ref="D111:E111" si="90">+D112</f>
        <v>8010747.96</v>
      </c>
      <c r="E111" s="1697">
        <f t="shared" si="90"/>
        <v>629249</v>
      </c>
      <c r="F111" s="1707">
        <f>+F112</f>
        <v>1854444.96</v>
      </c>
      <c r="G111" s="1697">
        <f t="shared" ref="G111:I111" si="91">+G112</f>
        <v>417633</v>
      </c>
      <c r="H111" s="1765">
        <f t="shared" si="91"/>
        <v>5109421</v>
      </c>
      <c r="I111" s="296">
        <f t="shared" si="91"/>
        <v>2521673.66</v>
      </c>
      <c r="J111" s="1751">
        <f t="shared" si="88"/>
        <v>31.478629368836121</v>
      </c>
      <c r="K111" s="1697">
        <f>+K112</f>
        <v>37979.699999999997</v>
      </c>
      <c r="L111" s="1766">
        <f t="shared" si="89"/>
        <v>9.0940371091364902</v>
      </c>
      <c r="M111" s="1762">
        <f t="shared" si="78"/>
        <v>-170836.8</v>
      </c>
      <c r="N111" s="3555"/>
    </row>
    <row r="112" spans="1:14" s="689" customFormat="1" ht="13.5" customHeight="1" x14ac:dyDescent="0.2">
      <c r="A112" s="3590"/>
      <c r="B112" s="279" t="s">
        <v>14</v>
      </c>
      <c r="C112" s="3591"/>
      <c r="D112" s="1730">
        <f>+E112+F112+G112+H112</f>
        <v>8010747.96</v>
      </c>
      <c r="E112" s="1702">
        <v>629249</v>
      </c>
      <c r="F112" s="1763">
        <v>1854444.96</v>
      </c>
      <c r="G112" s="1702">
        <v>417633</v>
      </c>
      <c r="H112" s="1767">
        <f>2674973+2013520+420928</f>
        <v>5109421</v>
      </c>
      <c r="I112" s="1730">
        <f>F112+K112+E112</f>
        <v>2521673.66</v>
      </c>
      <c r="J112" s="1291">
        <f t="shared" si="88"/>
        <v>31.478629368836121</v>
      </c>
      <c r="K112" s="1702">
        <v>37979.699999999997</v>
      </c>
      <c r="L112" s="1749">
        <f t="shared" si="89"/>
        <v>9.0940371091364902</v>
      </c>
      <c r="M112" s="1424">
        <f t="shared" si="78"/>
        <v>-170836.8</v>
      </c>
      <c r="N112" s="3555"/>
    </row>
    <row r="113" spans="1:14" s="689" customFormat="1" ht="13.5" customHeight="1" x14ac:dyDescent="0.2">
      <c r="A113" s="3590"/>
      <c r="B113" s="312" t="s">
        <v>17</v>
      </c>
      <c r="C113" s="724"/>
      <c r="D113" s="302">
        <f t="shared" ref="D113:E113" si="92">+D114+D116</f>
        <v>15220421</v>
      </c>
      <c r="E113" s="304">
        <f t="shared" si="92"/>
        <v>3544011</v>
      </c>
      <c r="F113" s="1499">
        <f>F114+F116</f>
        <v>3801777</v>
      </c>
      <c r="G113" s="304">
        <f t="shared" ref="G113:H113" si="93">+G114+G116</f>
        <v>2700881</v>
      </c>
      <c r="H113" s="1180">
        <f t="shared" si="93"/>
        <v>5173752</v>
      </c>
      <c r="I113" s="302">
        <f>I114+I116</f>
        <v>7496450</v>
      </c>
      <c r="J113" s="1181">
        <f t="shared" si="88"/>
        <v>49.252579807089433</v>
      </c>
      <c r="K113" s="304">
        <f>K114+K116</f>
        <v>150662</v>
      </c>
      <c r="L113" s="1740">
        <f t="shared" si="89"/>
        <v>5.5782539104832827</v>
      </c>
      <c r="M113" s="1185">
        <f t="shared" si="78"/>
        <v>-1199778.5</v>
      </c>
      <c r="N113" s="3555"/>
    </row>
    <row r="114" spans="1:14" s="690" customFormat="1" ht="13.5" customHeight="1" x14ac:dyDescent="0.2">
      <c r="A114" s="3590"/>
      <c r="B114" s="419" t="s">
        <v>4</v>
      </c>
      <c r="C114" s="3122" t="s">
        <v>195</v>
      </c>
      <c r="D114" s="1750">
        <f>+D115</f>
        <v>7209673</v>
      </c>
      <c r="E114" s="1752">
        <v>0</v>
      </c>
      <c r="F114" s="1707">
        <f>SUM(F115:F115)</f>
        <v>3801777</v>
      </c>
      <c r="G114" s="1697">
        <f>SUM(G115:G115)</f>
        <v>2700881</v>
      </c>
      <c r="H114" s="1765">
        <f>SUM(H115:H115)</f>
        <v>707015</v>
      </c>
      <c r="I114" s="296">
        <f>I115</f>
        <v>3952439</v>
      </c>
      <c r="J114" s="1256">
        <f t="shared" si="88"/>
        <v>54.821335170124918</v>
      </c>
      <c r="K114" s="297">
        <f>SUM(K115:K115)</f>
        <v>150662</v>
      </c>
      <c r="L114" s="1742">
        <f t="shared" si="89"/>
        <v>5.5782539104832827</v>
      </c>
      <c r="M114" s="1762">
        <f t="shared" si="78"/>
        <v>-1199778.5</v>
      </c>
      <c r="N114" s="3555"/>
    </row>
    <row r="115" spans="1:14" s="689" customFormat="1" ht="13.5" customHeight="1" x14ac:dyDescent="0.2">
      <c r="A115" s="3590"/>
      <c r="B115" s="279" t="s">
        <v>30</v>
      </c>
      <c r="C115" s="3591"/>
      <c r="D115" s="1730">
        <f>+E115+F115+G115+H115</f>
        <v>7209673</v>
      </c>
      <c r="E115" s="280">
        <v>0</v>
      </c>
      <c r="F115" s="1763">
        <v>3801777</v>
      </c>
      <c r="G115" s="1702">
        <v>2700881</v>
      </c>
      <c r="H115" s="1767">
        <f>271930+370675+64410</f>
        <v>707015</v>
      </c>
      <c r="I115" s="1730">
        <f>F115+K115+E115</f>
        <v>3952439</v>
      </c>
      <c r="J115" s="1291">
        <f t="shared" si="88"/>
        <v>54.821335170124918</v>
      </c>
      <c r="K115" s="1702">
        <v>150662</v>
      </c>
      <c r="L115" s="1749">
        <f t="shared" si="89"/>
        <v>5.5782539104832827</v>
      </c>
      <c r="M115" s="1424">
        <f t="shared" si="78"/>
        <v>-1199778.5</v>
      </c>
      <c r="N115" s="3555"/>
    </row>
    <row r="116" spans="1:14" s="689" customFormat="1" ht="13.5" customHeight="1" x14ac:dyDescent="0.2">
      <c r="A116" s="3590"/>
      <c r="B116" s="419" t="s">
        <v>13</v>
      </c>
      <c r="C116" s="3591"/>
      <c r="D116" s="1750">
        <f t="shared" ref="D116:H116" si="94">+D117</f>
        <v>8010748</v>
      </c>
      <c r="E116" s="1697">
        <f t="shared" si="94"/>
        <v>3544011</v>
      </c>
      <c r="F116" s="360">
        <f>F117</f>
        <v>0</v>
      </c>
      <c r="G116" s="1752">
        <f t="shared" si="94"/>
        <v>0</v>
      </c>
      <c r="H116" s="1765">
        <f t="shared" si="94"/>
        <v>4466737</v>
      </c>
      <c r="I116" s="296">
        <f>I117</f>
        <v>3544011</v>
      </c>
      <c r="J116" s="1256">
        <f t="shared" si="88"/>
        <v>44.240700119389601</v>
      </c>
      <c r="K116" s="299">
        <f>K117</f>
        <v>0</v>
      </c>
      <c r="L116" s="1076">
        <v>0</v>
      </c>
      <c r="M116" s="1768">
        <f t="shared" si="78"/>
        <v>0</v>
      </c>
      <c r="N116" s="3555"/>
    </row>
    <row r="117" spans="1:14" s="689" customFormat="1" ht="13.5" customHeight="1" thickBot="1" x14ac:dyDescent="0.25">
      <c r="A117" s="3572"/>
      <c r="B117" s="298" t="s">
        <v>14</v>
      </c>
      <c r="C117" s="3592"/>
      <c r="D117" s="289">
        <f>+E117+F117+G117+H117</f>
        <v>8010748</v>
      </c>
      <c r="E117" s="1712">
        <v>3544011</v>
      </c>
      <c r="F117" s="1769">
        <v>0</v>
      </c>
      <c r="G117" s="288">
        <v>0</v>
      </c>
      <c r="H117" s="1770">
        <f>2403223+2063514</f>
        <v>4466737</v>
      </c>
      <c r="I117" s="289">
        <f>F117+K117+E117</f>
        <v>3544011</v>
      </c>
      <c r="J117" s="290">
        <f t="shared" si="88"/>
        <v>44.240700119389601</v>
      </c>
      <c r="K117" s="288">
        <v>0</v>
      </c>
      <c r="L117" s="1079">
        <v>0</v>
      </c>
      <c r="M117" s="294">
        <f t="shared" si="78"/>
        <v>0</v>
      </c>
      <c r="N117" s="3556"/>
    </row>
    <row r="118" spans="1:14" s="689" customFormat="1" ht="41.25" customHeight="1" thickBot="1" x14ac:dyDescent="0.25">
      <c r="A118" s="3593" t="s">
        <v>46</v>
      </c>
      <c r="B118" s="1738" t="s">
        <v>363</v>
      </c>
      <c r="C118" s="1716" t="s">
        <v>193</v>
      </c>
      <c r="D118" s="1210"/>
      <c r="E118" s="688"/>
      <c r="F118" s="688"/>
      <c r="G118" s="688"/>
      <c r="H118" s="1144"/>
      <c r="I118" s="1718"/>
      <c r="J118" s="1719"/>
      <c r="K118" s="1720"/>
      <c r="L118" s="1764"/>
      <c r="M118" s="1717"/>
      <c r="N118" s="3595" t="s">
        <v>196</v>
      </c>
    </row>
    <row r="119" spans="1:14" s="690" customFormat="1" ht="13.5" customHeight="1" x14ac:dyDescent="0.2">
      <c r="A119" s="3565"/>
      <c r="B119" s="312" t="s">
        <v>3</v>
      </c>
      <c r="C119" s="724"/>
      <c r="D119" s="302">
        <f t="shared" ref="D119:E119" si="95">+D120+D122</f>
        <v>19723223</v>
      </c>
      <c r="E119" s="304">
        <f t="shared" si="95"/>
        <v>0</v>
      </c>
      <c r="F119" s="1499">
        <f>+F120+F122</f>
        <v>333872</v>
      </c>
      <c r="G119" s="304">
        <f t="shared" ref="G119:H119" si="96">+G120+G122</f>
        <v>3148327</v>
      </c>
      <c r="H119" s="1180">
        <f t="shared" si="96"/>
        <v>16241024</v>
      </c>
      <c r="I119" s="302">
        <f>I120+I122</f>
        <v>478814.28</v>
      </c>
      <c r="J119" s="1181">
        <f t="shared" ref="J119:J128" si="97">I119/D119*100</f>
        <v>2.4276675267526002</v>
      </c>
      <c r="K119" s="304">
        <f>+K120+K122</f>
        <v>144942.28</v>
      </c>
      <c r="L119" s="1740">
        <f t="shared" ref="L119:L126" si="98">K119/G119*100</f>
        <v>4.6037873448342568</v>
      </c>
      <c r="M119" s="1185">
        <f t="shared" si="78"/>
        <v>-1429221.22</v>
      </c>
      <c r="N119" s="3121"/>
    </row>
    <row r="120" spans="1:14" s="690" customFormat="1" ht="13.5" customHeight="1" x14ac:dyDescent="0.2">
      <c r="A120" s="3566"/>
      <c r="B120" s="419" t="s">
        <v>4</v>
      </c>
      <c r="C120" s="3122" t="s">
        <v>195</v>
      </c>
      <c r="D120" s="1750">
        <f>+D121</f>
        <v>9342571</v>
      </c>
      <c r="E120" s="1697">
        <v>0</v>
      </c>
      <c r="F120" s="360">
        <f>F121</f>
        <v>0</v>
      </c>
      <c r="G120" s="1697">
        <f>SUM(G121:G121)</f>
        <v>2335159</v>
      </c>
      <c r="H120" s="1765">
        <f>SUM(H121:H121)</f>
        <v>7007412</v>
      </c>
      <c r="I120" s="296">
        <f>I121</f>
        <v>0</v>
      </c>
      <c r="J120" s="1256">
        <f t="shared" si="97"/>
        <v>0</v>
      </c>
      <c r="K120" s="1697">
        <f>K121</f>
        <v>0</v>
      </c>
      <c r="L120" s="1742">
        <f t="shared" si="98"/>
        <v>0</v>
      </c>
      <c r="M120" s="1762">
        <f t="shared" si="78"/>
        <v>-1167579.5</v>
      </c>
      <c r="N120" s="3106"/>
    </row>
    <row r="121" spans="1:14" s="689" customFormat="1" ht="13.5" customHeight="1" x14ac:dyDescent="0.2">
      <c r="A121" s="3566"/>
      <c r="B121" s="279" t="s">
        <v>11</v>
      </c>
      <c r="C121" s="3591"/>
      <c r="D121" s="1730">
        <f>+E121+F121+G121+H121</f>
        <v>9342571</v>
      </c>
      <c r="E121" s="1702">
        <v>0</v>
      </c>
      <c r="F121" s="1755">
        <v>0</v>
      </c>
      <c r="G121" s="1702">
        <v>2335159</v>
      </c>
      <c r="H121" s="1767">
        <f>9342571-2335159</f>
        <v>7007412</v>
      </c>
      <c r="I121" s="1730">
        <f>F121+K121+E121</f>
        <v>0</v>
      </c>
      <c r="J121" s="1291">
        <f t="shared" si="97"/>
        <v>0</v>
      </c>
      <c r="K121" s="1702">
        <v>0</v>
      </c>
      <c r="L121" s="1749">
        <f t="shared" si="98"/>
        <v>0</v>
      </c>
      <c r="M121" s="1424">
        <f t="shared" si="78"/>
        <v>-1167579.5</v>
      </c>
      <c r="N121" s="3106"/>
    </row>
    <row r="122" spans="1:14" s="689" customFormat="1" ht="13.5" customHeight="1" x14ac:dyDescent="0.2">
      <c r="A122" s="3566"/>
      <c r="B122" s="419" t="s">
        <v>13</v>
      </c>
      <c r="C122" s="3591"/>
      <c r="D122" s="1750">
        <f t="shared" ref="D122:E122" si="99">+D123</f>
        <v>10380652</v>
      </c>
      <c r="E122" s="1697">
        <f t="shared" si="99"/>
        <v>0</v>
      </c>
      <c r="F122" s="1707">
        <f>+F123</f>
        <v>333872</v>
      </c>
      <c r="G122" s="1697">
        <f t="shared" ref="G122:I122" si="100">+G123</f>
        <v>813168</v>
      </c>
      <c r="H122" s="1765">
        <f t="shared" si="100"/>
        <v>9233612</v>
      </c>
      <c r="I122" s="296">
        <f t="shared" si="100"/>
        <v>478814.28</v>
      </c>
      <c r="J122" s="1256">
        <f t="shared" si="97"/>
        <v>4.612564605768501</v>
      </c>
      <c r="K122" s="1697">
        <f>+K123</f>
        <v>144942.28</v>
      </c>
      <c r="L122" s="1742">
        <f t="shared" si="98"/>
        <v>17.824395450878537</v>
      </c>
      <c r="M122" s="1762">
        <f t="shared" si="78"/>
        <v>-261641.72</v>
      </c>
      <c r="N122" s="3106"/>
    </row>
    <row r="123" spans="1:14" s="689" customFormat="1" ht="13.5" customHeight="1" x14ac:dyDescent="0.2">
      <c r="A123" s="3566"/>
      <c r="B123" s="279" t="s">
        <v>14</v>
      </c>
      <c r="C123" s="3591"/>
      <c r="D123" s="1730">
        <f>+E123+F123+G123+H123</f>
        <v>10380652</v>
      </c>
      <c r="E123" s="1702">
        <v>0</v>
      </c>
      <c r="F123" s="1763">
        <v>333872</v>
      </c>
      <c r="G123" s="1702">
        <v>813168</v>
      </c>
      <c r="H123" s="1767">
        <f>10046780-813168</f>
        <v>9233612</v>
      </c>
      <c r="I123" s="1730">
        <f>F123+K123+E123</f>
        <v>478814.28</v>
      </c>
      <c r="J123" s="1291">
        <f t="shared" si="97"/>
        <v>4.612564605768501</v>
      </c>
      <c r="K123" s="1702">
        <v>144942.28</v>
      </c>
      <c r="L123" s="1749">
        <f t="shared" si="98"/>
        <v>17.824395450878537</v>
      </c>
      <c r="M123" s="1424">
        <f t="shared" si="78"/>
        <v>-261641.72</v>
      </c>
      <c r="N123" s="3106"/>
    </row>
    <row r="124" spans="1:14" s="689" customFormat="1" ht="13.5" customHeight="1" x14ac:dyDescent="0.2">
      <c r="A124" s="3566"/>
      <c r="B124" s="312" t="s">
        <v>17</v>
      </c>
      <c r="C124" s="724"/>
      <c r="D124" s="302">
        <f t="shared" ref="D124:E124" si="101">+D125+D127</f>
        <v>19723223</v>
      </c>
      <c r="E124" s="304">
        <f t="shared" si="101"/>
        <v>0</v>
      </c>
      <c r="F124" s="1499">
        <f>F125+F127</f>
        <v>4405356</v>
      </c>
      <c r="G124" s="304">
        <f t="shared" ref="G124:H124" si="102">+G125+G127</f>
        <v>2335159</v>
      </c>
      <c r="H124" s="1180">
        <f t="shared" si="102"/>
        <v>12982708</v>
      </c>
      <c r="I124" s="302">
        <f>I125+I127</f>
        <v>4405356</v>
      </c>
      <c r="J124" s="1181">
        <f t="shared" si="97"/>
        <v>22.335882933534748</v>
      </c>
      <c r="K124" s="304">
        <f>K125+K127</f>
        <v>0</v>
      </c>
      <c r="L124" s="1740">
        <f t="shared" si="98"/>
        <v>0</v>
      </c>
      <c r="M124" s="1185">
        <f t="shared" si="78"/>
        <v>-1167579.5</v>
      </c>
      <c r="N124" s="3106"/>
    </row>
    <row r="125" spans="1:14" s="690" customFormat="1" ht="13.5" customHeight="1" x14ac:dyDescent="0.2">
      <c r="A125" s="3566"/>
      <c r="B125" s="419" t="s">
        <v>4</v>
      </c>
      <c r="C125" s="3122" t="s">
        <v>195</v>
      </c>
      <c r="D125" s="1750">
        <f>+D126</f>
        <v>9342571</v>
      </c>
      <c r="E125" s="1697">
        <v>0</v>
      </c>
      <c r="F125" s="360">
        <f>SUM(F126:F126)</f>
        <v>0</v>
      </c>
      <c r="G125" s="1697">
        <f>SUM(G126:G126)</f>
        <v>2335159</v>
      </c>
      <c r="H125" s="1765">
        <f>SUM(H126:H126)</f>
        <v>7007412</v>
      </c>
      <c r="I125" s="296">
        <f>I126</f>
        <v>0</v>
      </c>
      <c r="J125" s="1256">
        <f t="shared" si="97"/>
        <v>0</v>
      </c>
      <c r="K125" s="297">
        <f>SUM(K126:K126)</f>
        <v>0</v>
      </c>
      <c r="L125" s="1742">
        <f t="shared" si="98"/>
        <v>0</v>
      </c>
      <c r="M125" s="1762">
        <f t="shared" si="78"/>
        <v>-1167579.5</v>
      </c>
      <c r="N125" s="3106"/>
    </row>
    <row r="126" spans="1:14" s="689" customFormat="1" ht="13.5" customHeight="1" x14ac:dyDescent="0.2">
      <c r="A126" s="3566"/>
      <c r="B126" s="279" t="s">
        <v>30</v>
      </c>
      <c r="C126" s="3591"/>
      <c r="D126" s="1730">
        <f>+E126+F126+G126+H126</f>
        <v>9342571</v>
      </c>
      <c r="E126" s="1702">
        <v>0</v>
      </c>
      <c r="F126" s="1755">
        <v>0</v>
      </c>
      <c r="G126" s="1702">
        <v>2335159</v>
      </c>
      <c r="H126" s="1767">
        <f>3719572+129366+2898095+260379</f>
        <v>7007412</v>
      </c>
      <c r="I126" s="1730">
        <f>F126+K126+E126</f>
        <v>0</v>
      </c>
      <c r="J126" s="1291">
        <f t="shared" si="97"/>
        <v>0</v>
      </c>
      <c r="K126" s="1702">
        <v>0</v>
      </c>
      <c r="L126" s="1749">
        <f t="shared" si="98"/>
        <v>0</v>
      </c>
      <c r="M126" s="1424">
        <f t="shared" si="78"/>
        <v>-1167579.5</v>
      </c>
      <c r="N126" s="3106"/>
    </row>
    <row r="127" spans="1:14" s="689" customFormat="1" ht="13.5" customHeight="1" x14ac:dyDescent="0.2">
      <c r="A127" s="3566"/>
      <c r="B127" s="419" t="s">
        <v>13</v>
      </c>
      <c r="C127" s="3591"/>
      <c r="D127" s="1750">
        <f t="shared" ref="D127:H127" si="103">+D128</f>
        <v>10380652</v>
      </c>
      <c r="E127" s="1697">
        <f t="shared" si="103"/>
        <v>0</v>
      </c>
      <c r="F127" s="1707">
        <f>+F128</f>
        <v>4405356</v>
      </c>
      <c r="G127" s="1697">
        <f t="shared" si="103"/>
        <v>0</v>
      </c>
      <c r="H127" s="1765">
        <f t="shared" si="103"/>
        <v>5975296</v>
      </c>
      <c r="I127" s="296">
        <f>I128</f>
        <v>4405356</v>
      </c>
      <c r="J127" s="1256">
        <f t="shared" si="97"/>
        <v>42.438143577108647</v>
      </c>
      <c r="K127" s="299">
        <f>+K128</f>
        <v>0</v>
      </c>
      <c r="L127" s="1076">
        <v>0</v>
      </c>
      <c r="M127" s="1762">
        <f t="shared" si="78"/>
        <v>0</v>
      </c>
      <c r="N127" s="3106"/>
    </row>
    <row r="128" spans="1:14" s="689" customFormat="1" ht="13.5" customHeight="1" thickBot="1" x14ac:dyDescent="0.25">
      <c r="A128" s="3594"/>
      <c r="B128" s="298" t="s">
        <v>14</v>
      </c>
      <c r="C128" s="3592"/>
      <c r="D128" s="289">
        <f>+E128+F128+G128+H128</f>
        <v>10380652</v>
      </c>
      <c r="E128" s="1712">
        <v>0</v>
      </c>
      <c r="F128" s="1771">
        <v>4405356</v>
      </c>
      <c r="G128" s="1712">
        <v>0</v>
      </c>
      <c r="H128" s="1770">
        <f>4152261+1823035</f>
        <v>5975296</v>
      </c>
      <c r="I128" s="289">
        <f>F128+K128+E128</f>
        <v>4405356</v>
      </c>
      <c r="J128" s="290">
        <f t="shared" si="97"/>
        <v>42.438143577108647</v>
      </c>
      <c r="K128" s="288">
        <v>0</v>
      </c>
      <c r="L128" s="1079">
        <v>0</v>
      </c>
      <c r="M128" s="1428">
        <f t="shared" si="78"/>
        <v>0</v>
      </c>
      <c r="N128" s="3120"/>
    </row>
    <row r="129" spans="1:14" s="689" customFormat="1" ht="39" customHeight="1" x14ac:dyDescent="0.2">
      <c r="A129" s="3596" t="s">
        <v>47</v>
      </c>
      <c r="B129" s="1772" t="s">
        <v>364</v>
      </c>
      <c r="C129" s="1773" t="s">
        <v>193</v>
      </c>
      <c r="D129" s="1774"/>
      <c r="E129" s="1775"/>
      <c r="F129" s="1775"/>
      <c r="G129" s="1775"/>
      <c r="H129" s="1776"/>
      <c r="I129" s="1777"/>
      <c r="J129" s="1778"/>
      <c r="K129" s="1779"/>
      <c r="L129" s="1780"/>
      <c r="M129" s="1781"/>
      <c r="N129" s="3119" t="s">
        <v>194</v>
      </c>
    </row>
    <row r="130" spans="1:14" s="690" customFormat="1" ht="13.5" customHeight="1" thickBot="1" x14ac:dyDescent="0.25">
      <c r="A130" s="3567"/>
      <c r="B130" s="312" t="s">
        <v>3</v>
      </c>
      <c r="C130" s="724"/>
      <c r="D130" s="302">
        <f t="shared" ref="D130:E130" si="104">+D131+D133</f>
        <v>130802037.22</v>
      </c>
      <c r="E130" s="304">
        <f t="shared" si="104"/>
        <v>68945235</v>
      </c>
      <c r="F130" s="1499">
        <f>+F131+F133</f>
        <v>29669758.219999999</v>
      </c>
      <c r="G130" s="304">
        <f t="shared" ref="G130:H130" si="105">+G131+G133</f>
        <v>17479000</v>
      </c>
      <c r="H130" s="1180">
        <f t="shared" si="105"/>
        <v>14708044</v>
      </c>
      <c r="I130" s="302">
        <f t="shared" ref="I130" si="106">+I131+I133</f>
        <v>106484626.92</v>
      </c>
      <c r="J130" s="1181">
        <f t="shared" ref="J130:J161" si="107">I130/D130*100</f>
        <v>81.408997278001266</v>
      </c>
      <c r="K130" s="304">
        <f>+K131+K133</f>
        <v>7869633.6999999993</v>
      </c>
      <c r="L130" s="1740">
        <f>K130/G130*100</f>
        <v>45.023363464729101</v>
      </c>
      <c r="M130" s="1185">
        <f t="shared" si="78"/>
        <v>-869866.30000000075</v>
      </c>
      <c r="N130" s="3120"/>
    </row>
    <row r="131" spans="1:14" s="690" customFormat="1" ht="12.75" customHeight="1" x14ac:dyDescent="0.2">
      <c r="A131" s="3589"/>
      <c r="B131" s="419" t="s">
        <v>4</v>
      </c>
      <c r="C131" s="3122" t="s">
        <v>195</v>
      </c>
      <c r="D131" s="1750">
        <f>+D132</f>
        <v>50601375.890000001</v>
      </c>
      <c r="E131" s="1697">
        <f>+E132</f>
        <v>26462425</v>
      </c>
      <c r="F131" s="1707">
        <f>SUM(F132:F132)</f>
        <v>11493754.890000001</v>
      </c>
      <c r="G131" s="1697">
        <f>SUM(G132:G132)</f>
        <v>6552000</v>
      </c>
      <c r="H131" s="1765">
        <f>SUM(H132:H132)</f>
        <v>6093196</v>
      </c>
      <c r="I131" s="296">
        <f>I132</f>
        <v>40974802.700000003</v>
      </c>
      <c r="J131" s="1256">
        <f t="shared" si="107"/>
        <v>80.975669098550284</v>
      </c>
      <c r="K131" s="1697">
        <f>SUM(K132:K132)</f>
        <v>3018622.81</v>
      </c>
      <c r="L131" s="1742">
        <f>K131/G131*100</f>
        <v>46.071776709401711</v>
      </c>
      <c r="M131" s="1762">
        <f t="shared" si="78"/>
        <v>-257377.18999999994</v>
      </c>
      <c r="N131" s="3554"/>
    </row>
    <row r="132" spans="1:14" s="689" customFormat="1" ht="12.75" customHeight="1" x14ac:dyDescent="0.2">
      <c r="A132" s="3590"/>
      <c r="B132" s="279" t="s">
        <v>9</v>
      </c>
      <c r="C132" s="3100"/>
      <c r="D132" s="1730">
        <f>+E132+F132+G132+H132</f>
        <v>50601375.890000001</v>
      </c>
      <c r="E132" s="1702">
        <f>5317203+9351074-2530+11796678</f>
        <v>26462425</v>
      </c>
      <c r="F132" s="1763">
        <v>11493754.890000001</v>
      </c>
      <c r="G132" s="1702">
        <v>6552000</v>
      </c>
      <c r="H132" s="1767">
        <f>6093196</f>
        <v>6093196</v>
      </c>
      <c r="I132" s="1730">
        <f>F132+K132+E132</f>
        <v>40974802.700000003</v>
      </c>
      <c r="J132" s="1291">
        <f t="shared" si="107"/>
        <v>80.975669098550284</v>
      </c>
      <c r="K132" s="1702">
        <v>3018622.81</v>
      </c>
      <c r="L132" s="1749">
        <f>K132/G132*100</f>
        <v>46.071776709401711</v>
      </c>
      <c r="M132" s="1424">
        <f t="shared" si="78"/>
        <v>-257377.18999999994</v>
      </c>
      <c r="N132" s="3555"/>
    </row>
    <row r="133" spans="1:14" s="689" customFormat="1" ht="12.75" customHeight="1" x14ac:dyDescent="0.2">
      <c r="A133" s="3590"/>
      <c r="B133" s="419" t="s">
        <v>13</v>
      </c>
      <c r="C133" s="3100"/>
      <c r="D133" s="1750">
        <f t="shared" ref="D133:E133" si="108">+D135+D134</f>
        <v>80200661.329999998</v>
      </c>
      <c r="E133" s="1697">
        <f t="shared" si="108"/>
        <v>42482810</v>
      </c>
      <c r="F133" s="1707">
        <f>+F135+F134</f>
        <v>18176003.329999998</v>
      </c>
      <c r="G133" s="1697">
        <f t="shared" ref="G133:H133" si="109">+G135+G134</f>
        <v>10927000</v>
      </c>
      <c r="H133" s="1765">
        <f t="shared" si="109"/>
        <v>8614848</v>
      </c>
      <c r="I133" s="296">
        <f t="shared" ref="I133" si="110">+I135+I134</f>
        <v>65509824.219999999</v>
      </c>
      <c r="J133" s="1256">
        <f t="shared" si="107"/>
        <v>81.682399039638938</v>
      </c>
      <c r="K133" s="1697">
        <f>+K135+K134</f>
        <v>4851010.8899999997</v>
      </c>
      <c r="L133" s="1742">
        <f>K133/G133*100</f>
        <v>44.394718495469931</v>
      </c>
      <c r="M133" s="1762">
        <f t="shared" si="78"/>
        <v>-612489.11000000034</v>
      </c>
      <c r="N133" s="3555"/>
    </row>
    <row r="134" spans="1:14" s="689" customFormat="1" ht="12.75" customHeight="1" x14ac:dyDescent="0.2">
      <c r="A134" s="3590"/>
      <c r="B134" s="627" t="s">
        <v>15</v>
      </c>
      <c r="C134" s="3100"/>
      <c r="D134" s="1730">
        <f>+E134+F134+G134+H134</f>
        <v>56150160.329999998</v>
      </c>
      <c r="E134" s="1702">
        <v>18432309</v>
      </c>
      <c r="F134" s="1763">
        <v>18176003.329999998</v>
      </c>
      <c r="G134" s="1702">
        <v>10927000</v>
      </c>
      <c r="H134" s="1767">
        <v>8614848</v>
      </c>
      <c r="I134" s="1730">
        <f>F134+K134+E134</f>
        <v>41459323.219999999</v>
      </c>
      <c r="J134" s="1291">
        <f t="shared" si="107"/>
        <v>73.836517966003115</v>
      </c>
      <c r="K134" s="1702">
        <v>4851010.8899999997</v>
      </c>
      <c r="L134" s="1749">
        <f>K134/G134*100</f>
        <v>44.394718495469931</v>
      </c>
      <c r="M134" s="1424">
        <f t="shared" si="78"/>
        <v>-612489.11000000034</v>
      </c>
      <c r="N134" s="3555"/>
    </row>
    <row r="135" spans="1:14" s="689" customFormat="1" ht="12.75" customHeight="1" x14ac:dyDescent="0.2">
      <c r="A135" s="3590"/>
      <c r="B135" s="279" t="s">
        <v>9</v>
      </c>
      <c r="C135" s="3100"/>
      <c r="D135" s="1730">
        <f>+E135+F135+G135+H135</f>
        <v>24050501</v>
      </c>
      <c r="E135" s="1702">
        <f>9132612+14921926-4037</f>
        <v>24050501</v>
      </c>
      <c r="F135" s="1755">
        <v>0</v>
      </c>
      <c r="G135" s="280">
        <v>0</v>
      </c>
      <c r="H135" s="1077">
        <v>0</v>
      </c>
      <c r="I135" s="1730">
        <f>F135+K135+E135</f>
        <v>24050501</v>
      </c>
      <c r="J135" s="1291">
        <f t="shared" si="107"/>
        <v>100</v>
      </c>
      <c r="K135" s="280">
        <v>0</v>
      </c>
      <c r="L135" s="1077">
        <v>0</v>
      </c>
      <c r="M135" s="1732">
        <f t="shared" si="78"/>
        <v>0</v>
      </c>
      <c r="N135" s="3555"/>
    </row>
    <row r="136" spans="1:14" s="689" customFormat="1" ht="13.5" customHeight="1" x14ac:dyDescent="0.2">
      <c r="A136" s="3590"/>
      <c r="B136" s="312" t="s">
        <v>17</v>
      </c>
      <c r="C136" s="724"/>
      <c r="D136" s="302">
        <f t="shared" ref="D136:E136" si="111">+D137+D140</f>
        <v>130802037.22</v>
      </c>
      <c r="E136" s="304">
        <f t="shared" si="111"/>
        <v>68945235</v>
      </c>
      <c r="F136" s="1496">
        <f>+F137+F140</f>
        <v>29669758.219999999</v>
      </c>
      <c r="G136" s="304">
        <f t="shared" ref="G136:H136" si="112">+G137+G140</f>
        <v>17479000</v>
      </c>
      <c r="H136" s="1180">
        <f t="shared" si="112"/>
        <v>14708044</v>
      </c>
      <c r="I136" s="302">
        <f>+I137+I140</f>
        <v>106484627.22</v>
      </c>
      <c r="J136" s="1181">
        <f t="shared" si="107"/>
        <v>81.40899750735548</v>
      </c>
      <c r="K136" s="304">
        <f>+K137+K140</f>
        <v>7869634</v>
      </c>
      <c r="L136" s="1740">
        <f t="shared" ref="L136:L141" si="113">K136/G136*100</f>
        <v>45.023365181074432</v>
      </c>
      <c r="M136" s="1185">
        <f t="shared" si="78"/>
        <v>-869866</v>
      </c>
      <c r="N136" s="3555"/>
    </row>
    <row r="137" spans="1:14" s="137" customFormat="1" ht="12.75" customHeight="1" x14ac:dyDescent="0.2">
      <c r="A137" s="3590"/>
      <c r="B137" s="419" t="s">
        <v>4</v>
      </c>
      <c r="C137" s="3122" t="s">
        <v>195</v>
      </c>
      <c r="D137" s="296">
        <f>+D138</f>
        <v>50601375.890000001</v>
      </c>
      <c r="E137" s="297">
        <f>+E138</f>
        <v>26462425</v>
      </c>
      <c r="F137" s="1706">
        <f>SUM(F138:F138)</f>
        <v>11493754.890000001</v>
      </c>
      <c r="G137" s="297">
        <f>SUM(G138:G138)</f>
        <v>6552000</v>
      </c>
      <c r="H137" s="1782">
        <f>SUM(H138:H138)</f>
        <v>6093196</v>
      </c>
      <c r="I137" s="296">
        <f>SUM(I138:I138)</f>
        <v>40974802.890000001</v>
      </c>
      <c r="J137" s="1256">
        <f t="shared" si="107"/>
        <v>80.975669474034135</v>
      </c>
      <c r="K137" s="297">
        <f>SUM(K138:K138)</f>
        <v>3018623</v>
      </c>
      <c r="L137" s="1742">
        <f t="shared" si="113"/>
        <v>46.071779609279609</v>
      </c>
      <c r="M137" s="1423">
        <f t="shared" si="78"/>
        <v>-257377</v>
      </c>
      <c r="N137" s="3555"/>
    </row>
    <row r="138" spans="1:14" s="137" customFormat="1" ht="12.75" customHeight="1" thickBot="1" x14ac:dyDescent="0.25">
      <c r="A138" s="3590"/>
      <c r="B138" s="1783" t="s">
        <v>9</v>
      </c>
      <c r="C138" s="3100"/>
      <c r="D138" s="1730">
        <f>+E138+F138+G138+H138</f>
        <v>50601375.890000001</v>
      </c>
      <c r="E138" s="1702">
        <f>5317203+9351074-2530+11796678</f>
        <v>26462425</v>
      </c>
      <c r="F138" s="1744">
        <v>11493754.890000001</v>
      </c>
      <c r="G138" s="1702">
        <v>6552000</v>
      </c>
      <c r="H138" s="1767">
        <f>6093196</f>
        <v>6093196</v>
      </c>
      <c r="I138" s="1730">
        <f>F138+K138+E138</f>
        <v>40974802.890000001</v>
      </c>
      <c r="J138" s="1291">
        <f t="shared" si="107"/>
        <v>80.975669474034135</v>
      </c>
      <c r="K138" s="1702">
        <v>3018623</v>
      </c>
      <c r="L138" s="1749">
        <f t="shared" si="113"/>
        <v>46.071779609279609</v>
      </c>
      <c r="M138" s="1424">
        <f t="shared" ref="M138:M201" si="114">+K138-G138*0.5</f>
        <v>-257377</v>
      </c>
      <c r="N138" s="3555"/>
    </row>
    <row r="139" spans="1:14" s="137" customFormat="1" ht="12.75" hidden="1" customHeight="1" thickBot="1" x14ac:dyDescent="0.25">
      <c r="A139" s="3597"/>
      <c r="B139" s="279" t="s">
        <v>15</v>
      </c>
      <c r="C139" s="3100"/>
      <c r="D139" s="1743">
        <f>+E139+F139+G139+H139</f>
        <v>0</v>
      </c>
      <c r="E139" s="1743"/>
      <c r="F139" s="1744"/>
      <c r="G139" s="1743"/>
      <c r="H139" s="1743"/>
      <c r="I139" s="1746" t="e">
        <f>#REF!+K139+#REF!</f>
        <v>#REF!</v>
      </c>
      <c r="J139" s="1747" t="e">
        <f t="shared" si="107"/>
        <v>#REF!</v>
      </c>
      <c r="K139" s="1744"/>
      <c r="L139" s="1748" t="e">
        <f t="shared" si="113"/>
        <v>#DIV/0!</v>
      </c>
      <c r="M139" s="1728">
        <f t="shared" si="114"/>
        <v>0</v>
      </c>
      <c r="N139" s="3556"/>
    </row>
    <row r="140" spans="1:14" s="137" customFormat="1" ht="12.75" customHeight="1" x14ac:dyDescent="0.2">
      <c r="A140" s="3589"/>
      <c r="B140" s="419" t="s">
        <v>13</v>
      </c>
      <c r="C140" s="3100"/>
      <c r="D140" s="296">
        <f t="shared" ref="D140:I140" si="115">+D142+D141</f>
        <v>80200661.329999998</v>
      </c>
      <c r="E140" s="297">
        <f t="shared" si="115"/>
        <v>42482810</v>
      </c>
      <c r="F140" s="1706">
        <f>+F142+F141</f>
        <v>18176003.329999998</v>
      </c>
      <c r="G140" s="297">
        <f t="shared" ref="G140:H140" si="116">+G142+G141</f>
        <v>10927000</v>
      </c>
      <c r="H140" s="1782">
        <f t="shared" si="116"/>
        <v>8614848</v>
      </c>
      <c r="I140" s="296">
        <f t="shared" si="115"/>
        <v>65509824.329999998</v>
      </c>
      <c r="J140" s="1256">
        <f t="shared" si="107"/>
        <v>81.682399176794917</v>
      </c>
      <c r="K140" s="297">
        <f>+K142+K141</f>
        <v>4851011</v>
      </c>
      <c r="L140" s="1742">
        <f t="shared" si="113"/>
        <v>44.394719502150636</v>
      </c>
      <c r="M140" s="1423">
        <f t="shared" si="114"/>
        <v>-612489</v>
      </c>
      <c r="N140" s="3554"/>
    </row>
    <row r="141" spans="1:14" s="137" customFormat="1" ht="12.75" customHeight="1" x14ac:dyDescent="0.2">
      <c r="A141" s="3590"/>
      <c r="B141" s="627" t="s">
        <v>15</v>
      </c>
      <c r="C141" s="3100"/>
      <c r="D141" s="1730">
        <f>+E141+F141+G141+H141</f>
        <v>56150160.329999998</v>
      </c>
      <c r="E141" s="1702">
        <v>18432309</v>
      </c>
      <c r="F141" s="1744">
        <v>18176003.329999998</v>
      </c>
      <c r="G141" s="1702">
        <v>10927000</v>
      </c>
      <c r="H141" s="1767">
        <v>8614848</v>
      </c>
      <c r="I141" s="1730">
        <f>F141+K141+E141</f>
        <v>41459323.329999998</v>
      </c>
      <c r="J141" s="1291">
        <f t="shared" si="107"/>
        <v>73.836518161906369</v>
      </c>
      <c r="K141" s="1702">
        <v>4851011</v>
      </c>
      <c r="L141" s="1749">
        <f t="shared" si="113"/>
        <v>44.394719502150636</v>
      </c>
      <c r="M141" s="1424">
        <f t="shared" si="114"/>
        <v>-612489</v>
      </c>
      <c r="N141" s="3555"/>
    </row>
    <row r="142" spans="1:14" s="137" customFormat="1" ht="12.75" customHeight="1" thickBot="1" x14ac:dyDescent="0.25">
      <c r="A142" s="3572"/>
      <c r="B142" s="298" t="s">
        <v>9</v>
      </c>
      <c r="C142" s="3043"/>
      <c r="D142" s="289">
        <f>+E142+F142+G142+H142</f>
        <v>24050501</v>
      </c>
      <c r="E142" s="1712">
        <f>9132612+14921926-4037</f>
        <v>24050501</v>
      </c>
      <c r="F142" s="525">
        <v>0</v>
      </c>
      <c r="G142" s="288">
        <v>0</v>
      </c>
      <c r="H142" s="1079">
        <v>0</v>
      </c>
      <c r="I142" s="289">
        <f>F142+K142+E142</f>
        <v>24050501</v>
      </c>
      <c r="J142" s="290">
        <f t="shared" si="107"/>
        <v>100</v>
      </c>
      <c r="K142" s="288">
        <v>0</v>
      </c>
      <c r="L142" s="1079">
        <v>0</v>
      </c>
      <c r="M142" s="294">
        <f t="shared" si="114"/>
        <v>0</v>
      </c>
      <c r="N142" s="3556"/>
    </row>
    <row r="143" spans="1:14" s="689" customFormat="1" ht="64.5" hidden="1" thickBot="1" x14ac:dyDescent="0.25">
      <c r="A143" s="3570" t="s">
        <v>45</v>
      </c>
      <c r="B143" s="1363" t="s">
        <v>201</v>
      </c>
      <c r="C143" s="1364"/>
      <c r="D143" s="767"/>
      <c r="E143" s="1365"/>
      <c r="F143" s="1365"/>
      <c r="G143" s="1365"/>
      <c r="H143" s="1366"/>
      <c r="I143" s="770"/>
      <c r="J143" s="1367" t="e">
        <f t="shared" si="107"/>
        <v>#DIV/0!</v>
      </c>
      <c r="K143" s="1368"/>
      <c r="L143" s="1369" t="e">
        <f t="shared" ref="L143:L188" si="117">K143/G143*100</f>
        <v>#DIV/0!</v>
      </c>
      <c r="M143" s="1370">
        <f t="shared" si="114"/>
        <v>0</v>
      </c>
      <c r="N143" s="3130" t="s">
        <v>202</v>
      </c>
    </row>
    <row r="144" spans="1:14" s="690" customFormat="1" ht="13.5" hidden="1" customHeight="1" x14ac:dyDescent="0.25">
      <c r="A144" s="3571"/>
      <c r="B144" s="522" t="s">
        <v>3</v>
      </c>
      <c r="C144" s="706"/>
      <c r="D144" s="707">
        <f>+D145+D148</f>
        <v>0</v>
      </c>
      <c r="E144" s="708">
        <f>+E145+E148</f>
        <v>0</v>
      </c>
      <c r="F144" s="708">
        <f>+F145+F148</f>
        <v>0</v>
      </c>
      <c r="G144" s="708">
        <f>+G145+G148</f>
        <v>0</v>
      </c>
      <c r="H144" s="1194">
        <f>H145+H146</f>
        <v>0</v>
      </c>
      <c r="I144" s="707" t="e">
        <f>I145</f>
        <v>#REF!</v>
      </c>
      <c r="J144" s="708" t="e">
        <f t="shared" si="107"/>
        <v>#REF!</v>
      </c>
      <c r="K144" s="709">
        <f>+K145+K148</f>
        <v>0</v>
      </c>
      <c r="L144" s="1145" t="e">
        <f t="shared" si="117"/>
        <v>#DIV/0!</v>
      </c>
      <c r="M144" s="1211">
        <f t="shared" si="114"/>
        <v>0</v>
      </c>
      <c r="N144" s="3037"/>
    </row>
    <row r="145" spans="1:14" s="690" customFormat="1" ht="13.5" hidden="1" customHeight="1" x14ac:dyDescent="0.25">
      <c r="A145" s="3571"/>
      <c r="B145" s="710" t="s">
        <v>4</v>
      </c>
      <c r="C145" s="3388" t="s">
        <v>203</v>
      </c>
      <c r="D145" s="711">
        <f>+D146</f>
        <v>0</v>
      </c>
      <c r="E145" s="415">
        <f>+E146+E147</f>
        <v>0</v>
      </c>
      <c r="F145" s="415">
        <f>SUM(F146:F147)</f>
        <v>0</v>
      </c>
      <c r="G145" s="415">
        <f>SUM(G146:G147)</f>
        <v>0</v>
      </c>
      <c r="H145" s="1195">
        <v>0</v>
      </c>
      <c r="I145" s="712" t="e">
        <f>I146</f>
        <v>#REF!</v>
      </c>
      <c r="J145" s="713" t="e">
        <f t="shared" si="107"/>
        <v>#REF!</v>
      </c>
      <c r="K145" s="415">
        <f>SUM(K146:K147)</f>
        <v>0</v>
      </c>
      <c r="L145" s="1146" t="e">
        <f t="shared" si="117"/>
        <v>#DIV/0!</v>
      </c>
      <c r="M145" s="1212">
        <f t="shared" si="114"/>
        <v>0</v>
      </c>
      <c r="N145" s="3037"/>
    </row>
    <row r="146" spans="1:14" s="689" customFormat="1" ht="13.5" hidden="1" customHeight="1" x14ac:dyDescent="0.25">
      <c r="A146" s="3571"/>
      <c r="B146" s="279" t="s">
        <v>5</v>
      </c>
      <c r="C146" s="3598"/>
      <c r="D146" s="714">
        <f>+E146+F146+G146+H146</f>
        <v>0</v>
      </c>
      <c r="E146" s="523"/>
      <c r="F146" s="523"/>
      <c r="G146" s="523">
        <v>0</v>
      </c>
      <c r="H146" s="899">
        <v>0</v>
      </c>
      <c r="I146" s="714" t="e">
        <f>#REF!+K146</f>
        <v>#REF!</v>
      </c>
      <c r="J146" s="523" t="e">
        <f t="shared" si="107"/>
        <v>#REF!</v>
      </c>
      <c r="K146" s="523">
        <v>0</v>
      </c>
      <c r="L146" s="899" t="e">
        <f t="shared" si="117"/>
        <v>#DIV/0!</v>
      </c>
      <c r="M146" s="521">
        <f t="shared" si="114"/>
        <v>0</v>
      </c>
      <c r="N146" s="3037"/>
    </row>
    <row r="147" spans="1:14" s="689" customFormat="1" ht="13.5" hidden="1" customHeight="1" x14ac:dyDescent="0.25">
      <c r="A147" s="3571"/>
      <c r="B147" s="715" t="s">
        <v>9</v>
      </c>
      <c r="C147" s="3598"/>
      <c r="D147" s="716"/>
      <c r="E147" s="523"/>
      <c r="F147" s="523"/>
      <c r="G147" s="523"/>
      <c r="H147" s="1147"/>
      <c r="I147" s="716"/>
      <c r="J147" s="717" t="e">
        <f t="shared" si="107"/>
        <v>#DIV/0!</v>
      </c>
      <c r="K147" s="717"/>
      <c r="L147" s="1147" t="e">
        <f t="shared" si="117"/>
        <v>#DIV/0!</v>
      </c>
      <c r="M147" s="521">
        <f t="shared" si="114"/>
        <v>0</v>
      </c>
      <c r="N147" s="3037"/>
    </row>
    <row r="148" spans="1:14" s="689" customFormat="1" ht="13.5" hidden="1" customHeight="1" x14ac:dyDescent="0.25">
      <c r="A148" s="3571"/>
      <c r="B148" s="718" t="s">
        <v>13</v>
      </c>
      <c r="C148" s="3598"/>
      <c r="D148" s="719">
        <f>+D149</f>
        <v>0</v>
      </c>
      <c r="E148" s="415">
        <f>+E149</f>
        <v>0</v>
      </c>
      <c r="F148" s="415">
        <f>+F149</f>
        <v>0</v>
      </c>
      <c r="G148" s="415">
        <f>+G149</f>
        <v>0</v>
      </c>
      <c r="H148" s="1148"/>
      <c r="I148" s="719"/>
      <c r="J148" s="720" t="e">
        <f t="shared" si="107"/>
        <v>#DIV/0!</v>
      </c>
      <c r="K148" s="720"/>
      <c r="L148" s="1148" t="e">
        <f t="shared" si="117"/>
        <v>#DIV/0!</v>
      </c>
      <c r="M148" s="1212">
        <f t="shared" si="114"/>
        <v>0</v>
      </c>
      <c r="N148" s="3037"/>
    </row>
    <row r="149" spans="1:14" s="689" customFormat="1" ht="13.5" hidden="1" customHeight="1" x14ac:dyDescent="0.25">
      <c r="A149" s="3571"/>
      <c r="B149" s="721" t="s">
        <v>9</v>
      </c>
      <c r="C149" s="3599"/>
      <c r="D149" s="722"/>
      <c r="E149" s="523"/>
      <c r="F149" s="523"/>
      <c r="G149" s="523"/>
      <c r="H149" s="1149"/>
      <c r="I149" s="722"/>
      <c r="J149" s="723" t="e">
        <f t="shared" si="107"/>
        <v>#DIV/0!</v>
      </c>
      <c r="K149" s="723"/>
      <c r="L149" s="1149" t="e">
        <f t="shared" si="117"/>
        <v>#DIV/0!</v>
      </c>
      <c r="M149" s="521">
        <f t="shared" si="114"/>
        <v>0</v>
      </c>
      <c r="N149" s="3037"/>
    </row>
    <row r="150" spans="1:14" s="689" customFormat="1" ht="13.5" hidden="1" customHeight="1" x14ac:dyDescent="0.25">
      <c r="A150" s="3096"/>
      <c r="B150" s="312" t="s">
        <v>17</v>
      </c>
      <c r="C150" s="724"/>
      <c r="D150" s="707">
        <f>+D151+D155</f>
        <v>0</v>
      </c>
      <c r="E150" s="708">
        <f>+E151+E155</f>
        <v>0</v>
      </c>
      <c r="F150" s="708">
        <f>+F151+F155</f>
        <v>0</v>
      </c>
      <c r="G150" s="708">
        <f>+G151+G155</f>
        <v>0</v>
      </c>
      <c r="H150" s="1194">
        <f>H151+H152</f>
        <v>0</v>
      </c>
      <c r="I150" s="707" t="e">
        <f>I151</f>
        <v>#REF!</v>
      </c>
      <c r="J150" s="708" t="e">
        <f t="shared" si="107"/>
        <v>#REF!</v>
      </c>
      <c r="K150" s="708">
        <f>K151</f>
        <v>0</v>
      </c>
      <c r="L150" s="1145" t="e">
        <f t="shared" si="117"/>
        <v>#DIV/0!</v>
      </c>
      <c r="M150" s="1211">
        <f t="shared" si="114"/>
        <v>0</v>
      </c>
      <c r="N150" s="3037"/>
    </row>
    <row r="151" spans="1:14" s="137" customFormat="1" ht="12.75" hidden="1" customHeight="1" x14ac:dyDescent="0.25">
      <c r="A151" s="3097"/>
      <c r="B151" s="977" t="s">
        <v>4</v>
      </c>
      <c r="C151" s="3243" t="s">
        <v>203</v>
      </c>
      <c r="D151" s="978">
        <f>+D153</f>
        <v>0</v>
      </c>
      <c r="E151" s="416">
        <f>+E152+E153</f>
        <v>0</v>
      </c>
      <c r="F151" s="416">
        <f>+F152+F153</f>
        <v>0</v>
      </c>
      <c r="G151" s="416">
        <f>+G152+G153</f>
        <v>0</v>
      </c>
      <c r="H151" s="1150">
        <v>0</v>
      </c>
      <c r="I151" s="978" t="e">
        <f>I153</f>
        <v>#REF!</v>
      </c>
      <c r="J151" s="416" t="e">
        <f t="shared" si="107"/>
        <v>#REF!</v>
      </c>
      <c r="K151" s="980">
        <f>K153</f>
        <v>0</v>
      </c>
      <c r="L151" s="1150" t="e">
        <f t="shared" si="117"/>
        <v>#DIV/0!</v>
      </c>
      <c r="M151" s="979">
        <f t="shared" si="114"/>
        <v>0</v>
      </c>
      <c r="N151" s="3038"/>
    </row>
    <row r="152" spans="1:14" s="137" customFormat="1" ht="11.25" hidden="1" customHeight="1" x14ac:dyDescent="0.25">
      <c r="A152" s="3096"/>
      <c r="B152" s="691" t="s">
        <v>9</v>
      </c>
      <c r="C152" s="3600"/>
      <c r="D152" s="698">
        <f>+E152+F152+G152+H152</f>
        <v>0</v>
      </c>
      <c r="E152" s="725"/>
      <c r="F152" s="725"/>
      <c r="G152" s="725"/>
      <c r="H152" s="1151"/>
      <c r="I152" s="698"/>
      <c r="J152" s="725" t="e">
        <f t="shared" si="107"/>
        <v>#DIV/0!</v>
      </c>
      <c r="K152" s="779"/>
      <c r="L152" s="1151" t="e">
        <f t="shared" si="117"/>
        <v>#DIV/0!</v>
      </c>
      <c r="M152" s="726">
        <f t="shared" si="114"/>
        <v>0</v>
      </c>
      <c r="N152" s="3037"/>
    </row>
    <row r="153" spans="1:14" s="137" customFormat="1" ht="14.25" hidden="1" customHeight="1" thickBot="1" x14ac:dyDescent="0.25">
      <c r="A153" s="3097"/>
      <c r="B153" s="298" t="s">
        <v>5</v>
      </c>
      <c r="C153" s="3601"/>
      <c r="D153" s="727">
        <f>+E153+F153+G153+H153</f>
        <v>0</v>
      </c>
      <c r="E153" s="525"/>
      <c r="F153" s="525"/>
      <c r="G153" s="525">
        <v>0</v>
      </c>
      <c r="H153" s="958">
        <v>0</v>
      </c>
      <c r="I153" s="727" t="e">
        <f>#REF!+K153</f>
        <v>#REF!</v>
      </c>
      <c r="J153" s="525" t="e">
        <f t="shared" si="107"/>
        <v>#REF!</v>
      </c>
      <c r="K153" s="525">
        <v>0</v>
      </c>
      <c r="L153" s="958" t="e">
        <f t="shared" si="117"/>
        <v>#DIV/0!</v>
      </c>
      <c r="M153" s="728">
        <f t="shared" si="114"/>
        <v>0</v>
      </c>
      <c r="N153" s="3038"/>
    </row>
    <row r="154" spans="1:14" s="137" customFormat="1" ht="12.75" hidden="1" customHeight="1" x14ac:dyDescent="0.25">
      <c r="A154" s="1525"/>
      <c r="B154" s="1371" t="s">
        <v>13</v>
      </c>
      <c r="C154" s="1372"/>
      <c r="D154" s="152"/>
      <c r="E154" s="1373"/>
      <c r="F154" s="1373"/>
      <c r="G154" s="1373"/>
      <c r="H154" s="1374"/>
      <c r="I154" s="152"/>
      <c r="J154" s="1375" t="e">
        <f t="shared" si="107"/>
        <v>#DIV/0!</v>
      </c>
      <c r="K154" s="1376"/>
      <c r="L154" s="1377" t="e">
        <f t="shared" si="117"/>
        <v>#DIV/0!</v>
      </c>
      <c r="M154" s="1378">
        <f t="shared" si="114"/>
        <v>0</v>
      </c>
      <c r="N154" s="1529"/>
    </row>
    <row r="155" spans="1:14" s="137" customFormat="1" ht="14.25" hidden="1" customHeight="1" x14ac:dyDescent="0.25">
      <c r="A155" s="1526"/>
      <c r="B155" s="1380" t="s">
        <v>9</v>
      </c>
      <c r="C155" s="1381"/>
      <c r="D155" s="1382"/>
      <c r="E155" s="1383"/>
      <c r="F155" s="1383"/>
      <c r="G155" s="1383"/>
      <c r="H155" s="1384"/>
      <c r="I155" s="1385"/>
      <c r="J155" s="1386" t="e">
        <f t="shared" si="107"/>
        <v>#DIV/0!</v>
      </c>
      <c r="K155" s="1387"/>
      <c r="L155" s="1388" t="e">
        <f t="shared" si="117"/>
        <v>#DIV/0!</v>
      </c>
      <c r="M155" s="1389">
        <f t="shared" si="114"/>
        <v>0</v>
      </c>
      <c r="N155" s="1530"/>
    </row>
    <row r="156" spans="1:14" s="137" customFormat="1" ht="15" hidden="1" customHeight="1" x14ac:dyDescent="0.25">
      <c r="A156" s="1528"/>
      <c r="B156" s="736" t="s">
        <v>14</v>
      </c>
      <c r="C156" s="737"/>
      <c r="D156" s="738"/>
      <c r="E156" s="739"/>
      <c r="F156" s="739"/>
      <c r="G156" s="739"/>
      <c r="H156" s="1197"/>
      <c r="I156" s="741"/>
      <c r="J156" s="742" t="e">
        <f t="shared" si="107"/>
        <v>#DIV/0!</v>
      </c>
      <c r="K156" s="743"/>
      <c r="L156" s="1153" t="e">
        <f t="shared" si="117"/>
        <v>#DIV/0!</v>
      </c>
      <c r="M156" s="740">
        <f t="shared" si="114"/>
        <v>0</v>
      </c>
      <c r="N156" s="1531"/>
    </row>
    <row r="157" spans="1:14" ht="51.75" hidden="1" thickBot="1" x14ac:dyDescent="0.25">
      <c r="A157" s="3605" t="s">
        <v>33</v>
      </c>
      <c r="B157" s="744" t="s">
        <v>204</v>
      </c>
      <c r="C157" s="745"/>
      <c r="D157" s="746"/>
      <c r="E157" s="747"/>
      <c r="F157" s="747"/>
      <c r="G157" s="747"/>
      <c r="H157" s="1198"/>
      <c r="I157" s="749"/>
      <c r="J157" s="750" t="e">
        <f t="shared" si="107"/>
        <v>#DIV/0!</v>
      </c>
      <c r="K157" s="751"/>
      <c r="L157" s="1154" t="e">
        <f t="shared" si="117"/>
        <v>#DIV/0!</v>
      </c>
      <c r="M157" s="748">
        <f t="shared" si="114"/>
        <v>0</v>
      </c>
      <c r="N157" s="3099" t="s">
        <v>205</v>
      </c>
    </row>
    <row r="158" spans="1:14" ht="12.95" hidden="1" customHeight="1" x14ac:dyDescent="0.25">
      <c r="A158" s="3590"/>
      <c r="B158" s="162" t="s">
        <v>3</v>
      </c>
      <c r="C158" s="752"/>
      <c r="D158" s="753">
        <f>+D160</f>
        <v>0</v>
      </c>
      <c r="E158" s="754"/>
      <c r="F158" s="754"/>
      <c r="G158" s="754"/>
      <c r="H158" s="1199"/>
      <c r="I158" s="756"/>
      <c r="J158" s="757" t="e">
        <f t="shared" si="107"/>
        <v>#DIV/0!</v>
      </c>
      <c r="K158" s="758"/>
      <c r="L158" s="1155" t="e">
        <f t="shared" si="117"/>
        <v>#DIV/0!</v>
      </c>
      <c r="M158" s="755">
        <f t="shared" si="114"/>
        <v>0</v>
      </c>
      <c r="N158" s="3555"/>
    </row>
    <row r="159" spans="1:14" ht="14.25" hidden="1" customHeight="1" x14ac:dyDescent="0.25">
      <c r="A159" s="3590"/>
      <c r="B159" s="759" t="s">
        <v>4</v>
      </c>
      <c r="C159" s="3603" t="s">
        <v>206</v>
      </c>
      <c r="D159" s="760">
        <f t="shared" ref="D159" si="118">+D160</f>
        <v>0</v>
      </c>
      <c r="E159" s="761"/>
      <c r="F159" s="761"/>
      <c r="G159" s="761"/>
      <c r="H159" s="1200"/>
      <c r="I159" s="760"/>
      <c r="J159" s="763" t="e">
        <f t="shared" si="107"/>
        <v>#DIV/0!</v>
      </c>
      <c r="K159" s="761"/>
      <c r="L159" s="1156" t="e">
        <f t="shared" si="117"/>
        <v>#DIV/0!</v>
      </c>
      <c r="M159" s="762">
        <f t="shared" si="114"/>
        <v>0</v>
      </c>
      <c r="N159" s="3555"/>
    </row>
    <row r="160" spans="1:14" ht="12.95" hidden="1" customHeight="1" x14ac:dyDescent="0.25">
      <c r="A160" s="3590"/>
      <c r="B160" s="729" t="s">
        <v>97</v>
      </c>
      <c r="C160" s="3598"/>
      <c r="D160" s="730">
        <v>0</v>
      </c>
      <c r="E160" s="731"/>
      <c r="F160" s="731"/>
      <c r="G160" s="731"/>
      <c r="H160" s="1196"/>
      <c r="I160" s="733"/>
      <c r="J160" s="734" t="e">
        <f t="shared" si="107"/>
        <v>#DIV/0!</v>
      </c>
      <c r="K160" s="735"/>
      <c r="L160" s="1152" t="e">
        <f t="shared" si="117"/>
        <v>#DIV/0!</v>
      </c>
      <c r="M160" s="732">
        <f t="shared" si="114"/>
        <v>0</v>
      </c>
      <c r="N160" s="3555"/>
    </row>
    <row r="161" spans="1:14" ht="12.95" hidden="1" customHeight="1" x14ac:dyDescent="0.25">
      <c r="A161" s="3590"/>
      <c r="B161" s="162" t="s">
        <v>17</v>
      </c>
      <c r="C161" s="752"/>
      <c r="D161" s="753">
        <f t="shared" ref="D161:D162" si="119">+D162</f>
        <v>0</v>
      </c>
      <c r="E161" s="754"/>
      <c r="F161" s="754"/>
      <c r="G161" s="754"/>
      <c r="H161" s="1199"/>
      <c r="I161" s="756"/>
      <c r="J161" s="757" t="e">
        <f t="shared" si="107"/>
        <v>#DIV/0!</v>
      </c>
      <c r="K161" s="758"/>
      <c r="L161" s="1155" t="e">
        <f t="shared" si="117"/>
        <v>#DIV/0!</v>
      </c>
      <c r="M161" s="755">
        <f t="shared" si="114"/>
        <v>0</v>
      </c>
      <c r="N161" s="3555"/>
    </row>
    <row r="162" spans="1:14" ht="12.95" hidden="1" customHeight="1" x14ac:dyDescent="0.25">
      <c r="A162" s="3590"/>
      <c r="B162" s="759" t="s">
        <v>4</v>
      </c>
      <c r="C162" s="3603" t="s">
        <v>206</v>
      </c>
      <c r="D162" s="760">
        <f t="shared" si="119"/>
        <v>0</v>
      </c>
      <c r="E162" s="761"/>
      <c r="F162" s="761"/>
      <c r="G162" s="761"/>
      <c r="H162" s="1200"/>
      <c r="I162" s="760"/>
      <c r="J162" s="763" t="e">
        <f t="shared" ref="J162:J188" si="120">I162/D162*100</f>
        <v>#DIV/0!</v>
      </c>
      <c r="K162" s="761"/>
      <c r="L162" s="1156" t="e">
        <f t="shared" si="117"/>
        <v>#DIV/0!</v>
      </c>
      <c r="M162" s="762">
        <f t="shared" si="114"/>
        <v>0</v>
      </c>
      <c r="N162" s="3555"/>
    </row>
    <row r="163" spans="1:14" ht="12.95" hidden="1" customHeight="1" thickBot="1" x14ac:dyDescent="0.25">
      <c r="A163" s="764"/>
      <c r="B163" s="721" t="s">
        <v>97</v>
      </c>
      <c r="C163" s="3599"/>
      <c r="D163" s="738">
        <v>0</v>
      </c>
      <c r="E163" s="739"/>
      <c r="F163" s="739"/>
      <c r="G163" s="739"/>
      <c r="H163" s="1197"/>
      <c r="I163" s="741"/>
      <c r="J163" s="742" t="e">
        <f t="shared" si="120"/>
        <v>#DIV/0!</v>
      </c>
      <c r="K163" s="743"/>
      <c r="L163" s="1153" t="e">
        <f t="shared" si="117"/>
        <v>#DIV/0!</v>
      </c>
      <c r="M163" s="740">
        <f t="shared" si="114"/>
        <v>0</v>
      </c>
      <c r="N163" s="3132"/>
    </row>
    <row r="164" spans="1:14" ht="67.5" hidden="1" customHeight="1" x14ac:dyDescent="0.25">
      <c r="A164" s="3606" t="s">
        <v>33</v>
      </c>
      <c r="B164" s="765" t="s">
        <v>207</v>
      </c>
      <c r="C164" s="766"/>
      <c r="D164" s="767"/>
      <c r="E164" s="768"/>
      <c r="F164" s="768"/>
      <c r="G164" s="768"/>
      <c r="H164" s="1201"/>
      <c r="I164" s="770"/>
      <c r="J164" s="771" t="e">
        <f t="shared" si="120"/>
        <v>#DIV/0!</v>
      </c>
      <c r="K164" s="772"/>
      <c r="L164" s="1157" t="e">
        <f t="shared" si="117"/>
        <v>#DIV/0!</v>
      </c>
      <c r="M164" s="769">
        <f t="shared" si="114"/>
        <v>0</v>
      </c>
      <c r="N164" s="3554" t="s">
        <v>208</v>
      </c>
    </row>
    <row r="165" spans="1:14" ht="12.95" hidden="1" customHeight="1" x14ac:dyDescent="0.25">
      <c r="A165" s="3096"/>
      <c r="B165" s="236" t="s">
        <v>3</v>
      </c>
      <c r="C165" s="773"/>
      <c r="D165" s="774"/>
      <c r="E165" s="775"/>
      <c r="F165" s="775"/>
      <c r="G165" s="775"/>
      <c r="H165" s="1158"/>
      <c r="I165" s="777"/>
      <c r="J165" s="775" t="e">
        <f t="shared" si="120"/>
        <v>#DIV/0!</v>
      </c>
      <c r="K165" s="775"/>
      <c r="L165" s="1158" t="e">
        <f t="shared" si="117"/>
        <v>#DIV/0!</v>
      </c>
      <c r="M165" s="776">
        <f t="shared" si="114"/>
        <v>0</v>
      </c>
      <c r="N165" s="3555"/>
    </row>
    <row r="166" spans="1:14" ht="12.95" hidden="1" customHeight="1" x14ac:dyDescent="0.25">
      <c r="A166" s="3097"/>
      <c r="B166" s="977" t="s">
        <v>4</v>
      </c>
      <c r="C166" s="3243" t="s">
        <v>197</v>
      </c>
      <c r="D166" s="1390">
        <v>0</v>
      </c>
      <c r="E166" s="1214">
        <v>0</v>
      </c>
      <c r="F166" s="1214">
        <v>0</v>
      </c>
      <c r="G166" s="1214">
        <v>0</v>
      </c>
      <c r="H166" s="1168">
        <v>0</v>
      </c>
      <c r="I166" s="1390">
        <v>0</v>
      </c>
      <c r="J166" s="1391" t="e">
        <f t="shared" si="120"/>
        <v>#DIV/0!</v>
      </c>
      <c r="K166" s="1391">
        <v>0</v>
      </c>
      <c r="L166" s="1316" t="e">
        <f t="shared" si="117"/>
        <v>#DIV/0!</v>
      </c>
      <c r="M166" s="1392">
        <f t="shared" si="114"/>
        <v>0</v>
      </c>
      <c r="N166" s="3556"/>
    </row>
    <row r="167" spans="1:14" ht="12.95" hidden="1" customHeight="1" x14ac:dyDescent="0.25">
      <c r="A167" s="3607"/>
      <c r="B167" s="1393" t="s">
        <v>5</v>
      </c>
      <c r="C167" s="3604"/>
      <c r="D167" s="988"/>
      <c r="E167" s="989"/>
      <c r="F167" s="989"/>
      <c r="G167" s="989"/>
      <c r="H167" s="1161"/>
      <c r="I167" s="991"/>
      <c r="J167" s="989" t="e">
        <f t="shared" si="120"/>
        <v>#DIV/0!</v>
      </c>
      <c r="K167" s="1394"/>
      <c r="L167" s="1161" t="e">
        <f t="shared" si="117"/>
        <v>#DIV/0!</v>
      </c>
      <c r="M167" s="990">
        <f t="shared" si="114"/>
        <v>0</v>
      </c>
      <c r="N167" s="3554"/>
    </row>
    <row r="168" spans="1:14" ht="12.95" hidden="1" customHeight="1" x14ac:dyDescent="0.25">
      <c r="A168" s="3096"/>
      <c r="B168" s="692" t="s">
        <v>8</v>
      </c>
      <c r="C168" s="3386"/>
      <c r="D168" s="714">
        <v>0</v>
      </c>
      <c r="E168" s="523">
        <v>0</v>
      </c>
      <c r="F168" s="523">
        <v>0</v>
      </c>
      <c r="G168" s="523">
        <v>0</v>
      </c>
      <c r="H168" s="899">
        <v>0</v>
      </c>
      <c r="I168" s="781">
        <v>0</v>
      </c>
      <c r="J168" s="725" t="e">
        <f t="shared" si="120"/>
        <v>#DIV/0!</v>
      </c>
      <c r="K168" s="523">
        <v>0</v>
      </c>
      <c r="L168" s="1151" t="e">
        <f t="shared" si="117"/>
        <v>#DIV/0!</v>
      </c>
      <c r="M168" s="521">
        <f t="shared" si="114"/>
        <v>0</v>
      </c>
      <c r="N168" s="3555"/>
    </row>
    <row r="169" spans="1:14" ht="12.95" hidden="1" customHeight="1" x14ac:dyDescent="0.25">
      <c r="A169" s="3096"/>
      <c r="B169" s="704" t="s">
        <v>13</v>
      </c>
      <c r="C169" s="3386"/>
      <c r="D169" s="778">
        <v>0</v>
      </c>
      <c r="E169" s="308">
        <v>0</v>
      </c>
      <c r="F169" s="308">
        <v>0</v>
      </c>
      <c r="G169" s="308">
        <v>0</v>
      </c>
      <c r="H169" s="1076">
        <v>0</v>
      </c>
      <c r="I169" s="778">
        <v>0</v>
      </c>
      <c r="J169" s="782" t="e">
        <f t="shared" si="120"/>
        <v>#DIV/0!</v>
      </c>
      <c r="K169" s="703">
        <v>0</v>
      </c>
      <c r="L169" s="1159" t="e">
        <f t="shared" si="117"/>
        <v>#DIV/0!</v>
      </c>
      <c r="M169" s="309">
        <f t="shared" si="114"/>
        <v>0</v>
      </c>
      <c r="N169" s="3555"/>
    </row>
    <row r="170" spans="1:14" ht="12.95" hidden="1" customHeight="1" x14ac:dyDescent="0.25">
      <c r="A170" s="3096"/>
      <c r="B170" s="279" t="s">
        <v>15</v>
      </c>
      <c r="C170" s="3398"/>
      <c r="D170" s="714">
        <v>0</v>
      </c>
      <c r="E170" s="523">
        <v>0</v>
      </c>
      <c r="F170" s="523">
        <v>0</v>
      </c>
      <c r="G170" s="523">
        <v>0</v>
      </c>
      <c r="H170" s="899">
        <v>0</v>
      </c>
      <c r="I170" s="698">
        <v>0</v>
      </c>
      <c r="J170" s="780" t="e">
        <f t="shared" si="120"/>
        <v>#DIV/0!</v>
      </c>
      <c r="K170" s="523">
        <v>0</v>
      </c>
      <c r="L170" s="1160" t="e">
        <f t="shared" si="117"/>
        <v>#DIV/0!</v>
      </c>
      <c r="M170" s="521">
        <f t="shared" si="114"/>
        <v>0</v>
      </c>
      <c r="N170" s="3555"/>
    </row>
    <row r="171" spans="1:14" ht="12.95" hidden="1" customHeight="1" x14ac:dyDescent="0.25">
      <c r="A171" s="3096"/>
      <c r="B171" s="236" t="s">
        <v>17</v>
      </c>
      <c r="C171" s="724"/>
      <c r="D171" s="774">
        <v>0</v>
      </c>
      <c r="E171" s="775">
        <v>0</v>
      </c>
      <c r="F171" s="775">
        <v>0</v>
      </c>
      <c r="G171" s="775">
        <v>0</v>
      </c>
      <c r="H171" s="1158">
        <v>0</v>
      </c>
      <c r="I171" s="783">
        <v>0</v>
      </c>
      <c r="J171" s="775" t="e">
        <f t="shared" si="120"/>
        <v>#DIV/0!</v>
      </c>
      <c r="K171" s="784">
        <v>0</v>
      </c>
      <c r="L171" s="1158" t="e">
        <f t="shared" si="117"/>
        <v>#DIV/0!</v>
      </c>
      <c r="M171" s="776">
        <f t="shared" si="114"/>
        <v>0</v>
      </c>
      <c r="N171" s="3555"/>
    </row>
    <row r="172" spans="1:14" ht="12.95" hidden="1" customHeight="1" x14ac:dyDescent="0.25">
      <c r="A172" s="3096"/>
      <c r="B172" s="710" t="s">
        <v>4</v>
      </c>
      <c r="C172" s="3608" t="s">
        <v>197</v>
      </c>
      <c r="D172" s="985">
        <v>0</v>
      </c>
      <c r="E172" s="782">
        <v>0</v>
      </c>
      <c r="F172" s="782">
        <v>0</v>
      </c>
      <c r="G172" s="782">
        <v>0</v>
      </c>
      <c r="H172" s="1159">
        <v>0</v>
      </c>
      <c r="I172" s="985">
        <v>0</v>
      </c>
      <c r="J172" s="782" t="e">
        <f t="shared" si="120"/>
        <v>#DIV/0!</v>
      </c>
      <c r="K172" s="782">
        <v>0</v>
      </c>
      <c r="L172" s="1159" t="e">
        <f t="shared" si="117"/>
        <v>#DIV/0!</v>
      </c>
      <c r="M172" s="986">
        <f t="shared" si="114"/>
        <v>0</v>
      </c>
      <c r="N172" s="3132"/>
    </row>
    <row r="173" spans="1:14" ht="12.95" hidden="1" customHeight="1" x14ac:dyDescent="0.25">
      <c r="A173" s="3607"/>
      <c r="B173" s="987" t="s">
        <v>8</v>
      </c>
      <c r="C173" s="3609"/>
      <c r="D173" s="988">
        <v>0</v>
      </c>
      <c r="E173" s="989">
        <v>0</v>
      </c>
      <c r="F173" s="989">
        <v>0</v>
      </c>
      <c r="G173" s="989">
        <v>0</v>
      </c>
      <c r="H173" s="1161">
        <v>0</v>
      </c>
      <c r="I173" s="991">
        <v>0</v>
      </c>
      <c r="J173" s="989" t="e">
        <f t="shared" si="120"/>
        <v>#DIV/0!</v>
      </c>
      <c r="K173" s="989">
        <v>0</v>
      </c>
      <c r="L173" s="1161" t="e">
        <f t="shared" si="117"/>
        <v>#DIV/0!</v>
      </c>
      <c r="M173" s="990">
        <f t="shared" si="114"/>
        <v>0</v>
      </c>
      <c r="N173" s="3554"/>
    </row>
    <row r="174" spans="1:14" ht="11.25" hidden="1" customHeight="1" x14ac:dyDescent="0.25">
      <c r="A174" s="3096"/>
      <c r="B174" s="341" t="s">
        <v>192</v>
      </c>
      <c r="C174" s="3610"/>
      <c r="D174" s="714"/>
      <c r="E174" s="523"/>
      <c r="F174" s="523"/>
      <c r="G174" s="523"/>
      <c r="H174" s="899"/>
      <c r="I174" s="781"/>
      <c r="J174" s="725" t="e">
        <f t="shared" si="120"/>
        <v>#DIV/0!</v>
      </c>
      <c r="K174" s="523"/>
      <c r="L174" s="1151" t="e">
        <f t="shared" si="117"/>
        <v>#DIV/0!</v>
      </c>
      <c r="M174" s="521">
        <f t="shared" si="114"/>
        <v>0</v>
      </c>
      <c r="N174" s="3555"/>
    </row>
    <row r="175" spans="1:14" ht="12.95" hidden="1" customHeight="1" x14ac:dyDescent="0.25">
      <c r="A175" s="3096"/>
      <c r="B175" s="704" t="s">
        <v>13</v>
      </c>
      <c r="C175" s="3610"/>
      <c r="D175" s="778">
        <v>0</v>
      </c>
      <c r="E175" s="308">
        <v>0</v>
      </c>
      <c r="F175" s="308">
        <v>0</v>
      </c>
      <c r="G175" s="308">
        <v>0</v>
      </c>
      <c r="H175" s="1076">
        <v>0</v>
      </c>
      <c r="I175" s="778">
        <v>0</v>
      </c>
      <c r="J175" s="308" t="e">
        <f t="shared" si="120"/>
        <v>#DIV/0!</v>
      </c>
      <c r="K175" s="308">
        <v>0</v>
      </c>
      <c r="L175" s="1076" t="e">
        <f t="shared" si="117"/>
        <v>#DIV/0!</v>
      </c>
      <c r="M175" s="309">
        <f t="shared" si="114"/>
        <v>0</v>
      </c>
      <c r="N175" s="3555"/>
    </row>
    <row r="176" spans="1:14" ht="12" hidden="1" customHeight="1" x14ac:dyDescent="0.25">
      <c r="A176" s="3096"/>
      <c r="B176" s="696" t="s">
        <v>15</v>
      </c>
      <c r="C176" s="3610"/>
      <c r="D176" s="714">
        <v>0</v>
      </c>
      <c r="E176" s="523">
        <v>0</v>
      </c>
      <c r="F176" s="523">
        <v>0</v>
      </c>
      <c r="G176" s="523">
        <v>0</v>
      </c>
      <c r="H176" s="899">
        <v>0</v>
      </c>
      <c r="I176" s="698">
        <v>0</v>
      </c>
      <c r="J176" s="523" t="e">
        <f t="shared" si="120"/>
        <v>#DIV/0!</v>
      </c>
      <c r="K176" s="725">
        <v>0</v>
      </c>
      <c r="L176" s="899" t="e">
        <f t="shared" si="117"/>
        <v>#DIV/0!</v>
      </c>
      <c r="M176" s="521">
        <f t="shared" si="114"/>
        <v>0</v>
      </c>
      <c r="N176" s="3555"/>
    </row>
    <row r="177" spans="1:14" ht="12.95" hidden="1" customHeight="1" thickBot="1" x14ac:dyDescent="0.25">
      <c r="A177" s="3097"/>
      <c r="B177" s="693" t="s">
        <v>14</v>
      </c>
      <c r="C177" s="3611"/>
      <c r="D177" s="524"/>
      <c r="E177" s="418"/>
      <c r="F177" s="418"/>
      <c r="G177" s="418"/>
      <c r="H177" s="1202"/>
      <c r="I177" s="289"/>
      <c r="J177" s="290" t="e">
        <f t="shared" si="120"/>
        <v>#DIV/0!</v>
      </c>
      <c r="K177" s="694"/>
      <c r="L177" s="1162" t="e">
        <f t="shared" si="117"/>
        <v>#DIV/0!</v>
      </c>
      <c r="M177" s="1213">
        <f t="shared" si="114"/>
        <v>0</v>
      </c>
      <c r="N177" s="3556"/>
    </row>
    <row r="178" spans="1:14" ht="33.75" hidden="1" customHeight="1" x14ac:dyDescent="0.25">
      <c r="A178" s="3587" t="s">
        <v>41</v>
      </c>
      <c r="B178" s="1395" t="s">
        <v>209</v>
      </c>
      <c r="C178" s="1396"/>
      <c r="D178" s="1397"/>
      <c r="E178" s="1398"/>
      <c r="F178" s="1398"/>
      <c r="G178" s="1398"/>
      <c r="H178" s="1399"/>
      <c r="I178" s="1400"/>
      <c r="J178" s="1401" t="e">
        <f t="shared" si="120"/>
        <v>#DIV/0!</v>
      </c>
      <c r="K178" s="1402"/>
      <c r="L178" s="1403" t="e">
        <f t="shared" si="117"/>
        <v>#DIV/0!</v>
      </c>
      <c r="M178" s="1404">
        <f t="shared" si="114"/>
        <v>0</v>
      </c>
      <c r="N178" s="3131" t="s">
        <v>210</v>
      </c>
    </row>
    <row r="179" spans="1:14" ht="12.95" hidden="1" customHeight="1" x14ac:dyDescent="0.25">
      <c r="A179" s="3589"/>
      <c r="B179" s="660" t="s">
        <v>3</v>
      </c>
      <c r="C179" s="1405"/>
      <c r="D179" s="1406"/>
      <c r="E179" s="1407"/>
      <c r="F179" s="1407"/>
      <c r="G179" s="1407"/>
      <c r="H179" s="1408"/>
      <c r="I179" s="1406"/>
      <c r="J179" s="1409" t="e">
        <f t="shared" si="120"/>
        <v>#DIV/0!</v>
      </c>
      <c r="K179" s="1407"/>
      <c r="L179" s="1410" t="e">
        <f t="shared" si="117"/>
        <v>#DIV/0!</v>
      </c>
      <c r="M179" s="1411">
        <f t="shared" si="114"/>
        <v>0</v>
      </c>
      <c r="N179" s="3554"/>
    </row>
    <row r="180" spans="1:14" ht="12.95" hidden="1" customHeight="1" x14ac:dyDescent="0.25">
      <c r="A180" s="3590"/>
      <c r="B180" s="759" t="s">
        <v>4</v>
      </c>
      <c r="C180" s="3603" t="s">
        <v>195</v>
      </c>
      <c r="D180" s="760"/>
      <c r="E180" s="761"/>
      <c r="F180" s="761"/>
      <c r="G180" s="761"/>
      <c r="H180" s="1200"/>
      <c r="I180" s="760"/>
      <c r="J180" s="763" t="e">
        <f t="shared" si="120"/>
        <v>#DIV/0!</v>
      </c>
      <c r="K180" s="761"/>
      <c r="L180" s="1156" t="e">
        <f t="shared" si="117"/>
        <v>#DIV/0!</v>
      </c>
      <c r="M180" s="762">
        <f t="shared" si="114"/>
        <v>0</v>
      </c>
      <c r="N180" s="3555"/>
    </row>
    <row r="181" spans="1:14" ht="12.95" hidden="1" customHeight="1" x14ac:dyDescent="0.25">
      <c r="A181" s="3597"/>
      <c r="B181" s="992" t="s">
        <v>9</v>
      </c>
      <c r="C181" s="3389"/>
      <c r="D181" s="993"/>
      <c r="E181" s="994"/>
      <c r="F181" s="994"/>
      <c r="G181" s="994"/>
      <c r="H181" s="1204"/>
      <c r="I181" s="996"/>
      <c r="J181" s="997" t="e">
        <f t="shared" si="120"/>
        <v>#DIV/0!</v>
      </c>
      <c r="K181" s="998"/>
      <c r="L181" s="1164" t="e">
        <f t="shared" si="117"/>
        <v>#DIV/0!</v>
      </c>
      <c r="M181" s="995">
        <f t="shared" si="114"/>
        <v>0</v>
      </c>
      <c r="N181" s="3556"/>
    </row>
    <row r="182" spans="1:14" ht="12.95" hidden="1" customHeight="1" x14ac:dyDescent="0.25">
      <c r="A182" s="3589"/>
      <c r="B182" s="999" t="s">
        <v>13</v>
      </c>
      <c r="C182" s="3604"/>
      <c r="D182" s="1000"/>
      <c r="E182" s="1001"/>
      <c r="F182" s="1001"/>
      <c r="G182" s="1001"/>
      <c r="H182" s="1205"/>
      <c r="I182" s="1000"/>
      <c r="J182" s="947" t="e">
        <f t="shared" si="120"/>
        <v>#DIV/0!</v>
      </c>
      <c r="K182" s="1001"/>
      <c r="L182" s="1165" t="e">
        <f t="shared" si="117"/>
        <v>#DIV/0!</v>
      </c>
      <c r="M182" s="1002">
        <f t="shared" si="114"/>
        <v>0</v>
      </c>
      <c r="N182" s="3554"/>
    </row>
    <row r="183" spans="1:14" ht="12.95" hidden="1" customHeight="1" x14ac:dyDescent="0.25">
      <c r="A183" s="3590"/>
      <c r="B183" s="729" t="s">
        <v>9</v>
      </c>
      <c r="C183" s="3386"/>
      <c r="D183" s="730"/>
      <c r="E183" s="731"/>
      <c r="F183" s="731"/>
      <c r="G183" s="731"/>
      <c r="H183" s="1196"/>
      <c r="I183" s="733"/>
      <c r="J183" s="734" t="e">
        <f t="shared" si="120"/>
        <v>#DIV/0!</v>
      </c>
      <c r="K183" s="735"/>
      <c r="L183" s="1152" t="e">
        <f t="shared" si="117"/>
        <v>#DIV/0!</v>
      </c>
      <c r="M183" s="732">
        <f t="shared" si="114"/>
        <v>0</v>
      </c>
      <c r="N183" s="3555"/>
    </row>
    <row r="184" spans="1:14" ht="12.95" hidden="1" customHeight="1" x14ac:dyDescent="0.25">
      <c r="A184" s="3590"/>
      <c r="B184" s="162" t="s">
        <v>17</v>
      </c>
      <c r="C184" s="785"/>
      <c r="D184" s="786"/>
      <c r="E184" s="787"/>
      <c r="F184" s="787"/>
      <c r="G184" s="787"/>
      <c r="H184" s="1203"/>
      <c r="I184" s="786"/>
      <c r="J184" s="789" t="e">
        <f t="shared" si="120"/>
        <v>#DIV/0!</v>
      </c>
      <c r="K184" s="787"/>
      <c r="L184" s="1163" t="e">
        <f t="shared" si="117"/>
        <v>#DIV/0!</v>
      </c>
      <c r="M184" s="788">
        <f t="shared" si="114"/>
        <v>0</v>
      </c>
      <c r="N184" s="3555"/>
    </row>
    <row r="185" spans="1:14" ht="12.95" hidden="1" customHeight="1" x14ac:dyDescent="0.25">
      <c r="A185" s="3590"/>
      <c r="B185" s="759" t="s">
        <v>4</v>
      </c>
      <c r="C185" s="3603" t="s">
        <v>195</v>
      </c>
      <c r="D185" s="760"/>
      <c r="E185" s="761"/>
      <c r="F185" s="761"/>
      <c r="G185" s="761"/>
      <c r="H185" s="1200"/>
      <c r="I185" s="760"/>
      <c r="J185" s="763" t="e">
        <f t="shared" si="120"/>
        <v>#DIV/0!</v>
      </c>
      <c r="K185" s="761"/>
      <c r="L185" s="1156" t="e">
        <f t="shared" si="117"/>
        <v>#DIV/0!</v>
      </c>
      <c r="M185" s="762">
        <f t="shared" si="114"/>
        <v>0</v>
      </c>
      <c r="N185" s="3555"/>
    </row>
    <row r="186" spans="1:14" ht="12.95" hidden="1" customHeight="1" x14ac:dyDescent="0.25">
      <c r="A186" s="3590"/>
      <c r="B186" s="729" t="s">
        <v>9</v>
      </c>
      <c r="C186" s="3386"/>
      <c r="D186" s="730"/>
      <c r="E186" s="731"/>
      <c r="F186" s="731"/>
      <c r="G186" s="731"/>
      <c r="H186" s="1196"/>
      <c r="I186" s="733"/>
      <c r="J186" s="734" t="e">
        <f t="shared" si="120"/>
        <v>#DIV/0!</v>
      </c>
      <c r="K186" s="735"/>
      <c r="L186" s="1152" t="e">
        <f t="shared" si="117"/>
        <v>#DIV/0!</v>
      </c>
      <c r="M186" s="732">
        <f t="shared" si="114"/>
        <v>0</v>
      </c>
      <c r="N186" s="3555"/>
    </row>
    <row r="187" spans="1:14" ht="12.95" hidden="1" customHeight="1" x14ac:dyDescent="0.25">
      <c r="A187" s="3590"/>
      <c r="B187" s="790" t="s">
        <v>13</v>
      </c>
      <c r="C187" s="3386"/>
      <c r="D187" s="760"/>
      <c r="E187" s="761"/>
      <c r="F187" s="761"/>
      <c r="G187" s="761"/>
      <c r="H187" s="1200"/>
      <c r="I187" s="760"/>
      <c r="J187" s="763" t="e">
        <f t="shared" si="120"/>
        <v>#DIV/0!</v>
      </c>
      <c r="K187" s="761"/>
      <c r="L187" s="1156" t="e">
        <f t="shared" si="117"/>
        <v>#DIV/0!</v>
      </c>
      <c r="M187" s="762">
        <f t="shared" si="114"/>
        <v>0</v>
      </c>
      <c r="N187" s="3555"/>
    </row>
    <row r="188" spans="1:14" ht="12.95" hidden="1" customHeight="1" thickBot="1" x14ac:dyDescent="0.25">
      <c r="A188" s="3602"/>
      <c r="B188" s="721" t="s">
        <v>9</v>
      </c>
      <c r="C188" s="3398"/>
      <c r="D188" s="791"/>
      <c r="E188" s="792"/>
      <c r="F188" s="792"/>
      <c r="G188" s="792"/>
      <c r="H188" s="1206"/>
      <c r="I188" s="794"/>
      <c r="J188" s="795" t="e">
        <f t="shared" si="120"/>
        <v>#DIV/0!</v>
      </c>
      <c r="K188" s="796"/>
      <c r="L188" s="1166" t="e">
        <f t="shared" si="117"/>
        <v>#DIV/0!</v>
      </c>
      <c r="M188" s="793">
        <f t="shared" si="114"/>
        <v>0</v>
      </c>
      <c r="N188" s="3132"/>
    </row>
    <row r="189" spans="1:14" ht="24.75" customHeight="1" x14ac:dyDescent="0.2">
      <c r="A189" s="3586" t="s">
        <v>49</v>
      </c>
      <c r="B189" s="1784" t="s">
        <v>365</v>
      </c>
      <c r="C189" s="1716" t="s">
        <v>198</v>
      </c>
      <c r="D189" s="1210"/>
      <c r="E189" s="688"/>
      <c r="F189" s="688"/>
      <c r="G189" s="688"/>
      <c r="H189" s="1144"/>
      <c r="I189" s="1718"/>
      <c r="J189" s="1719"/>
      <c r="K189" s="1720"/>
      <c r="L189" s="1764"/>
      <c r="M189" s="1717"/>
      <c r="N189" s="3554" t="s">
        <v>211</v>
      </c>
    </row>
    <row r="190" spans="1:14" ht="12.95" customHeight="1" thickBot="1" x14ac:dyDescent="0.25">
      <c r="A190" s="3588"/>
      <c r="B190" s="312" t="s">
        <v>3</v>
      </c>
      <c r="C190" s="724"/>
      <c r="D190" s="302">
        <f t="shared" ref="D190:E190" si="121">+D191+D194</f>
        <v>37144544.109999999</v>
      </c>
      <c r="E190" s="304">
        <f t="shared" si="121"/>
        <v>14976363</v>
      </c>
      <c r="F190" s="1499">
        <f>+F191+F194</f>
        <v>5083993.1100000003</v>
      </c>
      <c r="G190" s="304">
        <f t="shared" ref="G190:H190" si="122">+G191+G194</f>
        <v>7940228</v>
      </c>
      <c r="H190" s="1180">
        <f t="shared" si="122"/>
        <v>9143960</v>
      </c>
      <c r="I190" s="302">
        <f t="shared" ref="I190" si="123">+I191+I194</f>
        <v>22511288.109999999</v>
      </c>
      <c r="J190" s="1181">
        <f t="shared" ref="J190:J203" si="124">I190/D190*100</f>
        <v>60.604561583351199</v>
      </c>
      <c r="K190" s="304">
        <f>+K191+K194</f>
        <v>2450932</v>
      </c>
      <c r="L190" s="1740">
        <f>K190/G190*100</f>
        <v>30.867274843996924</v>
      </c>
      <c r="M190" s="1185">
        <f t="shared" si="114"/>
        <v>-1519182</v>
      </c>
      <c r="N190" s="3556"/>
    </row>
    <row r="191" spans="1:14" ht="12.95" customHeight="1" x14ac:dyDescent="0.2">
      <c r="A191" s="3586"/>
      <c r="B191" s="419" t="s">
        <v>4</v>
      </c>
      <c r="C191" s="3122" t="s">
        <v>212</v>
      </c>
      <c r="D191" s="1750">
        <f t="shared" ref="D191:E191" si="125">+D192+D193</f>
        <v>10211826.109999999</v>
      </c>
      <c r="E191" s="1697">
        <f t="shared" si="125"/>
        <v>3956165</v>
      </c>
      <c r="F191" s="1707">
        <f>SUM(F192:F193)</f>
        <v>1330781.1100000001</v>
      </c>
      <c r="G191" s="1697">
        <f t="shared" ref="G191:H191" si="126">+G192+G193</f>
        <v>2270228</v>
      </c>
      <c r="H191" s="1765">
        <f t="shared" si="126"/>
        <v>2654652</v>
      </c>
      <c r="I191" s="296">
        <f t="shared" ref="I191" si="127">+I192+I193</f>
        <v>5923518.1100000003</v>
      </c>
      <c r="J191" s="1256">
        <f t="shared" si="124"/>
        <v>58.006452971220845</v>
      </c>
      <c r="K191" s="297">
        <f>SUM(K192:K193)</f>
        <v>636572</v>
      </c>
      <c r="L191" s="1742">
        <f>K191/G191*100</f>
        <v>28.040003030532617</v>
      </c>
      <c r="M191" s="1762">
        <f t="shared" si="114"/>
        <v>-498542</v>
      </c>
      <c r="N191" s="3554"/>
    </row>
    <row r="192" spans="1:14" ht="12.95" customHeight="1" x14ac:dyDescent="0.2">
      <c r="A192" s="3621"/>
      <c r="B192" s="279" t="s">
        <v>5</v>
      </c>
      <c r="C192" s="3100"/>
      <c r="D192" s="1730">
        <f>+E192+F192+G192+H192</f>
        <v>2488357.1100000003</v>
      </c>
      <c r="E192" s="1702">
        <f>1303666+77484+155719</f>
        <v>1536869</v>
      </c>
      <c r="F192" s="1763">
        <v>79725.11</v>
      </c>
      <c r="G192" s="1702">
        <v>380228</v>
      </c>
      <c r="H192" s="1767">
        <f>311535+180000</f>
        <v>491535</v>
      </c>
      <c r="I192" s="1730">
        <f>F192+K192+E192</f>
        <v>1648376.11</v>
      </c>
      <c r="J192" s="1291">
        <f t="shared" si="124"/>
        <v>66.243550950771692</v>
      </c>
      <c r="K192" s="1702">
        <v>31782</v>
      </c>
      <c r="L192" s="1749">
        <f>K192/G192*100</f>
        <v>8.3586690091208435</v>
      </c>
      <c r="M192" s="1424">
        <f t="shared" si="114"/>
        <v>-158332</v>
      </c>
      <c r="N192" s="3555"/>
    </row>
    <row r="193" spans="1:14" ht="12.95" customHeight="1" x14ac:dyDescent="0.2">
      <c r="A193" s="3621"/>
      <c r="B193" s="279" t="s">
        <v>9</v>
      </c>
      <c r="C193" s="3100"/>
      <c r="D193" s="1730">
        <f>+E193+F193+G193+H193</f>
        <v>7723469</v>
      </c>
      <c r="E193" s="1702">
        <f>610857+809032+999407</f>
        <v>2419296</v>
      </c>
      <c r="F193" s="1763">
        <v>1251056</v>
      </c>
      <c r="G193" s="1702">
        <v>1890000</v>
      </c>
      <c r="H193" s="1767">
        <f>1413117+750000</f>
        <v>2163117</v>
      </c>
      <c r="I193" s="1730">
        <f>F193+K193+E193</f>
        <v>4275142</v>
      </c>
      <c r="J193" s="1291">
        <f t="shared" si="124"/>
        <v>55.352614220371699</v>
      </c>
      <c r="K193" s="1702">
        <v>604790</v>
      </c>
      <c r="L193" s="1749">
        <f>K193/G193*100</f>
        <v>31.9994708994709</v>
      </c>
      <c r="M193" s="1424">
        <f t="shared" si="114"/>
        <v>-340210</v>
      </c>
      <c r="N193" s="3555"/>
    </row>
    <row r="194" spans="1:14" ht="12.95" customHeight="1" x14ac:dyDescent="0.2">
      <c r="A194" s="3621"/>
      <c r="B194" s="419" t="s">
        <v>13</v>
      </c>
      <c r="C194" s="3100"/>
      <c r="D194" s="1750">
        <f t="shared" ref="D194:E194" si="128">+D196+D195</f>
        <v>26932718</v>
      </c>
      <c r="E194" s="1697">
        <f t="shared" si="128"/>
        <v>11020198</v>
      </c>
      <c r="F194" s="1707">
        <f>+F196</f>
        <v>3753212</v>
      </c>
      <c r="G194" s="1697">
        <f t="shared" ref="G194:H194" si="129">+G196+G195</f>
        <v>5670000</v>
      </c>
      <c r="H194" s="1765">
        <f t="shared" si="129"/>
        <v>6489308</v>
      </c>
      <c r="I194" s="296">
        <f t="shared" ref="I194" si="130">+I196+I195</f>
        <v>16587770</v>
      </c>
      <c r="J194" s="1256">
        <f t="shared" si="124"/>
        <v>61.589662060843622</v>
      </c>
      <c r="K194" s="297">
        <f>+K196</f>
        <v>1814360</v>
      </c>
      <c r="L194" s="1742">
        <f>K194/G194*100</f>
        <v>31.999294532627864</v>
      </c>
      <c r="M194" s="1762">
        <f t="shared" si="114"/>
        <v>-1020640</v>
      </c>
      <c r="N194" s="3555"/>
    </row>
    <row r="195" spans="1:14" ht="12" customHeight="1" x14ac:dyDescent="0.2">
      <c r="A195" s="3621"/>
      <c r="B195" s="279" t="s">
        <v>5</v>
      </c>
      <c r="C195" s="3100"/>
      <c r="D195" s="1730">
        <f>+E195+F195+G195+H195</f>
        <v>4156816</v>
      </c>
      <c r="E195" s="1702">
        <v>4156816</v>
      </c>
      <c r="F195" s="1755">
        <v>0</v>
      </c>
      <c r="G195" s="1702">
        <v>0</v>
      </c>
      <c r="H195" s="1767">
        <v>0</v>
      </c>
      <c r="I195" s="1730">
        <f>F195+K195+E195</f>
        <v>4156816</v>
      </c>
      <c r="J195" s="1291">
        <f t="shared" si="124"/>
        <v>100</v>
      </c>
      <c r="K195" s="280">
        <v>0</v>
      </c>
      <c r="L195" s="1077">
        <v>0</v>
      </c>
      <c r="M195" s="1424">
        <f t="shared" si="114"/>
        <v>0</v>
      </c>
      <c r="N195" s="3555"/>
    </row>
    <row r="196" spans="1:14" ht="12.95" customHeight="1" x14ac:dyDescent="0.2">
      <c r="A196" s="3621"/>
      <c r="B196" s="279" t="s">
        <v>9</v>
      </c>
      <c r="C196" s="3100"/>
      <c r="D196" s="1730">
        <f>+E196+F196+G196+H196</f>
        <v>22775902</v>
      </c>
      <c r="E196" s="1702">
        <f>1438107+2427053+2998222</f>
        <v>6863382</v>
      </c>
      <c r="F196" s="1763">
        <v>3753212</v>
      </c>
      <c r="G196" s="1702">
        <v>5670000</v>
      </c>
      <c r="H196" s="1767">
        <f>4239308+2250000</f>
        <v>6489308</v>
      </c>
      <c r="I196" s="1730">
        <f>F196+K196+E196</f>
        <v>12430954</v>
      </c>
      <c r="J196" s="1291">
        <f t="shared" si="124"/>
        <v>54.579414681359275</v>
      </c>
      <c r="K196" s="1702">
        <v>1814360</v>
      </c>
      <c r="L196" s="1749">
        <f>K196/G196*100</f>
        <v>31.999294532627864</v>
      </c>
      <c r="M196" s="1424">
        <f t="shared" si="114"/>
        <v>-1020640</v>
      </c>
      <c r="N196" s="3555"/>
    </row>
    <row r="197" spans="1:14" ht="12" customHeight="1" x14ac:dyDescent="0.2">
      <c r="A197" s="3621"/>
      <c r="B197" s="312" t="s">
        <v>17</v>
      </c>
      <c r="C197" s="724"/>
      <c r="D197" s="302">
        <f t="shared" ref="D197:E197" si="131">+D198+D201</f>
        <v>35959853</v>
      </c>
      <c r="E197" s="304">
        <f t="shared" si="131"/>
        <v>13623160</v>
      </c>
      <c r="F197" s="1499">
        <f>+F198+F201</f>
        <v>6124268</v>
      </c>
      <c r="G197" s="304">
        <f t="shared" ref="G197:H197" si="132">+G198+G201</f>
        <v>7560000</v>
      </c>
      <c r="H197" s="1180">
        <f t="shared" si="132"/>
        <v>8652425</v>
      </c>
      <c r="I197" s="302">
        <f t="shared" ref="I197" si="133">+I198+I201</f>
        <v>23448752</v>
      </c>
      <c r="J197" s="1181">
        <f t="shared" si="124"/>
        <v>65.20814197989074</v>
      </c>
      <c r="K197" s="304">
        <f>+K198+K201</f>
        <v>3701324</v>
      </c>
      <c r="L197" s="1740">
        <f>K197/G197*100</f>
        <v>48.95931216931217</v>
      </c>
      <c r="M197" s="1185">
        <f t="shared" si="114"/>
        <v>-78676</v>
      </c>
      <c r="N197" s="3555"/>
    </row>
    <row r="198" spans="1:14" ht="12.95" customHeight="1" x14ac:dyDescent="0.2">
      <c r="A198" s="3621"/>
      <c r="B198" s="419" t="s">
        <v>4</v>
      </c>
      <c r="C198" s="3122" t="s">
        <v>212</v>
      </c>
      <c r="D198" s="1750">
        <f t="shared" ref="D198:E198" si="134">+D199+D200</f>
        <v>9027135</v>
      </c>
      <c r="E198" s="1697">
        <f t="shared" si="134"/>
        <v>3442962</v>
      </c>
      <c r="F198" s="1707">
        <f>+F199+F200</f>
        <v>1531056</v>
      </c>
      <c r="G198" s="1697">
        <f t="shared" ref="G198:H198" si="135">+G199+G200</f>
        <v>1890000</v>
      </c>
      <c r="H198" s="1765">
        <f t="shared" si="135"/>
        <v>2163117</v>
      </c>
      <c r="I198" s="296">
        <f t="shared" ref="I198" si="136">+I199+I200</f>
        <v>6150011</v>
      </c>
      <c r="J198" s="1256">
        <f t="shared" si="124"/>
        <v>68.1280494863542</v>
      </c>
      <c r="K198" s="297">
        <f>+K199+K200</f>
        <v>1175993</v>
      </c>
      <c r="L198" s="1742">
        <f>K198/G198*100</f>
        <v>62.221851851851852</v>
      </c>
      <c r="M198" s="1762">
        <f t="shared" si="114"/>
        <v>230993</v>
      </c>
      <c r="N198" s="3555"/>
    </row>
    <row r="199" spans="1:14" ht="12.95" customHeight="1" x14ac:dyDescent="0.2">
      <c r="A199" s="3621"/>
      <c r="B199" s="279" t="s">
        <v>9</v>
      </c>
      <c r="C199" s="3100"/>
      <c r="D199" s="1730">
        <f>+E199+F199+G199+H199</f>
        <v>7723469</v>
      </c>
      <c r="E199" s="1702">
        <f>610857+809032+999407</f>
        <v>2419296</v>
      </c>
      <c r="F199" s="1763">
        <v>1251056</v>
      </c>
      <c r="G199" s="1702">
        <v>1890000</v>
      </c>
      <c r="H199" s="1767">
        <f>1413117+750000</f>
        <v>2163117</v>
      </c>
      <c r="I199" s="1730">
        <f>F199+K199+E199</f>
        <v>4470352</v>
      </c>
      <c r="J199" s="1291">
        <f t="shared" si="124"/>
        <v>57.88010542930904</v>
      </c>
      <c r="K199" s="1702">
        <v>800000</v>
      </c>
      <c r="L199" s="1749">
        <f>K199/G199*100</f>
        <v>42.328042328042329</v>
      </c>
      <c r="M199" s="1424">
        <f t="shared" si="114"/>
        <v>-145000</v>
      </c>
      <c r="N199" s="3555"/>
    </row>
    <row r="200" spans="1:14" ht="12.95" customHeight="1" x14ac:dyDescent="0.2">
      <c r="A200" s="3621"/>
      <c r="B200" s="279" t="s">
        <v>192</v>
      </c>
      <c r="C200" s="3100"/>
      <c r="D200" s="1730">
        <f>+E200+F200+G200+H200</f>
        <v>1303666</v>
      </c>
      <c r="E200" s="1702">
        <f>453868+569798</f>
        <v>1023666</v>
      </c>
      <c r="F200" s="1763">
        <v>280000</v>
      </c>
      <c r="G200" s="1702">
        <v>0</v>
      </c>
      <c r="H200" s="1767">
        <v>0</v>
      </c>
      <c r="I200" s="1730">
        <f>F200+K200+E200</f>
        <v>1679659</v>
      </c>
      <c r="J200" s="1291">
        <f t="shared" si="124"/>
        <v>128.84120625988558</v>
      </c>
      <c r="K200" s="1702">
        <v>375993</v>
      </c>
      <c r="L200" s="1077">
        <v>0</v>
      </c>
      <c r="M200" s="1424">
        <f t="shared" si="114"/>
        <v>375993</v>
      </c>
      <c r="N200" s="3555"/>
    </row>
    <row r="201" spans="1:14" ht="12.95" customHeight="1" x14ac:dyDescent="0.2">
      <c r="A201" s="3621"/>
      <c r="B201" s="419" t="s">
        <v>13</v>
      </c>
      <c r="C201" s="3100"/>
      <c r="D201" s="1750">
        <f t="shared" ref="D201:E201" si="137">+D202+D203</f>
        <v>26932718</v>
      </c>
      <c r="E201" s="1697">
        <f t="shared" si="137"/>
        <v>10180198</v>
      </c>
      <c r="F201" s="1707">
        <f>+F202+F203</f>
        <v>4593212</v>
      </c>
      <c r="G201" s="1697">
        <f t="shared" ref="G201:H201" si="138">+G202+G203</f>
        <v>5670000</v>
      </c>
      <c r="H201" s="1765">
        <f t="shared" si="138"/>
        <v>6489308</v>
      </c>
      <c r="I201" s="296">
        <f t="shared" ref="I201" si="139">+I202+I203</f>
        <v>17298741</v>
      </c>
      <c r="J201" s="1256">
        <f t="shared" si="124"/>
        <v>64.229466183101152</v>
      </c>
      <c r="K201" s="297">
        <f>+K202+K203</f>
        <v>2525331</v>
      </c>
      <c r="L201" s="1742">
        <f>K201/G201*100</f>
        <v>44.538465608465607</v>
      </c>
      <c r="M201" s="1762">
        <f t="shared" si="114"/>
        <v>-309669</v>
      </c>
      <c r="N201" s="3555"/>
    </row>
    <row r="202" spans="1:14" ht="12.95" customHeight="1" thickBot="1" x14ac:dyDescent="0.25">
      <c r="A202" s="3588"/>
      <c r="B202" s="279" t="s">
        <v>9</v>
      </c>
      <c r="C202" s="3100"/>
      <c r="D202" s="1730">
        <f>+E202+F202+G202+H202</f>
        <v>22775902</v>
      </c>
      <c r="E202" s="1702">
        <f>1438107+2427053+2998222</f>
        <v>6863382</v>
      </c>
      <c r="F202" s="1763">
        <v>3753212</v>
      </c>
      <c r="G202" s="1702">
        <v>5670000</v>
      </c>
      <c r="H202" s="1767">
        <f>4239308+2250000</f>
        <v>6489308</v>
      </c>
      <c r="I202" s="1730">
        <f>F202+K202+E202</f>
        <v>13016594</v>
      </c>
      <c r="J202" s="1291">
        <f t="shared" si="124"/>
        <v>57.150728871242947</v>
      </c>
      <c r="K202" s="1702">
        <v>2400000</v>
      </c>
      <c r="L202" s="1749">
        <f>K202/G202*100</f>
        <v>42.328042328042329</v>
      </c>
      <c r="M202" s="1424">
        <f t="shared" ref="M202:M256" si="140">+K202-G202*0.5</f>
        <v>-435000</v>
      </c>
      <c r="N202" s="3556"/>
    </row>
    <row r="203" spans="1:14" ht="12.95" customHeight="1" thickBot="1" x14ac:dyDescent="0.25">
      <c r="A203" s="3588"/>
      <c r="B203" s="341" t="s">
        <v>14</v>
      </c>
      <c r="C203" s="3136"/>
      <c r="D203" s="1785">
        <f>+E203+F203+G203+H203</f>
        <v>4156816</v>
      </c>
      <c r="E203" s="1786">
        <f>1352428+9176+1955212</f>
        <v>3316816</v>
      </c>
      <c r="F203" s="1787">
        <v>840000</v>
      </c>
      <c r="G203" s="1786">
        <v>0</v>
      </c>
      <c r="H203" s="1788">
        <v>0</v>
      </c>
      <c r="I203" s="1785">
        <f>F203+K203+E203</f>
        <v>4282147</v>
      </c>
      <c r="J203" s="1789">
        <f t="shared" si="124"/>
        <v>103.0150721128864</v>
      </c>
      <c r="K203" s="1786">
        <v>125331</v>
      </c>
      <c r="L203" s="1790">
        <v>0</v>
      </c>
      <c r="M203" s="1791">
        <f t="shared" si="140"/>
        <v>125331</v>
      </c>
      <c r="N203" s="3556"/>
    </row>
    <row r="204" spans="1:14" ht="24" customHeight="1" x14ac:dyDescent="0.2">
      <c r="A204" s="3629" t="s">
        <v>51</v>
      </c>
      <c r="B204" s="1738" t="s">
        <v>366</v>
      </c>
      <c r="C204" s="1716" t="s">
        <v>193</v>
      </c>
      <c r="D204" s="1210"/>
      <c r="E204" s="688"/>
      <c r="F204" s="688"/>
      <c r="G204" s="688"/>
      <c r="H204" s="1144"/>
      <c r="I204" s="1718"/>
      <c r="J204" s="1719"/>
      <c r="K204" s="1720"/>
      <c r="L204" s="1764"/>
      <c r="M204" s="1717"/>
      <c r="N204" s="3554" t="s">
        <v>211</v>
      </c>
    </row>
    <row r="205" spans="1:14" ht="12" customHeight="1" x14ac:dyDescent="0.2">
      <c r="A205" s="3630"/>
      <c r="B205" s="312" t="s">
        <v>3</v>
      </c>
      <c r="C205" s="724"/>
      <c r="D205" s="302">
        <f t="shared" ref="D205:H205" si="141">+D206+D209</f>
        <v>128166</v>
      </c>
      <c r="E205" s="304">
        <f t="shared" si="141"/>
        <v>78966</v>
      </c>
      <c r="F205" s="304">
        <f t="shared" si="141"/>
        <v>0</v>
      </c>
      <c r="G205" s="304">
        <f t="shared" si="141"/>
        <v>49200</v>
      </c>
      <c r="H205" s="1180">
        <f t="shared" si="141"/>
        <v>0</v>
      </c>
      <c r="I205" s="302">
        <f t="shared" ref="I205" si="142">+I206+I209</f>
        <v>78966</v>
      </c>
      <c r="J205" s="1181">
        <f>I205/D205*100</f>
        <v>61.612284069097889</v>
      </c>
      <c r="K205" s="304">
        <f>+K206+K209</f>
        <v>0</v>
      </c>
      <c r="L205" s="1740">
        <f>K205/G205*100</f>
        <v>0</v>
      </c>
      <c r="M205" s="1185">
        <f t="shared" si="140"/>
        <v>-24600</v>
      </c>
      <c r="N205" s="3555"/>
    </row>
    <row r="206" spans="1:14" ht="12.75" x14ac:dyDescent="0.2">
      <c r="A206" s="3630"/>
      <c r="B206" s="419" t="s">
        <v>4</v>
      </c>
      <c r="C206" s="3122" t="s">
        <v>212</v>
      </c>
      <c r="D206" s="296">
        <f t="shared" ref="D206:H206" si="143">+D207+D208</f>
        <v>49621</v>
      </c>
      <c r="E206" s="297">
        <f t="shared" si="143"/>
        <v>30421</v>
      </c>
      <c r="F206" s="297">
        <f t="shared" si="143"/>
        <v>0</v>
      </c>
      <c r="G206" s="297">
        <f t="shared" si="143"/>
        <v>19200</v>
      </c>
      <c r="H206" s="1782">
        <f t="shared" si="143"/>
        <v>0</v>
      </c>
      <c r="I206" s="296">
        <f t="shared" ref="I206" si="144">+I207+I208</f>
        <v>30421</v>
      </c>
      <c r="J206" s="1256">
        <f>I206/D206*100</f>
        <v>61.30670482255497</v>
      </c>
      <c r="K206" s="297">
        <f>SUM(K207:K208)</f>
        <v>0</v>
      </c>
      <c r="L206" s="1742">
        <f>K206/G206*100</f>
        <v>0</v>
      </c>
      <c r="M206" s="1423">
        <f t="shared" si="140"/>
        <v>-9600</v>
      </c>
      <c r="N206" s="3555"/>
    </row>
    <row r="207" spans="1:14" ht="11.25" customHeight="1" x14ac:dyDescent="0.2">
      <c r="A207" s="3630"/>
      <c r="B207" s="279" t="s">
        <v>5</v>
      </c>
      <c r="C207" s="3100"/>
      <c r="D207" s="1730">
        <f>+E207+F207+G207+H207</f>
        <v>23440</v>
      </c>
      <c r="E207" s="1702">
        <v>14240</v>
      </c>
      <c r="F207" s="1702">
        <v>0</v>
      </c>
      <c r="G207" s="1702">
        <v>9200</v>
      </c>
      <c r="H207" s="1767">
        <v>0</v>
      </c>
      <c r="I207" s="1730">
        <f>F207+K207+E207</f>
        <v>14240</v>
      </c>
      <c r="J207" s="1291">
        <f>I207/D207*100</f>
        <v>60.750853242320822</v>
      </c>
      <c r="K207" s="1702">
        <v>0</v>
      </c>
      <c r="L207" s="1749">
        <f>K207/G207*100</f>
        <v>0</v>
      </c>
      <c r="M207" s="1424">
        <f t="shared" si="140"/>
        <v>-4600</v>
      </c>
      <c r="N207" s="3555"/>
    </row>
    <row r="208" spans="1:14" ht="11.25" customHeight="1" x14ac:dyDescent="0.2">
      <c r="A208" s="3630"/>
      <c r="B208" s="279" t="s">
        <v>9</v>
      </c>
      <c r="C208" s="3100"/>
      <c r="D208" s="1730">
        <f>+E208+F208+G208+H208</f>
        <v>26181</v>
      </c>
      <c r="E208" s="1702">
        <v>16181</v>
      </c>
      <c r="F208" s="1702">
        <v>0</v>
      </c>
      <c r="G208" s="1702">
        <v>10000</v>
      </c>
      <c r="H208" s="1767">
        <v>0</v>
      </c>
      <c r="I208" s="1730">
        <f>F208+K208+E208</f>
        <v>16181</v>
      </c>
      <c r="J208" s="1291">
        <f>I208/D208*100</f>
        <v>61.80436194186624</v>
      </c>
      <c r="K208" s="1702">
        <v>0</v>
      </c>
      <c r="L208" s="1749">
        <f>K208/G208*100</f>
        <v>0</v>
      </c>
      <c r="M208" s="1424">
        <f t="shared" si="140"/>
        <v>-5000</v>
      </c>
      <c r="N208" s="3555"/>
    </row>
    <row r="209" spans="1:14" ht="12.75" x14ac:dyDescent="0.2">
      <c r="A209" s="3630"/>
      <c r="B209" s="419" t="s">
        <v>13</v>
      </c>
      <c r="C209" s="3100"/>
      <c r="D209" s="296">
        <f t="shared" ref="D209:H209" si="145">+D211+D210</f>
        <v>78545</v>
      </c>
      <c r="E209" s="297">
        <f t="shared" si="145"/>
        <v>48545</v>
      </c>
      <c r="F209" s="297">
        <f t="shared" si="145"/>
        <v>0</v>
      </c>
      <c r="G209" s="297">
        <f t="shared" si="145"/>
        <v>30000</v>
      </c>
      <c r="H209" s="1782">
        <f t="shared" si="145"/>
        <v>0</v>
      </c>
      <c r="I209" s="296">
        <f t="shared" ref="I209" si="146">+I211+I210</f>
        <v>48545</v>
      </c>
      <c r="J209" s="1256">
        <f>I209/D209*100</f>
        <v>61.805334521611812</v>
      </c>
      <c r="K209" s="297">
        <f>+K211</f>
        <v>0</v>
      </c>
      <c r="L209" s="1742">
        <f>K209/G209*100</f>
        <v>0</v>
      </c>
      <c r="M209" s="1423">
        <f t="shared" si="140"/>
        <v>-15000</v>
      </c>
      <c r="N209" s="3555"/>
    </row>
    <row r="210" spans="1:14" ht="8.25" hidden="1" customHeight="1" x14ac:dyDescent="0.2">
      <c r="A210" s="3630"/>
      <c r="B210" s="279" t="s">
        <v>5</v>
      </c>
      <c r="C210" s="3100"/>
      <c r="D210" s="1743">
        <f>+E210+F210+G210+H210</f>
        <v>0</v>
      </c>
      <c r="E210" s="1743"/>
      <c r="F210" s="1743">
        <v>0</v>
      </c>
      <c r="G210" s="1743">
        <v>0</v>
      </c>
      <c r="H210" s="1743">
        <v>0</v>
      </c>
      <c r="I210" s="1746"/>
      <c r="J210" s="1256"/>
      <c r="K210" s="523">
        <v>0</v>
      </c>
      <c r="L210" s="1742"/>
      <c r="M210" s="1728">
        <f t="shared" si="140"/>
        <v>0</v>
      </c>
      <c r="N210" s="3555"/>
    </row>
    <row r="211" spans="1:14" ht="12" customHeight="1" x14ac:dyDescent="0.2">
      <c r="A211" s="3630"/>
      <c r="B211" s="279" t="s">
        <v>9</v>
      </c>
      <c r="C211" s="3100"/>
      <c r="D211" s="1730">
        <f>+E211+F211+G211+H211</f>
        <v>78545</v>
      </c>
      <c r="E211" s="1702">
        <v>48545</v>
      </c>
      <c r="F211" s="1702"/>
      <c r="G211" s="1702">
        <v>30000</v>
      </c>
      <c r="H211" s="1767">
        <v>0</v>
      </c>
      <c r="I211" s="1730">
        <f>F211+K211+E211</f>
        <v>48545</v>
      </c>
      <c r="J211" s="1291">
        <f>I211/D211*100</f>
        <v>61.805334521611812</v>
      </c>
      <c r="K211" s="1702">
        <v>0</v>
      </c>
      <c r="L211" s="1749">
        <f t="shared" ref="L211:L217" si="147">K211/G211*100</f>
        <v>0</v>
      </c>
      <c r="M211" s="1424">
        <f t="shared" si="140"/>
        <v>-15000</v>
      </c>
      <c r="N211" s="3555"/>
    </row>
    <row r="212" spans="1:14" ht="11.25" customHeight="1" x14ac:dyDescent="0.2">
      <c r="A212" s="3630"/>
      <c r="B212" s="312" t="s">
        <v>17</v>
      </c>
      <c r="C212" s="724"/>
      <c r="D212" s="302">
        <f t="shared" ref="D212:H212" si="148">+D213+D216</f>
        <v>104726</v>
      </c>
      <c r="E212" s="304">
        <f t="shared" si="148"/>
        <v>64726</v>
      </c>
      <c r="F212" s="304">
        <f t="shared" si="148"/>
        <v>0</v>
      </c>
      <c r="G212" s="304">
        <f t="shared" si="148"/>
        <v>40000</v>
      </c>
      <c r="H212" s="1180">
        <f t="shared" si="148"/>
        <v>0</v>
      </c>
      <c r="I212" s="302">
        <f t="shared" ref="I212" si="149">+I213+I216</f>
        <v>64726</v>
      </c>
      <c r="J212" s="1181">
        <f>I212/D212*100</f>
        <v>61.805091381318867</v>
      </c>
      <c r="K212" s="304">
        <f>+K213+K216</f>
        <v>0</v>
      </c>
      <c r="L212" s="1740">
        <f t="shared" si="147"/>
        <v>0</v>
      </c>
      <c r="M212" s="1185">
        <f t="shared" si="140"/>
        <v>-20000</v>
      </c>
      <c r="N212" s="3555"/>
    </row>
    <row r="213" spans="1:14" ht="12" customHeight="1" x14ac:dyDescent="0.2">
      <c r="A213" s="3630"/>
      <c r="B213" s="419" t="s">
        <v>4</v>
      </c>
      <c r="C213" s="3122" t="s">
        <v>212</v>
      </c>
      <c r="D213" s="296">
        <f t="shared" ref="D213:H213" si="150">+D214+D215</f>
        <v>26181</v>
      </c>
      <c r="E213" s="297">
        <f t="shared" si="150"/>
        <v>16181</v>
      </c>
      <c r="F213" s="297">
        <f t="shared" si="150"/>
        <v>0</v>
      </c>
      <c r="G213" s="297">
        <f t="shared" si="150"/>
        <v>10000</v>
      </c>
      <c r="H213" s="1782">
        <f t="shared" si="150"/>
        <v>0</v>
      </c>
      <c r="I213" s="296">
        <f t="shared" ref="I213" si="151">+I214+I215</f>
        <v>16181</v>
      </c>
      <c r="J213" s="1256">
        <f>I213/D213*100</f>
        <v>61.80436194186624</v>
      </c>
      <c r="K213" s="297">
        <f>+K214+K215</f>
        <v>0</v>
      </c>
      <c r="L213" s="1742">
        <f t="shared" si="147"/>
        <v>0</v>
      </c>
      <c r="M213" s="1423">
        <f t="shared" si="140"/>
        <v>-5000</v>
      </c>
      <c r="N213" s="3555"/>
    </row>
    <row r="214" spans="1:14" ht="12" customHeight="1" x14ac:dyDescent="0.2">
      <c r="A214" s="3630"/>
      <c r="B214" s="279" t="s">
        <v>9</v>
      </c>
      <c r="C214" s="3100"/>
      <c r="D214" s="1730">
        <f>+E214+F214+G214+H214</f>
        <v>26181</v>
      </c>
      <c r="E214" s="1702">
        <v>16181</v>
      </c>
      <c r="F214" s="1702"/>
      <c r="G214" s="1702">
        <v>10000</v>
      </c>
      <c r="H214" s="1767">
        <v>0</v>
      </c>
      <c r="I214" s="1730">
        <f>F214+K214+E214</f>
        <v>16181</v>
      </c>
      <c r="J214" s="1291">
        <f>I214/D214*100</f>
        <v>61.80436194186624</v>
      </c>
      <c r="K214" s="1702">
        <v>0</v>
      </c>
      <c r="L214" s="1749">
        <f t="shared" si="147"/>
        <v>0</v>
      </c>
      <c r="M214" s="1424">
        <f t="shared" si="140"/>
        <v>-5000</v>
      </c>
      <c r="N214" s="3132"/>
    </row>
    <row r="215" spans="1:14" ht="12" hidden="1" customHeight="1" x14ac:dyDescent="0.2">
      <c r="A215" s="3629"/>
      <c r="B215" s="279" t="s">
        <v>192</v>
      </c>
      <c r="C215" s="3100"/>
      <c r="D215" s="1743">
        <f>+E215+F215+G215+H215</f>
        <v>0</v>
      </c>
      <c r="E215" s="1743"/>
      <c r="F215" s="1743"/>
      <c r="G215" s="1743"/>
      <c r="H215" s="1792">
        <v>0</v>
      </c>
      <c r="I215" s="1746"/>
      <c r="J215" s="1747"/>
      <c r="K215" s="1743"/>
      <c r="L215" s="1748" t="e">
        <f t="shared" si="147"/>
        <v>#DIV/0!</v>
      </c>
      <c r="M215" s="1728">
        <f t="shared" si="140"/>
        <v>0</v>
      </c>
      <c r="N215" s="3554"/>
    </row>
    <row r="216" spans="1:14" ht="12" customHeight="1" x14ac:dyDescent="0.2">
      <c r="A216" s="3630"/>
      <c r="B216" s="419" t="s">
        <v>13</v>
      </c>
      <c r="C216" s="3100"/>
      <c r="D216" s="296">
        <f t="shared" ref="D216:H216" si="152">+D217+D218</f>
        <v>78545</v>
      </c>
      <c r="E216" s="297">
        <f t="shared" si="152"/>
        <v>48545</v>
      </c>
      <c r="F216" s="297">
        <f t="shared" si="152"/>
        <v>0</v>
      </c>
      <c r="G216" s="297">
        <f t="shared" si="152"/>
        <v>30000</v>
      </c>
      <c r="H216" s="1782">
        <f t="shared" si="152"/>
        <v>0</v>
      </c>
      <c r="I216" s="296">
        <f t="shared" ref="I216" si="153">+I217+I218</f>
        <v>48545</v>
      </c>
      <c r="J216" s="1256">
        <f>I216/D216*100</f>
        <v>61.805334521611812</v>
      </c>
      <c r="K216" s="297">
        <f>+K217+K218</f>
        <v>0</v>
      </c>
      <c r="L216" s="1742">
        <f t="shared" si="147"/>
        <v>0</v>
      </c>
      <c r="M216" s="1423">
        <f t="shared" si="140"/>
        <v>-15000</v>
      </c>
      <c r="N216" s="3555"/>
    </row>
    <row r="217" spans="1:14" ht="12" customHeight="1" thickBot="1" x14ac:dyDescent="0.25">
      <c r="A217" s="3630"/>
      <c r="B217" s="279" t="s">
        <v>9</v>
      </c>
      <c r="C217" s="3100"/>
      <c r="D217" s="1730">
        <f>+E217+F217+G217+H217</f>
        <v>78545</v>
      </c>
      <c r="E217" s="1702">
        <v>48545</v>
      </c>
      <c r="F217" s="1702"/>
      <c r="G217" s="1702">
        <v>30000</v>
      </c>
      <c r="H217" s="1767">
        <v>0</v>
      </c>
      <c r="I217" s="1730">
        <f>F217+K217+E217</f>
        <v>48545</v>
      </c>
      <c r="J217" s="1291">
        <f>I217/D217*100</f>
        <v>61.805334521611812</v>
      </c>
      <c r="K217" s="1702">
        <v>0</v>
      </c>
      <c r="L217" s="1749">
        <f t="shared" si="147"/>
        <v>0</v>
      </c>
      <c r="M217" s="1424">
        <f t="shared" si="140"/>
        <v>-15000</v>
      </c>
      <c r="N217" s="3555"/>
    </row>
    <row r="218" spans="1:14" ht="9" hidden="1" customHeight="1" thickBot="1" x14ac:dyDescent="0.25">
      <c r="A218" s="3630"/>
      <c r="B218" s="341" t="s">
        <v>14</v>
      </c>
      <c r="C218" s="3136"/>
      <c r="D218" s="1793">
        <f>+E218+F218+G218+H218</f>
        <v>0</v>
      </c>
      <c r="E218" s="1794"/>
      <c r="F218" s="1794"/>
      <c r="G218" s="1794"/>
      <c r="H218" s="1795">
        <v>0</v>
      </c>
      <c r="I218" s="1796"/>
      <c r="J218" s="1793"/>
      <c r="K218" s="1794"/>
      <c r="L218" s="1793"/>
      <c r="M218" s="1797">
        <f t="shared" si="140"/>
        <v>0</v>
      </c>
      <c r="N218" s="3132"/>
    </row>
    <row r="219" spans="1:14" ht="36.75" customHeight="1" x14ac:dyDescent="0.2">
      <c r="A219" s="3606" t="s">
        <v>53</v>
      </c>
      <c r="B219" s="1715" t="s">
        <v>213</v>
      </c>
      <c r="C219" s="1798" t="s">
        <v>198</v>
      </c>
      <c r="D219" s="1210"/>
      <c r="E219" s="688"/>
      <c r="F219" s="688"/>
      <c r="G219" s="688"/>
      <c r="H219" s="1144"/>
      <c r="I219" s="1718"/>
      <c r="J219" s="1719"/>
      <c r="K219" s="1720"/>
      <c r="L219" s="1764"/>
      <c r="M219" s="1717"/>
      <c r="N219" s="3130" t="s">
        <v>202</v>
      </c>
    </row>
    <row r="220" spans="1:14" ht="11.25" customHeight="1" x14ac:dyDescent="0.2">
      <c r="A220" s="3571"/>
      <c r="B220" s="1721" t="s">
        <v>3</v>
      </c>
      <c r="C220" s="724"/>
      <c r="D220" s="302">
        <f t="shared" ref="D220:H220" si="154">D221+D223</f>
        <v>17418</v>
      </c>
      <c r="E220" s="304">
        <f t="shared" si="154"/>
        <v>10943</v>
      </c>
      <c r="F220" s="304">
        <f t="shared" si="154"/>
        <v>2852</v>
      </c>
      <c r="G220" s="304">
        <f t="shared" si="154"/>
        <v>3623</v>
      </c>
      <c r="H220" s="1180">
        <f t="shared" si="154"/>
        <v>0</v>
      </c>
      <c r="I220" s="302">
        <f t="shared" ref="I220" si="155">I221+I223</f>
        <v>13795</v>
      </c>
      <c r="J220" s="1181">
        <f t="shared" ref="J220:J227" si="156">I220/D220*100</f>
        <v>79.199678493512465</v>
      </c>
      <c r="K220" s="304">
        <f>K221+K223</f>
        <v>0</v>
      </c>
      <c r="L220" s="1740">
        <f t="shared" ref="L220:L227" si="157">K220/G220*100</f>
        <v>0</v>
      </c>
      <c r="M220" s="1185">
        <f t="shared" si="140"/>
        <v>-1811.5</v>
      </c>
      <c r="N220" s="3098"/>
    </row>
    <row r="221" spans="1:14" ht="12.95" customHeight="1" x14ac:dyDescent="0.2">
      <c r="A221" s="3571"/>
      <c r="B221" s="1722" t="s">
        <v>4</v>
      </c>
      <c r="C221" s="3631" t="s">
        <v>214</v>
      </c>
      <c r="D221" s="1750">
        <f t="shared" ref="D221:K221" si="158">D222</f>
        <v>2612</v>
      </c>
      <c r="E221" s="1697">
        <f t="shared" si="158"/>
        <v>1641</v>
      </c>
      <c r="F221" s="1697">
        <f t="shared" si="158"/>
        <v>428</v>
      </c>
      <c r="G221" s="1697">
        <f t="shared" si="158"/>
        <v>543</v>
      </c>
      <c r="H221" s="1765">
        <f t="shared" si="158"/>
        <v>0</v>
      </c>
      <c r="I221" s="296">
        <f t="shared" si="158"/>
        <v>2069</v>
      </c>
      <c r="J221" s="1256">
        <f t="shared" si="156"/>
        <v>79.211332312404295</v>
      </c>
      <c r="K221" s="297">
        <f t="shared" si="158"/>
        <v>0</v>
      </c>
      <c r="L221" s="1742">
        <f t="shared" si="157"/>
        <v>0</v>
      </c>
      <c r="M221" s="1762">
        <f t="shared" si="140"/>
        <v>-271.5</v>
      </c>
      <c r="N221" s="3098"/>
    </row>
    <row r="222" spans="1:14" ht="12.95" customHeight="1" x14ac:dyDescent="0.2">
      <c r="A222" s="3571"/>
      <c r="B222" s="1724" t="s">
        <v>5</v>
      </c>
      <c r="C222" s="3632"/>
      <c r="D222" s="1730">
        <f>+E222+F222+G222+H222</f>
        <v>2612</v>
      </c>
      <c r="E222" s="1702">
        <v>1641</v>
      </c>
      <c r="F222" s="1702">
        <v>428</v>
      </c>
      <c r="G222" s="1702">
        <v>543</v>
      </c>
      <c r="H222" s="1767"/>
      <c r="I222" s="1730">
        <f>F222+K222+E222</f>
        <v>2069</v>
      </c>
      <c r="J222" s="1291">
        <f t="shared" si="156"/>
        <v>79.211332312404295</v>
      </c>
      <c r="K222" s="1702">
        <v>0</v>
      </c>
      <c r="L222" s="1749">
        <f t="shared" si="157"/>
        <v>0</v>
      </c>
      <c r="M222" s="1424">
        <f t="shared" si="140"/>
        <v>-271.5</v>
      </c>
      <c r="N222" s="3098"/>
    </row>
    <row r="223" spans="1:14" ht="12.95" customHeight="1" thickBot="1" x14ac:dyDescent="0.25">
      <c r="A223" s="3587"/>
      <c r="B223" s="1799" t="s">
        <v>13</v>
      </c>
      <c r="C223" s="3632"/>
      <c r="D223" s="1750">
        <f t="shared" ref="D223:K223" si="159">D224</f>
        <v>14806</v>
      </c>
      <c r="E223" s="1697">
        <f t="shared" si="159"/>
        <v>9302</v>
      </c>
      <c r="F223" s="1697">
        <f t="shared" si="159"/>
        <v>2424</v>
      </c>
      <c r="G223" s="1697">
        <f t="shared" si="159"/>
        <v>3080</v>
      </c>
      <c r="H223" s="1765">
        <f t="shared" si="159"/>
        <v>0</v>
      </c>
      <c r="I223" s="296">
        <f t="shared" si="159"/>
        <v>11726</v>
      </c>
      <c r="J223" s="1256">
        <f t="shared" si="156"/>
        <v>79.197622585438339</v>
      </c>
      <c r="K223" s="297">
        <f t="shared" si="159"/>
        <v>0</v>
      </c>
      <c r="L223" s="1742">
        <f t="shared" si="157"/>
        <v>0</v>
      </c>
      <c r="M223" s="1762">
        <f t="shared" si="140"/>
        <v>-1540</v>
      </c>
      <c r="N223" s="3131"/>
    </row>
    <row r="224" spans="1:14" ht="11.25" customHeight="1" x14ac:dyDescent="0.2">
      <c r="A224" s="3570"/>
      <c r="B224" s="1724" t="s">
        <v>15</v>
      </c>
      <c r="C224" s="3632"/>
      <c r="D224" s="1730">
        <f>+E224+F224+G224+H224</f>
        <v>14806</v>
      </c>
      <c r="E224" s="1702">
        <v>9302</v>
      </c>
      <c r="F224" s="1702">
        <v>2424</v>
      </c>
      <c r="G224" s="1702">
        <v>3080</v>
      </c>
      <c r="H224" s="1767"/>
      <c r="I224" s="1730">
        <f>F224+K224+E224</f>
        <v>11726</v>
      </c>
      <c r="J224" s="1291">
        <f t="shared" si="156"/>
        <v>79.197622585438339</v>
      </c>
      <c r="K224" s="1702">
        <v>0</v>
      </c>
      <c r="L224" s="1749">
        <f t="shared" si="157"/>
        <v>0</v>
      </c>
      <c r="M224" s="1424">
        <f t="shared" si="140"/>
        <v>-1540</v>
      </c>
      <c r="N224" s="3130"/>
    </row>
    <row r="225" spans="1:58" ht="12" customHeight="1" x14ac:dyDescent="0.2">
      <c r="A225" s="3571"/>
      <c r="B225" s="1721" t="s">
        <v>17</v>
      </c>
      <c r="C225" s="724"/>
      <c r="D225" s="302">
        <f t="shared" ref="D225:K226" si="160">D226</f>
        <v>14806</v>
      </c>
      <c r="E225" s="304">
        <f t="shared" si="160"/>
        <v>0</v>
      </c>
      <c r="F225" s="304">
        <f t="shared" si="160"/>
        <v>9302</v>
      </c>
      <c r="G225" s="304">
        <f t="shared" si="160"/>
        <v>3329</v>
      </c>
      <c r="H225" s="1180">
        <f t="shared" si="160"/>
        <v>2175</v>
      </c>
      <c r="I225" s="302">
        <f t="shared" si="160"/>
        <v>11577</v>
      </c>
      <c r="J225" s="1181">
        <f t="shared" si="156"/>
        <v>78.191273807915707</v>
      </c>
      <c r="K225" s="304">
        <f t="shared" si="160"/>
        <v>2275</v>
      </c>
      <c r="L225" s="1740">
        <f t="shared" si="157"/>
        <v>68.338840492640429</v>
      </c>
      <c r="M225" s="1185">
        <f t="shared" si="140"/>
        <v>610.5</v>
      </c>
      <c r="N225" s="3098"/>
    </row>
    <row r="226" spans="1:58" ht="11.25" customHeight="1" x14ac:dyDescent="0.2">
      <c r="A226" s="3571"/>
      <c r="B226" s="1799" t="s">
        <v>13</v>
      </c>
      <c r="C226" s="3631" t="s">
        <v>215</v>
      </c>
      <c r="D226" s="1750">
        <f t="shared" si="160"/>
        <v>14806</v>
      </c>
      <c r="E226" s="1697">
        <f t="shared" si="160"/>
        <v>0</v>
      </c>
      <c r="F226" s="1697">
        <f t="shared" si="160"/>
        <v>9302</v>
      </c>
      <c r="G226" s="1697">
        <f t="shared" si="160"/>
        <v>3329</v>
      </c>
      <c r="H226" s="1765">
        <f t="shared" si="160"/>
        <v>2175</v>
      </c>
      <c r="I226" s="296">
        <f t="shared" si="160"/>
        <v>11577</v>
      </c>
      <c r="J226" s="1751">
        <f t="shared" si="156"/>
        <v>78.191273807915707</v>
      </c>
      <c r="K226" s="1697">
        <f t="shared" si="160"/>
        <v>2275</v>
      </c>
      <c r="L226" s="1766">
        <f t="shared" si="157"/>
        <v>68.338840492640429</v>
      </c>
      <c r="M226" s="1762">
        <f t="shared" si="140"/>
        <v>610.5</v>
      </c>
      <c r="N226" s="3098"/>
    </row>
    <row r="227" spans="1:58" ht="12.95" customHeight="1" thickBot="1" x14ac:dyDescent="0.25">
      <c r="A227" s="3587"/>
      <c r="B227" s="1800" t="s">
        <v>15</v>
      </c>
      <c r="C227" s="3633"/>
      <c r="D227" s="289">
        <f>+E227+F227+G227+H227</f>
        <v>14806</v>
      </c>
      <c r="E227" s="1712"/>
      <c r="F227" s="1712">
        <v>9302</v>
      </c>
      <c r="G227" s="1712">
        <v>3329</v>
      </c>
      <c r="H227" s="1770">
        <v>2175</v>
      </c>
      <c r="I227" s="289">
        <f>F227+K227+E227</f>
        <v>11577</v>
      </c>
      <c r="J227" s="290">
        <f t="shared" si="156"/>
        <v>78.191273807915707</v>
      </c>
      <c r="K227" s="1712">
        <v>2275</v>
      </c>
      <c r="L227" s="1162">
        <f t="shared" si="157"/>
        <v>68.338840492640429</v>
      </c>
      <c r="M227" s="1428">
        <f t="shared" si="140"/>
        <v>610.5</v>
      </c>
      <c r="N227" s="3131"/>
    </row>
    <row r="228" spans="1:58" ht="32.25" customHeight="1" thickBot="1" x14ac:dyDescent="0.25">
      <c r="A228" s="3616" t="s">
        <v>216</v>
      </c>
      <c r="B228" s="3617"/>
      <c r="C228" s="3617"/>
      <c r="D228" s="3617"/>
      <c r="E228" s="3617"/>
      <c r="F228" s="3617"/>
      <c r="G228" s="3617"/>
      <c r="H228" s="3617"/>
      <c r="I228" s="3617"/>
      <c r="J228" s="3617"/>
      <c r="K228" s="3617"/>
      <c r="L228" s="3617"/>
      <c r="M228" s="3617"/>
      <c r="N228" s="3618"/>
    </row>
    <row r="229" spans="1:58" ht="18" customHeight="1" thickBot="1" x14ac:dyDescent="0.25">
      <c r="A229" s="612"/>
      <c r="B229" s="139" t="s">
        <v>189</v>
      </c>
      <c r="C229" s="204"/>
      <c r="D229" s="20">
        <f t="shared" ref="D229:H229" si="161">D230+D231</f>
        <v>14938616</v>
      </c>
      <c r="E229" s="21">
        <f t="shared" si="161"/>
        <v>10018546</v>
      </c>
      <c r="F229" s="19">
        <f t="shared" si="161"/>
        <v>3779769</v>
      </c>
      <c r="G229" s="21">
        <f t="shared" si="161"/>
        <v>1140301</v>
      </c>
      <c r="H229" s="797">
        <f t="shared" si="161"/>
        <v>0</v>
      </c>
      <c r="I229" s="23">
        <f t="shared" ref="I229" si="162">I230+I231</f>
        <v>13798315</v>
      </c>
      <c r="J229" s="141">
        <f>I229/D229*100</f>
        <v>92.366756063613934</v>
      </c>
      <c r="K229" s="21">
        <f>K230+K231</f>
        <v>0</v>
      </c>
      <c r="L229" s="141">
        <f>K229/G229*100</f>
        <v>0</v>
      </c>
      <c r="M229" s="22">
        <f t="shared" si="140"/>
        <v>-570150.5</v>
      </c>
      <c r="N229" s="3626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  <c r="BF229" s="125"/>
    </row>
    <row r="230" spans="1:58" ht="14.25" customHeight="1" thickTop="1" x14ac:dyDescent="0.2">
      <c r="A230" s="613"/>
      <c r="B230" s="147" t="s">
        <v>190</v>
      </c>
      <c r="C230" s="614"/>
      <c r="D230" s="798">
        <v>0</v>
      </c>
      <c r="E230" s="596">
        <v>0</v>
      </c>
      <c r="F230" s="596">
        <v>0</v>
      </c>
      <c r="G230" s="596">
        <v>0</v>
      </c>
      <c r="H230" s="150">
        <v>0</v>
      </c>
      <c r="I230" s="151">
        <v>0</v>
      </c>
      <c r="J230" s="799">
        <v>0</v>
      </c>
      <c r="K230" s="596">
        <v>0</v>
      </c>
      <c r="L230" s="799">
        <v>0</v>
      </c>
      <c r="M230" s="150">
        <f t="shared" si="140"/>
        <v>0</v>
      </c>
      <c r="N230" s="3627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  <c r="AY230" s="125"/>
      <c r="AZ230" s="125"/>
      <c r="BA230" s="125"/>
      <c r="BB230" s="125"/>
      <c r="BC230" s="125"/>
      <c r="BD230" s="125"/>
      <c r="BE230" s="125"/>
      <c r="BF230" s="125"/>
    </row>
    <row r="231" spans="1:58" ht="14.25" customHeight="1" thickBot="1" x14ac:dyDescent="0.25">
      <c r="A231" s="613"/>
      <c r="B231" s="800" t="s">
        <v>191</v>
      </c>
      <c r="C231" s="801"/>
      <c r="D231" s="156">
        <f>D242+D249</f>
        <v>14938616</v>
      </c>
      <c r="E231" s="155">
        <f t="shared" ref="E231:H231" si="163">E242+E249</f>
        <v>10018546</v>
      </c>
      <c r="F231" s="154">
        <f t="shared" si="163"/>
        <v>3779769</v>
      </c>
      <c r="G231" s="155">
        <f t="shared" si="163"/>
        <v>1140301</v>
      </c>
      <c r="H231" s="802">
        <f t="shared" si="163"/>
        <v>0</v>
      </c>
      <c r="I231" s="216">
        <f t="shared" ref="I231:K231" si="164">I242+I249</f>
        <v>13798315</v>
      </c>
      <c r="J231" s="99">
        <f t="shared" ref="J231:J240" si="165">I231/D231*100</f>
        <v>92.366756063613934</v>
      </c>
      <c r="K231" s="156">
        <f t="shared" si="164"/>
        <v>0</v>
      </c>
      <c r="L231" s="99">
        <f t="shared" ref="L231:L240" si="166">K231/G231*100</f>
        <v>0</v>
      </c>
      <c r="M231" s="215">
        <f t="shared" si="140"/>
        <v>-570150.5</v>
      </c>
      <c r="N231" s="3627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  <c r="AF231" s="125"/>
      <c r="AG231" s="125"/>
      <c r="AH231" s="125"/>
      <c r="AI231" s="125"/>
      <c r="AJ231" s="125"/>
      <c r="AK231" s="125"/>
      <c r="AL231" s="125"/>
      <c r="AM231" s="125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  <c r="AY231" s="125"/>
      <c r="AZ231" s="125"/>
      <c r="BA231" s="125"/>
      <c r="BB231" s="125"/>
      <c r="BC231" s="125"/>
      <c r="BD231" s="125"/>
      <c r="BE231" s="125"/>
      <c r="BF231" s="125"/>
    </row>
    <row r="232" spans="1:58" s="662" customFormat="1" ht="14.25" customHeight="1" x14ac:dyDescent="0.2">
      <c r="A232" s="3559"/>
      <c r="B232" s="217" t="s">
        <v>3</v>
      </c>
      <c r="C232" s="1169"/>
      <c r="D232" s="1170">
        <f t="shared" ref="D232:H232" si="167">+D233</f>
        <v>14938616</v>
      </c>
      <c r="E232" s="1171">
        <f t="shared" si="167"/>
        <v>10018546</v>
      </c>
      <c r="F232" s="1171">
        <f t="shared" si="167"/>
        <v>3779769</v>
      </c>
      <c r="G232" s="1171">
        <f t="shared" si="167"/>
        <v>1140301</v>
      </c>
      <c r="H232" s="1172">
        <f t="shared" si="167"/>
        <v>0</v>
      </c>
      <c r="I232" s="1173">
        <f t="shared" ref="I232" si="168">+I233</f>
        <v>13798315</v>
      </c>
      <c r="J232" s="1174">
        <f t="shared" si="165"/>
        <v>92.366756063613934</v>
      </c>
      <c r="K232" s="1175">
        <f>+K233</f>
        <v>0</v>
      </c>
      <c r="L232" s="1174">
        <f t="shared" si="166"/>
        <v>0</v>
      </c>
      <c r="M232" s="1183">
        <f t="shared" si="140"/>
        <v>-570150.5</v>
      </c>
      <c r="N232" s="3627"/>
      <c r="O232" s="661"/>
      <c r="P232" s="661"/>
      <c r="Q232" s="661"/>
      <c r="R232" s="661"/>
      <c r="S232" s="661"/>
      <c r="T232" s="661"/>
      <c r="U232" s="661"/>
      <c r="V232" s="661"/>
      <c r="W232" s="661"/>
      <c r="X232" s="661"/>
      <c r="Y232" s="661"/>
      <c r="Z232" s="661"/>
      <c r="AA232" s="661"/>
      <c r="AB232" s="661"/>
      <c r="AC232" s="661"/>
      <c r="AD232" s="661"/>
      <c r="AE232" s="661"/>
      <c r="AF232" s="661"/>
      <c r="AG232" s="661"/>
      <c r="AH232" s="661"/>
      <c r="AI232" s="661"/>
      <c r="AJ232" s="661"/>
      <c r="AK232" s="661"/>
      <c r="AL232" s="661"/>
      <c r="AM232" s="661"/>
      <c r="AN232" s="661"/>
      <c r="AO232" s="661"/>
      <c r="AP232" s="661"/>
      <c r="AQ232" s="661"/>
      <c r="AR232" s="661"/>
      <c r="AS232" s="661"/>
      <c r="AT232" s="661"/>
      <c r="AU232" s="661"/>
      <c r="AV232" s="661"/>
      <c r="AW232" s="661"/>
      <c r="AX232" s="661"/>
      <c r="AY232" s="661"/>
      <c r="AZ232" s="661"/>
      <c r="BA232" s="661"/>
      <c r="BB232" s="661"/>
      <c r="BC232" s="661"/>
      <c r="BD232" s="661"/>
      <c r="BE232" s="661"/>
      <c r="BF232" s="661"/>
    </row>
    <row r="233" spans="1:58" s="132" customFormat="1" ht="13.5" customHeight="1" x14ac:dyDescent="0.2">
      <c r="A233" s="3379"/>
      <c r="B233" s="222" t="s">
        <v>4</v>
      </c>
      <c r="C233" s="3619"/>
      <c r="D233" s="245">
        <f t="shared" ref="D233:H233" si="169">SUM(D234:D236)</f>
        <v>14938616</v>
      </c>
      <c r="E233" s="246">
        <f t="shared" si="169"/>
        <v>10018546</v>
      </c>
      <c r="F233" s="246">
        <f t="shared" si="169"/>
        <v>3779769</v>
      </c>
      <c r="G233" s="246">
        <f t="shared" si="169"/>
        <v>1140301</v>
      </c>
      <c r="H233" s="1176">
        <f t="shared" si="169"/>
        <v>0</v>
      </c>
      <c r="I233" s="240">
        <f t="shared" ref="I233" si="170">SUM(I234:I236)</f>
        <v>13798315</v>
      </c>
      <c r="J233" s="243">
        <f t="shared" si="165"/>
        <v>92.366756063613934</v>
      </c>
      <c r="K233" s="241">
        <f>SUM(K234:K236)</f>
        <v>0</v>
      </c>
      <c r="L233" s="243">
        <f t="shared" si="166"/>
        <v>0</v>
      </c>
      <c r="M233" s="1184">
        <f>+K233-G233*0.5</f>
        <v>-570150.5</v>
      </c>
      <c r="N233" s="3627"/>
    </row>
    <row r="234" spans="1:58" s="132" customFormat="1" ht="12" hidden="1" customHeight="1" x14ac:dyDescent="0.2">
      <c r="A234" s="3379"/>
      <c r="B234" s="226" t="s">
        <v>5</v>
      </c>
      <c r="C234" s="3076"/>
      <c r="D234" s="1177"/>
      <c r="E234" s="233"/>
      <c r="F234" s="233"/>
      <c r="G234" s="233"/>
      <c r="H234" s="234"/>
      <c r="I234" s="875"/>
      <c r="J234" s="803" t="e">
        <f t="shared" si="165"/>
        <v>#DIV/0!</v>
      </c>
      <c r="K234" s="231"/>
      <c r="L234" s="803" t="e">
        <f t="shared" si="166"/>
        <v>#DIV/0!</v>
      </c>
      <c r="M234" s="234">
        <f t="shared" si="140"/>
        <v>0</v>
      </c>
      <c r="N234" s="3627"/>
    </row>
    <row r="235" spans="1:58" s="132" customFormat="1" ht="12.95" customHeight="1" outlineLevel="1" thickBot="1" x14ac:dyDescent="0.25">
      <c r="A235" s="3380"/>
      <c r="B235" s="226" t="s">
        <v>9</v>
      </c>
      <c r="C235" s="3076"/>
      <c r="D235" s="245">
        <f t="shared" ref="D235:H235" si="171">D252</f>
        <v>674361</v>
      </c>
      <c r="E235" s="246">
        <f t="shared" si="171"/>
        <v>0</v>
      </c>
      <c r="F235" s="246">
        <f t="shared" si="171"/>
        <v>461134</v>
      </c>
      <c r="G235" s="246">
        <f t="shared" si="171"/>
        <v>213227</v>
      </c>
      <c r="H235" s="234">
        <f t="shared" si="171"/>
        <v>0</v>
      </c>
      <c r="I235" s="244">
        <f t="shared" ref="I235" si="172">I252</f>
        <v>461134</v>
      </c>
      <c r="J235" s="1178">
        <f t="shared" si="165"/>
        <v>68.380882049821977</v>
      </c>
      <c r="K235" s="246">
        <f t="shared" ref="K235" si="173">K252</f>
        <v>0</v>
      </c>
      <c r="L235" s="1178">
        <f t="shared" si="166"/>
        <v>0</v>
      </c>
      <c r="M235" s="1184">
        <f t="shared" si="140"/>
        <v>-106613.5</v>
      </c>
      <c r="N235" s="3628"/>
    </row>
    <row r="236" spans="1:58" s="132" customFormat="1" ht="12.75" outlineLevel="1" x14ac:dyDescent="0.2">
      <c r="A236" s="3379"/>
      <c r="B236" s="226" t="s">
        <v>30</v>
      </c>
      <c r="C236" s="3076"/>
      <c r="D236" s="245">
        <f t="shared" ref="D236:H236" si="174">D244+D251</f>
        <v>14264255</v>
      </c>
      <c r="E236" s="246">
        <f t="shared" si="174"/>
        <v>10018546</v>
      </c>
      <c r="F236" s="246">
        <f t="shared" si="174"/>
        <v>3318635</v>
      </c>
      <c r="G236" s="246">
        <f t="shared" si="174"/>
        <v>927074</v>
      </c>
      <c r="H236" s="234">
        <f t="shared" si="174"/>
        <v>0</v>
      </c>
      <c r="I236" s="244">
        <f t="shared" ref="I236" si="175">I244+I251</f>
        <v>13337181</v>
      </c>
      <c r="J236" s="228">
        <f t="shared" si="165"/>
        <v>93.500719105203871</v>
      </c>
      <c r="K236" s="246">
        <f t="shared" ref="K236" si="176">K244+K251</f>
        <v>0</v>
      </c>
      <c r="L236" s="228">
        <f t="shared" si="166"/>
        <v>0</v>
      </c>
      <c r="M236" s="1184">
        <f t="shared" si="140"/>
        <v>-463537</v>
      </c>
      <c r="N236" s="3627"/>
    </row>
    <row r="237" spans="1:58" s="132" customFormat="1" ht="14.25" customHeight="1" outlineLevel="1" x14ac:dyDescent="0.2">
      <c r="A237" s="3379"/>
      <c r="B237" s="236" t="s">
        <v>17</v>
      </c>
      <c r="C237" s="237"/>
      <c r="D237" s="1179">
        <f>D238</f>
        <v>14938617</v>
      </c>
      <c r="E237" s="1180">
        <f t="shared" ref="E237:H237" si="177">E238</f>
        <v>10018546</v>
      </c>
      <c r="F237" s="1180">
        <f t="shared" si="177"/>
        <v>3779770</v>
      </c>
      <c r="G237" s="1180">
        <f t="shared" si="177"/>
        <v>1140301</v>
      </c>
      <c r="H237" s="306">
        <f t="shared" si="177"/>
        <v>0</v>
      </c>
      <c r="I237" s="302">
        <f t="shared" ref="I237:K237" si="178">I238</f>
        <v>13798316</v>
      </c>
      <c r="J237" s="1181">
        <f t="shared" si="165"/>
        <v>92.366756574587868</v>
      </c>
      <c r="K237" s="304">
        <f t="shared" si="178"/>
        <v>0</v>
      </c>
      <c r="L237" s="1181">
        <f t="shared" si="166"/>
        <v>0</v>
      </c>
      <c r="M237" s="1185">
        <f t="shared" si="140"/>
        <v>-570150.5</v>
      </c>
      <c r="N237" s="3627"/>
    </row>
    <row r="238" spans="1:58" s="132" customFormat="1" ht="12.75" customHeight="1" outlineLevel="1" x14ac:dyDescent="0.2">
      <c r="A238" s="3379"/>
      <c r="B238" s="222" t="s">
        <v>4</v>
      </c>
      <c r="C238" s="3619"/>
      <c r="D238" s="245">
        <f t="shared" ref="D238:H238" si="179">SUM(D239:D240)</f>
        <v>14938617</v>
      </c>
      <c r="E238" s="246">
        <f t="shared" si="179"/>
        <v>10018546</v>
      </c>
      <c r="F238" s="246">
        <f t="shared" si="179"/>
        <v>3779770</v>
      </c>
      <c r="G238" s="246">
        <f t="shared" si="179"/>
        <v>1140301</v>
      </c>
      <c r="H238" s="234">
        <f t="shared" si="179"/>
        <v>0</v>
      </c>
      <c r="I238" s="240">
        <f t="shared" ref="I238" si="180">SUM(I239:I240)</f>
        <v>13798316</v>
      </c>
      <c r="J238" s="243">
        <f t="shared" si="165"/>
        <v>92.366756574587868</v>
      </c>
      <c r="K238" s="241">
        <f>SUM(K239:K240)</f>
        <v>0</v>
      </c>
      <c r="L238" s="243">
        <f t="shared" si="166"/>
        <v>0</v>
      </c>
      <c r="M238" s="1184">
        <f t="shared" si="140"/>
        <v>-570150.5</v>
      </c>
      <c r="N238" s="3627"/>
    </row>
    <row r="239" spans="1:58" s="132" customFormat="1" ht="12.95" customHeight="1" outlineLevel="1" x14ac:dyDescent="0.2">
      <c r="A239" s="3379"/>
      <c r="B239" s="226" t="s">
        <v>9</v>
      </c>
      <c r="C239" s="3076"/>
      <c r="D239" s="245">
        <f t="shared" ref="D239:H239" si="181">D256</f>
        <v>674361</v>
      </c>
      <c r="E239" s="246">
        <f t="shared" si="181"/>
        <v>0</v>
      </c>
      <c r="F239" s="246">
        <f t="shared" si="181"/>
        <v>461134</v>
      </c>
      <c r="G239" s="246">
        <f t="shared" si="181"/>
        <v>213227</v>
      </c>
      <c r="H239" s="234">
        <f t="shared" si="181"/>
        <v>0</v>
      </c>
      <c r="I239" s="244">
        <f t="shared" ref="I239" si="182">I256</f>
        <v>461134</v>
      </c>
      <c r="J239" s="1178">
        <f t="shared" si="165"/>
        <v>68.380882049821977</v>
      </c>
      <c r="K239" s="246">
        <f t="shared" ref="K239" si="183">K256</f>
        <v>0</v>
      </c>
      <c r="L239" s="1178">
        <f t="shared" si="166"/>
        <v>0</v>
      </c>
      <c r="M239" s="1184">
        <f t="shared" si="140"/>
        <v>-106613.5</v>
      </c>
      <c r="N239" s="3627"/>
    </row>
    <row r="240" spans="1:58" s="132" customFormat="1" ht="12.95" customHeight="1" outlineLevel="1" thickBot="1" x14ac:dyDescent="0.25">
      <c r="A240" s="3380"/>
      <c r="B240" s="1009" t="s">
        <v>30</v>
      </c>
      <c r="C240" s="3620"/>
      <c r="D240" s="804">
        <f t="shared" ref="D240:H240" si="184">D247+D255</f>
        <v>14264256</v>
      </c>
      <c r="E240" s="805">
        <f t="shared" si="184"/>
        <v>10018546</v>
      </c>
      <c r="F240" s="805">
        <f t="shared" si="184"/>
        <v>3318636</v>
      </c>
      <c r="G240" s="805">
        <f t="shared" si="184"/>
        <v>927074</v>
      </c>
      <c r="H240" s="806">
        <f t="shared" si="184"/>
        <v>0</v>
      </c>
      <c r="I240" s="876">
        <f t="shared" ref="I240" si="185">I247+I255</f>
        <v>13337182</v>
      </c>
      <c r="J240" s="1182">
        <f t="shared" si="165"/>
        <v>93.500719560837936</v>
      </c>
      <c r="K240" s="805">
        <f t="shared" ref="K240" si="186">K247+K255</f>
        <v>0</v>
      </c>
      <c r="L240" s="1182">
        <f t="shared" si="166"/>
        <v>0</v>
      </c>
      <c r="M240" s="1186">
        <f t="shared" si="140"/>
        <v>-463537</v>
      </c>
      <c r="N240" s="3628"/>
    </row>
    <row r="241" spans="1:14" ht="57.75" customHeight="1" x14ac:dyDescent="0.2">
      <c r="A241" s="3621" t="s">
        <v>33</v>
      </c>
      <c r="B241" s="1772" t="s">
        <v>217</v>
      </c>
      <c r="C241" s="1801" t="s">
        <v>193</v>
      </c>
      <c r="D241" s="1774"/>
      <c r="E241" s="1775"/>
      <c r="F241" s="1775"/>
      <c r="G241" s="1775"/>
      <c r="H241" s="1802"/>
      <c r="I241" s="1777"/>
      <c r="J241" s="1778"/>
      <c r="K241" s="1779"/>
      <c r="L241" s="1778"/>
      <c r="M241" s="1781"/>
      <c r="N241" s="3622" t="s">
        <v>218</v>
      </c>
    </row>
    <row r="242" spans="1:14" ht="15" customHeight="1" x14ac:dyDescent="0.2">
      <c r="A242" s="3571"/>
      <c r="B242" s="1721" t="s">
        <v>3</v>
      </c>
      <c r="C242" s="1803"/>
      <c r="D242" s="302">
        <f t="shared" ref="D242:H242" si="187">+D244</f>
        <v>11332254</v>
      </c>
      <c r="E242" s="304">
        <f t="shared" si="187"/>
        <v>10018546</v>
      </c>
      <c r="F242" s="304">
        <f t="shared" si="187"/>
        <v>1313708</v>
      </c>
      <c r="G242" s="303">
        <f t="shared" si="187"/>
        <v>0</v>
      </c>
      <c r="H242" s="1804">
        <f t="shared" si="187"/>
        <v>0</v>
      </c>
      <c r="I242" s="302">
        <f>I243</f>
        <v>11332254</v>
      </c>
      <c r="J242" s="1181">
        <f t="shared" ref="J242:J247" si="188">I242/D242*100</f>
        <v>100</v>
      </c>
      <c r="K242" s="303">
        <f>+K244</f>
        <v>0</v>
      </c>
      <c r="L242" s="303">
        <v>0</v>
      </c>
      <c r="M242" s="306">
        <f t="shared" si="140"/>
        <v>0</v>
      </c>
      <c r="N242" s="3623"/>
    </row>
    <row r="243" spans="1:14" ht="15" customHeight="1" x14ac:dyDescent="0.2">
      <c r="A243" s="3571"/>
      <c r="B243" s="1722" t="s">
        <v>4</v>
      </c>
      <c r="C243" s="3122" t="s">
        <v>206</v>
      </c>
      <c r="D243" s="1750">
        <f t="shared" ref="D243:H243" si="189">+D244</f>
        <v>11332254</v>
      </c>
      <c r="E243" s="1697">
        <f t="shared" si="189"/>
        <v>10018546</v>
      </c>
      <c r="F243" s="1697">
        <f t="shared" si="189"/>
        <v>1313708</v>
      </c>
      <c r="G243" s="1752">
        <f t="shared" si="189"/>
        <v>0</v>
      </c>
      <c r="H243" s="1805">
        <f t="shared" si="189"/>
        <v>0</v>
      </c>
      <c r="I243" s="296">
        <f>I244</f>
        <v>11332254</v>
      </c>
      <c r="J243" s="1256">
        <f t="shared" si="188"/>
        <v>100</v>
      </c>
      <c r="K243" s="299">
        <f>+K244</f>
        <v>0</v>
      </c>
      <c r="L243" s="308">
        <v>0</v>
      </c>
      <c r="M243" s="1768">
        <f t="shared" si="140"/>
        <v>0</v>
      </c>
      <c r="N243" s="3623"/>
    </row>
    <row r="244" spans="1:14" ht="15" customHeight="1" x14ac:dyDescent="0.2">
      <c r="A244" s="3571"/>
      <c r="B244" s="1724" t="s">
        <v>30</v>
      </c>
      <c r="C244" s="3615"/>
      <c r="D244" s="1730">
        <f>+E244+F244+G244+H244</f>
        <v>11332254</v>
      </c>
      <c r="E244" s="1702">
        <f>15000000-10012199+5030745</f>
        <v>10018546</v>
      </c>
      <c r="F244" s="1702">
        <v>1313708</v>
      </c>
      <c r="G244" s="280">
        <v>0</v>
      </c>
      <c r="H244" s="1806">
        <v>0</v>
      </c>
      <c r="I244" s="1730">
        <f>F244+K244+E244</f>
        <v>11332254</v>
      </c>
      <c r="J244" s="1291">
        <f t="shared" si="188"/>
        <v>100</v>
      </c>
      <c r="K244" s="280">
        <v>0</v>
      </c>
      <c r="L244" s="280">
        <v>0</v>
      </c>
      <c r="M244" s="1732">
        <f t="shared" si="140"/>
        <v>0</v>
      </c>
      <c r="N244" s="3623"/>
    </row>
    <row r="245" spans="1:14" ht="15" customHeight="1" x14ac:dyDescent="0.2">
      <c r="A245" s="3571"/>
      <c r="B245" s="1721" t="s">
        <v>17</v>
      </c>
      <c r="C245" s="1803"/>
      <c r="D245" s="302">
        <f t="shared" ref="D245:H246" si="190">+D246</f>
        <v>11332255</v>
      </c>
      <c r="E245" s="304">
        <f t="shared" si="190"/>
        <v>10018546</v>
      </c>
      <c r="F245" s="304">
        <f t="shared" si="190"/>
        <v>1313709</v>
      </c>
      <c r="G245" s="303">
        <f t="shared" si="190"/>
        <v>0</v>
      </c>
      <c r="H245" s="1804">
        <f t="shared" si="190"/>
        <v>0</v>
      </c>
      <c r="I245" s="302">
        <f>I246</f>
        <v>11332255</v>
      </c>
      <c r="J245" s="1181">
        <f t="shared" si="188"/>
        <v>100</v>
      </c>
      <c r="K245" s="303">
        <f>+K246</f>
        <v>0</v>
      </c>
      <c r="L245" s="303">
        <v>0</v>
      </c>
      <c r="M245" s="306">
        <f t="shared" si="140"/>
        <v>0</v>
      </c>
      <c r="N245" s="3623"/>
    </row>
    <row r="246" spans="1:14" ht="15" customHeight="1" x14ac:dyDescent="0.2">
      <c r="A246" s="3571"/>
      <c r="B246" s="1722" t="s">
        <v>4</v>
      </c>
      <c r="C246" s="3122" t="s">
        <v>206</v>
      </c>
      <c r="D246" s="1750">
        <f t="shared" si="190"/>
        <v>11332255</v>
      </c>
      <c r="E246" s="1697">
        <f t="shared" si="190"/>
        <v>10018546</v>
      </c>
      <c r="F246" s="1697">
        <f t="shared" si="190"/>
        <v>1313709</v>
      </c>
      <c r="G246" s="1752">
        <f t="shared" si="190"/>
        <v>0</v>
      </c>
      <c r="H246" s="1805">
        <f t="shared" si="190"/>
        <v>0</v>
      </c>
      <c r="I246" s="296">
        <f>I247</f>
        <v>11332255</v>
      </c>
      <c r="J246" s="1256">
        <f t="shared" si="188"/>
        <v>100</v>
      </c>
      <c r="K246" s="299">
        <f>+K247</f>
        <v>0</v>
      </c>
      <c r="L246" s="308">
        <v>0</v>
      </c>
      <c r="M246" s="1768">
        <f t="shared" si="140"/>
        <v>0</v>
      </c>
      <c r="N246" s="3623"/>
    </row>
    <row r="247" spans="1:14" ht="15" customHeight="1" thickBot="1" x14ac:dyDescent="0.25">
      <c r="A247" s="3588"/>
      <c r="B247" s="1807" t="s">
        <v>30</v>
      </c>
      <c r="C247" s="3625"/>
      <c r="D247" s="1785">
        <f>+E247+F247+G247+H247</f>
        <v>11332255</v>
      </c>
      <c r="E247" s="1786">
        <f>15000000-10012199+5030745</f>
        <v>10018546</v>
      </c>
      <c r="F247" s="1786">
        <v>1313709</v>
      </c>
      <c r="G247" s="1808">
        <v>0</v>
      </c>
      <c r="H247" s="1809">
        <v>0</v>
      </c>
      <c r="I247" s="1785">
        <f>F247+K247+E247</f>
        <v>11332255</v>
      </c>
      <c r="J247" s="1789">
        <f t="shared" si="188"/>
        <v>100</v>
      </c>
      <c r="K247" s="1808">
        <v>0</v>
      </c>
      <c r="L247" s="1808">
        <v>0</v>
      </c>
      <c r="M247" s="1810">
        <f t="shared" si="140"/>
        <v>0</v>
      </c>
      <c r="N247" s="3624"/>
    </row>
    <row r="248" spans="1:14" ht="19.5" customHeight="1" x14ac:dyDescent="0.2">
      <c r="A248" s="3589" t="s">
        <v>36</v>
      </c>
      <c r="B248" s="1715" t="s">
        <v>219</v>
      </c>
      <c r="C248" s="1798" t="s">
        <v>193</v>
      </c>
      <c r="D248" s="1210"/>
      <c r="E248" s="688"/>
      <c r="F248" s="688"/>
      <c r="G248" s="688"/>
      <c r="H248" s="1739"/>
      <c r="I248" s="1718"/>
      <c r="J248" s="1719"/>
      <c r="K248" s="1720"/>
      <c r="L248" s="1719"/>
      <c r="M248" s="1717"/>
      <c r="N248" s="3612" t="s">
        <v>196</v>
      </c>
    </row>
    <row r="249" spans="1:14" ht="14.25" customHeight="1" x14ac:dyDescent="0.2">
      <c r="A249" s="3590"/>
      <c r="B249" s="1721" t="s">
        <v>3</v>
      </c>
      <c r="C249" s="1803"/>
      <c r="D249" s="302">
        <f t="shared" ref="D249:K249" si="191">+D250</f>
        <v>3606362</v>
      </c>
      <c r="E249" s="304">
        <f t="shared" si="191"/>
        <v>0</v>
      </c>
      <c r="F249" s="304">
        <f t="shared" si="191"/>
        <v>2466061</v>
      </c>
      <c r="G249" s="304">
        <f t="shared" si="191"/>
        <v>1140301</v>
      </c>
      <c r="H249" s="1804">
        <f t="shared" si="191"/>
        <v>0</v>
      </c>
      <c r="I249" s="302">
        <f t="shared" si="191"/>
        <v>2466061</v>
      </c>
      <c r="J249" s="1181">
        <f t="shared" ref="J249:J256" si="192">I249/D249*100</f>
        <v>68.38085028624414</v>
      </c>
      <c r="K249" s="1181">
        <f t="shared" si="191"/>
        <v>0</v>
      </c>
      <c r="L249" s="1181">
        <f t="shared" ref="L249:L256" si="193">K249/G249*100</f>
        <v>0</v>
      </c>
      <c r="M249" s="1185">
        <f t="shared" si="140"/>
        <v>-570150.5</v>
      </c>
      <c r="N249" s="3613"/>
    </row>
    <row r="250" spans="1:14" ht="14.25" customHeight="1" x14ac:dyDescent="0.2">
      <c r="A250" s="3590"/>
      <c r="B250" s="1722" t="s">
        <v>4</v>
      </c>
      <c r="C250" s="3122" t="s">
        <v>195</v>
      </c>
      <c r="D250" s="1750">
        <f t="shared" ref="D250:H250" si="194">+D251+D252</f>
        <v>3606362</v>
      </c>
      <c r="E250" s="1697">
        <f t="shared" si="194"/>
        <v>0</v>
      </c>
      <c r="F250" s="1697">
        <f t="shared" si="194"/>
        <v>2466061</v>
      </c>
      <c r="G250" s="1697">
        <f t="shared" si="194"/>
        <v>1140301</v>
      </c>
      <c r="H250" s="1805">
        <f t="shared" si="194"/>
        <v>0</v>
      </c>
      <c r="I250" s="296">
        <f t="shared" ref="I250" si="195">+I251+I252</f>
        <v>2466061</v>
      </c>
      <c r="J250" s="1256">
        <f t="shared" si="192"/>
        <v>68.38085028624414</v>
      </c>
      <c r="K250" s="1811">
        <f>+K251+K252</f>
        <v>0</v>
      </c>
      <c r="L250" s="1256">
        <f t="shared" si="193"/>
        <v>0</v>
      </c>
      <c r="M250" s="1762">
        <f t="shared" si="140"/>
        <v>-570150.5</v>
      </c>
      <c r="N250" s="3613"/>
    </row>
    <row r="251" spans="1:14" ht="14.25" customHeight="1" x14ac:dyDescent="0.2">
      <c r="A251" s="3590"/>
      <c r="B251" s="1724" t="s">
        <v>11</v>
      </c>
      <c r="C251" s="3591"/>
      <c r="D251" s="1730">
        <f>+E251+F251+G251+H251</f>
        <v>2932001</v>
      </c>
      <c r="E251" s="1702">
        <v>0</v>
      </c>
      <c r="F251" s="1702">
        <v>2004927</v>
      </c>
      <c r="G251" s="1702">
        <v>927074</v>
      </c>
      <c r="H251" s="1806">
        <v>0</v>
      </c>
      <c r="I251" s="1730">
        <f>F251+K251+E251</f>
        <v>2004927</v>
      </c>
      <c r="J251" s="1291">
        <f t="shared" si="192"/>
        <v>68.380842980612897</v>
      </c>
      <c r="K251" s="1291">
        <v>0</v>
      </c>
      <c r="L251" s="1291">
        <f t="shared" si="193"/>
        <v>0</v>
      </c>
      <c r="M251" s="1424">
        <f t="shared" si="140"/>
        <v>-463537</v>
      </c>
      <c r="N251" s="3613"/>
    </row>
    <row r="252" spans="1:14" ht="14.25" customHeight="1" x14ac:dyDescent="0.2">
      <c r="A252" s="3590"/>
      <c r="B252" s="1724" t="s">
        <v>9</v>
      </c>
      <c r="C252" s="3615"/>
      <c r="D252" s="1730">
        <f>+E252+F252+G252+H252</f>
        <v>674361</v>
      </c>
      <c r="E252" s="1702">
        <v>0</v>
      </c>
      <c r="F252" s="1702">
        <v>461134</v>
      </c>
      <c r="G252" s="1702">
        <v>213227</v>
      </c>
      <c r="H252" s="1806">
        <v>0</v>
      </c>
      <c r="I252" s="1730">
        <f>F252+K252+E252</f>
        <v>461134</v>
      </c>
      <c r="J252" s="1291">
        <f t="shared" si="192"/>
        <v>68.380882049821977</v>
      </c>
      <c r="K252" s="1291">
        <v>0</v>
      </c>
      <c r="L252" s="1291">
        <f t="shared" si="193"/>
        <v>0</v>
      </c>
      <c r="M252" s="1424">
        <f t="shared" si="140"/>
        <v>-106613.5</v>
      </c>
      <c r="N252" s="3613"/>
    </row>
    <row r="253" spans="1:14" ht="14.25" customHeight="1" x14ac:dyDescent="0.2">
      <c r="A253" s="3590"/>
      <c r="B253" s="1721" t="s">
        <v>17</v>
      </c>
      <c r="C253" s="1803"/>
      <c r="D253" s="302">
        <f t="shared" ref="D253:H253" si="196">+D254</f>
        <v>3606362</v>
      </c>
      <c r="E253" s="304">
        <f t="shared" si="196"/>
        <v>0</v>
      </c>
      <c r="F253" s="304">
        <f t="shared" si="196"/>
        <v>2466061</v>
      </c>
      <c r="G253" s="304">
        <f t="shared" si="196"/>
        <v>1140301</v>
      </c>
      <c r="H253" s="1804">
        <f t="shared" si="196"/>
        <v>0</v>
      </c>
      <c r="I253" s="302">
        <f t="shared" ref="I253" si="197">+I254</f>
        <v>2466061</v>
      </c>
      <c r="J253" s="1181">
        <f t="shared" si="192"/>
        <v>68.38085028624414</v>
      </c>
      <c r="K253" s="1181">
        <f>K254</f>
        <v>0</v>
      </c>
      <c r="L253" s="1181">
        <f t="shared" si="193"/>
        <v>0</v>
      </c>
      <c r="M253" s="1185">
        <f t="shared" si="140"/>
        <v>-570150.5</v>
      </c>
      <c r="N253" s="3613"/>
    </row>
    <row r="254" spans="1:14" ht="14.25" customHeight="1" x14ac:dyDescent="0.2">
      <c r="A254" s="3590"/>
      <c r="B254" s="1722" t="s">
        <v>4</v>
      </c>
      <c r="C254" s="3122" t="s">
        <v>195</v>
      </c>
      <c r="D254" s="1750">
        <f t="shared" ref="D254:E254" si="198">+D255+D256</f>
        <v>3606362</v>
      </c>
      <c r="E254" s="1697">
        <f t="shared" si="198"/>
        <v>0</v>
      </c>
      <c r="F254" s="1697">
        <f>+F255+F256</f>
        <v>2466061</v>
      </c>
      <c r="G254" s="1697">
        <f>+G255+G256</f>
        <v>1140301</v>
      </c>
      <c r="H254" s="1805">
        <f t="shared" ref="H254" si="199">+H255+H256</f>
        <v>0</v>
      </c>
      <c r="I254" s="296">
        <f>I255+I256</f>
        <v>2466061</v>
      </c>
      <c r="J254" s="1256">
        <f t="shared" si="192"/>
        <v>68.38085028624414</v>
      </c>
      <c r="K254" s="1811">
        <f>SUM(K255:K256)</f>
        <v>0</v>
      </c>
      <c r="L254" s="1256">
        <f t="shared" si="193"/>
        <v>0</v>
      </c>
      <c r="M254" s="1762">
        <f t="shared" si="140"/>
        <v>-570150.5</v>
      </c>
      <c r="N254" s="3613"/>
    </row>
    <row r="255" spans="1:14" ht="14.25" customHeight="1" x14ac:dyDescent="0.2">
      <c r="A255" s="3590"/>
      <c r="B255" s="1724" t="s">
        <v>30</v>
      </c>
      <c r="C255" s="3591"/>
      <c r="D255" s="1730">
        <f>+E255+F255+G255+H255</f>
        <v>2932001</v>
      </c>
      <c r="E255" s="1702">
        <v>0</v>
      </c>
      <c r="F255" s="1702">
        <v>2004927</v>
      </c>
      <c r="G255" s="1702">
        <v>927074</v>
      </c>
      <c r="H255" s="1806">
        <v>0</v>
      </c>
      <c r="I255" s="1730">
        <f>F255+K255+E255</f>
        <v>2004927</v>
      </c>
      <c r="J255" s="1291">
        <f t="shared" si="192"/>
        <v>68.380842980612897</v>
      </c>
      <c r="K255" s="1291">
        <v>0</v>
      </c>
      <c r="L255" s="1291">
        <f t="shared" si="193"/>
        <v>0</v>
      </c>
      <c r="M255" s="1424">
        <f t="shared" si="140"/>
        <v>-463537</v>
      </c>
      <c r="N255" s="3613"/>
    </row>
    <row r="256" spans="1:14" ht="14.25" customHeight="1" thickBot="1" x14ac:dyDescent="0.25">
      <c r="A256" s="3572"/>
      <c r="B256" s="1812" t="s">
        <v>9</v>
      </c>
      <c r="C256" s="3592"/>
      <c r="D256" s="289">
        <f>+E256+F256+G256+H256</f>
        <v>674361</v>
      </c>
      <c r="E256" s="1712">
        <v>0</v>
      </c>
      <c r="F256" s="1712">
        <v>461134</v>
      </c>
      <c r="G256" s="1712">
        <v>213227</v>
      </c>
      <c r="H256" s="1813">
        <v>0</v>
      </c>
      <c r="I256" s="289">
        <f>F256+K256+E256</f>
        <v>461134</v>
      </c>
      <c r="J256" s="290">
        <f t="shared" si="192"/>
        <v>68.380882049821977</v>
      </c>
      <c r="K256" s="290">
        <v>0</v>
      </c>
      <c r="L256" s="290">
        <f t="shared" si="193"/>
        <v>0</v>
      </c>
      <c r="M256" s="1428">
        <f t="shared" si="140"/>
        <v>-106613.5</v>
      </c>
      <c r="N256" s="3614"/>
    </row>
    <row r="257" spans="1:14" ht="12.95" customHeight="1" x14ac:dyDescent="0.2">
      <c r="A257" s="1010"/>
      <c r="B257" s="1011"/>
      <c r="C257" s="971"/>
      <c r="D257" s="981"/>
      <c r="E257" s="1012"/>
      <c r="F257" s="1013"/>
      <c r="G257" s="1013"/>
      <c r="H257" s="1013"/>
      <c r="I257" s="1014"/>
      <c r="J257" s="1015"/>
      <c r="K257" s="1016"/>
      <c r="L257" s="1016"/>
      <c r="M257" s="1013"/>
      <c r="N257" s="1527"/>
    </row>
    <row r="258" spans="1:14" ht="12.95" customHeight="1" x14ac:dyDescent="0.2">
      <c r="A258" s="931"/>
      <c r="B258" s="807"/>
      <c r="C258" s="176"/>
      <c r="D258" s="174"/>
      <c r="E258" s="808"/>
      <c r="F258" s="809"/>
      <c r="G258" s="809"/>
      <c r="H258" s="809"/>
      <c r="I258" s="810"/>
      <c r="J258" s="811"/>
      <c r="K258" s="812"/>
      <c r="L258" s="812"/>
      <c r="M258" s="809"/>
      <c r="N258" s="1017"/>
    </row>
    <row r="259" spans="1:14" ht="12.95" customHeight="1" x14ac:dyDescent="0.2">
      <c r="A259" s="931"/>
      <c r="B259" s="807"/>
      <c r="C259" s="176"/>
      <c r="D259" s="174"/>
      <c r="E259" s="808"/>
      <c r="F259" s="809"/>
      <c r="G259" s="809"/>
      <c r="H259" s="809"/>
      <c r="I259" s="810"/>
      <c r="J259" s="811"/>
      <c r="K259" s="812"/>
      <c r="L259" s="812"/>
      <c r="M259" s="809"/>
      <c r="N259" s="1017"/>
    </row>
    <row r="260" spans="1:14" ht="12.95" customHeight="1" x14ac:dyDescent="0.2">
      <c r="A260" s="931"/>
      <c r="B260" s="807"/>
      <c r="C260" s="176"/>
      <c r="D260" s="174"/>
      <c r="E260" s="808"/>
      <c r="F260" s="809"/>
      <c r="G260" s="809"/>
      <c r="H260" s="809"/>
      <c r="I260" s="810"/>
      <c r="J260" s="811"/>
      <c r="K260" s="812"/>
      <c r="L260" s="812"/>
      <c r="M260" s="809"/>
      <c r="N260" s="1017"/>
    </row>
    <row r="261" spans="1:14" ht="12.95" customHeight="1" x14ac:dyDescent="0.2">
      <c r="A261" s="931"/>
      <c r="B261" s="807"/>
      <c r="C261" s="176"/>
      <c r="D261" s="174"/>
      <c r="E261" s="808"/>
      <c r="F261" s="809"/>
      <c r="G261" s="809"/>
      <c r="H261" s="809"/>
      <c r="I261" s="810"/>
      <c r="J261" s="811"/>
      <c r="K261" s="812"/>
      <c r="L261" s="812"/>
      <c r="M261" s="809"/>
      <c r="N261" s="1017"/>
    </row>
    <row r="262" spans="1:14" ht="12.95" customHeight="1" x14ac:dyDescent="0.2">
      <c r="A262" s="1018"/>
      <c r="B262" s="182"/>
      <c r="C262" s="182"/>
      <c r="D262" s="182"/>
      <c r="E262" s="174"/>
      <c r="F262" s="182"/>
      <c r="G262" s="182"/>
      <c r="H262" s="182"/>
      <c r="J262" s="813"/>
      <c r="N262" s="973"/>
    </row>
    <row r="263" spans="1:14" x14ac:dyDescent="0.2">
      <c r="A263" s="189"/>
      <c r="B263" s="182"/>
      <c r="C263" s="182"/>
      <c r="D263" s="182"/>
      <c r="E263" s="174"/>
      <c r="F263" s="182"/>
      <c r="G263" s="182"/>
      <c r="H263" s="182"/>
      <c r="J263" s="813"/>
      <c r="N263" s="973"/>
    </row>
    <row r="264" spans="1:14" x14ac:dyDescent="0.2">
      <c r="A264" s="189"/>
      <c r="B264" s="182"/>
      <c r="C264" s="182"/>
      <c r="D264" s="1019"/>
      <c r="E264" s="1019"/>
      <c r="F264" s="1019"/>
      <c r="G264" s="1019"/>
      <c r="H264" s="1019"/>
      <c r="I264" s="1019"/>
      <c r="J264" s="813"/>
      <c r="K264" s="1019"/>
      <c r="N264" s="191"/>
    </row>
    <row r="265" spans="1:14" ht="12" thickBot="1" x14ac:dyDescent="0.25">
      <c r="A265" s="192"/>
      <c r="B265" s="193"/>
      <c r="C265" s="193"/>
      <c r="D265" s="1020"/>
      <c r="E265" s="1020"/>
      <c r="F265" s="1020"/>
      <c r="G265" s="1020"/>
      <c r="H265" s="1020"/>
      <c r="I265" s="1020"/>
      <c r="J265" s="193"/>
      <c r="K265" s="1020"/>
      <c r="L265" s="193"/>
      <c r="M265" s="193"/>
      <c r="N265" s="195"/>
    </row>
    <row r="266" spans="1:14" x14ac:dyDescent="0.2">
      <c r="A266" s="184"/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8"/>
    </row>
    <row r="267" spans="1:14" x14ac:dyDescent="0.2">
      <c r="A267" s="189"/>
      <c r="B267" s="182"/>
      <c r="C267" s="182"/>
      <c r="D267" s="1019"/>
      <c r="E267" s="1019"/>
      <c r="F267" s="1019"/>
      <c r="G267" s="1019"/>
      <c r="H267" s="1019"/>
      <c r="I267" s="1019"/>
      <c r="K267" s="1019"/>
      <c r="N267" s="191"/>
    </row>
    <row r="268" spans="1:14" x14ac:dyDescent="0.2">
      <c r="A268" s="189"/>
      <c r="B268" s="182"/>
      <c r="C268" s="182"/>
      <c r="D268" s="1019"/>
      <c r="E268" s="1019"/>
      <c r="F268" s="1019"/>
      <c r="G268" s="1019"/>
      <c r="H268" s="1019"/>
      <c r="I268" s="1019"/>
      <c r="K268" s="1019"/>
      <c r="N268" s="191"/>
    </row>
    <row r="269" spans="1:14" x14ac:dyDescent="0.2">
      <c r="A269" s="189"/>
      <c r="B269" s="182"/>
      <c r="C269" s="182"/>
      <c r="D269" s="182"/>
      <c r="E269" s="182"/>
      <c r="F269" s="182"/>
      <c r="G269" s="182"/>
      <c r="H269" s="182"/>
      <c r="N269" s="191"/>
    </row>
    <row r="270" spans="1:14" x14ac:dyDescent="0.2">
      <c r="A270" s="189"/>
      <c r="B270" s="182"/>
      <c r="C270" s="182"/>
      <c r="D270" s="182"/>
      <c r="E270" s="182"/>
      <c r="F270" s="182"/>
      <c r="G270" s="182"/>
      <c r="H270" s="182"/>
      <c r="N270" s="191"/>
    </row>
    <row r="271" spans="1:14" x14ac:dyDescent="0.2">
      <c r="A271" s="189"/>
      <c r="B271" s="182"/>
      <c r="C271" s="182"/>
      <c r="D271" s="182"/>
      <c r="E271" s="182"/>
      <c r="F271" s="182"/>
      <c r="G271" s="182"/>
      <c r="H271" s="182"/>
      <c r="N271" s="191"/>
    </row>
    <row r="272" spans="1:14" x14ac:dyDescent="0.2">
      <c r="A272" s="189"/>
      <c r="B272" s="182"/>
      <c r="C272" s="182"/>
      <c r="D272" s="182"/>
      <c r="E272" s="182"/>
      <c r="F272" s="182"/>
      <c r="G272" s="1019"/>
      <c r="H272" s="1019"/>
      <c r="N272" s="191"/>
    </row>
    <row r="273" spans="1:14" x14ac:dyDescent="0.2">
      <c r="A273" s="189"/>
      <c r="B273" s="182"/>
      <c r="C273" s="182"/>
      <c r="D273" s="182"/>
      <c r="E273" s="182"/>
      <c r="F273" s="182"/>
      <c r="G273" s="182"/>
      <c r="H273" s="182"/>
      <c r="N273" s="191"/>
    </row>
    <row r="274" spans="1:14" ht="12" thickBot="1" x14ac:dyDescent="0.25">
      <c r="A274" s="192"/>
      <c r="B274" s="193"/>
      <c r="C274" s="193"/>
      <c r="D274" s="193"/>
      <c r="E274" s="193"/>
      <c r="F274" s="193"/>
      <c r="G274" s="1020"/>
      <c r="H274" s="1020"/>
      <c r="I274" s="193"/>
      <c r="J274" s="193"/>
      <c r="K274" s="193"/>
      <c r="L274" s="193"/>
      <c r="M274" s="193"/>
      <c r="N274" s="195"/>
    </row>
    <row r="275" spans="1:14" x14ac:dyDescent="0.2">
      <c r="D275" s="647"/>
    </row>
    <row r="292" spans="1:14" ht="12" thickBot="1" x14ac:dyDescent="0.25"/>
    <row r="293" spans="1:14" x14ac:dyDescent="0.2">
      <c r="A293" s="184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8"/>
    </row>
    <row r="294" spans="1:14" x14ac:dyDescent="0.2">
      <c r="A294" s="189"/>
      <c r="B294" s="182"/>
      <c r="C294" s="182"/>
      <c r="D294" s="182"/>
      <c r="E294" s="182"/>
      <c r="F294" s="182"/>
      <c r="G294" s="182"/>
      <c r="H294" s="182"/>
      <c r="N294" s="191"/>
    </row>
    <row r="295" spans="1:14" x14ac:dyDescent="0.2">
      <c r="A295" s="189"/>
      <c r="B295" s="182"/>
      <c r="C295" s="182"/>
      <c r="D295" s="182"/>
      <c r="E295" s="182"/>
      <c r="F295" s="182"/>
      <c r="G295" s="182"/>
      <c r="H295" s="182"/>
      <c r="N295" s="191"/>
    </row>
    <row r="296" spans="1:14" x14ac:dyDescent="0.2">
      <c r="A296" s="189"/>
      <c r="B296" s="182"/>
      <c r="C296" s="182"/>
      <c r="D296" s="182"/>
      <c r="E296" s="182"/>
      <c r="F296" s="182"/>
      <c r="G296" s="182"/>
      <c r="H296" s="182"/>
      <c r="N296" s="191"/>
    </row>
    <row r="297" spans="1:14" x14ac:dyDescent="0.2">
      <c r="A297" s="189"/>
      <c r="B297" s="182"/>
      <c r="C297" s="182"/>
      <c r="D297" s="182"/>
      <c r="E297" s="182"/>
      <c r="F297" s="182"/>
      <c r="G297" s="182"/>
      <c r="H297" s="182"/>
      <c r="N297" s="191"/>
    </row>
    <row r="298" spans="1:14" x14ac:dyDescent="0.2">
      <c r="A298" s="189"/>
      <c r="B298" s="182"/>
      <c r="C298" s="182"/>
      <c r="D298" s="182"/>
      <c r="E298" s="182"/>
      <c r="F298" s="182"/>
      <c r="G298" s="182"/>
      <c r="H298" s="182"/>
      <c r="N298" s="191"/>
    </row>
    <row r="299" spans="1:14" x14ac:dyDescent="0.2">
      <c r="A299" s="189"/>
      <c r="B299" s="182"/>
      <c r="C299" s="182"/>
      <c r="D299" s="182"/>
      <c r="E299" s="182"/>
      <c r="F299" s="182"/>
      <c r="G299" s="182"/>
      <c r="H299" s="182"/>
      <c r="N299" s="191"/>
    </row>
    <row r="300" spans="1:14" x14ac:dyDescent="0.2">
      <c r="A300" s="189"/>
      <c r="B300" s="182"/>
      <c r="C300" s="182"/>
      <c r="D300" s="182"/>
      <c r="E300" s="182"/>
      <c r="F300" s="182"/>
      <c r="G300" s="182"/>
      <c r="H300" s="182"/>
      <c r="N300" s="191"/>
    </row>
    <row r="301" spans="1:14" ht="12" thickBot="1" x14ac:dyDescent="0.25">
      <c r="A301" s="192"/>
      <c r="B301" s="193"/>
      <c r="C301" s="193"/>
      <c r="D301" s="193"/>
      <c r="E301" s="193"/>
      <c r="F301" s="193"/>
      <c r="G301" s="193"/>
      <c r="H301" s="193"/>
      <c r="I301" s="193"/>
      <c r="J301" s="193"/>
      <c r="K301" s="193"/>
      <c r="L301" s="193"/>
      <c r="M301" s="193"/>
      <c r="N301" s="195"/>
    </row>
    <row r="302" spans="1:14" x14ac:dyDescent="0.2">
      <c r="A302" s="184"/>
      <c r="B302" s="18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8"/>
    </row>
    <row r="303" spans="1:14" x14ac:dyDescent="0.2">
      <c r="A303" s="189"/>
      <c r="B303" s="182"/>
      <c r="C303" s="182"/>
      <c r="D303" s="182"/>
      <c r="E303" s="182"/>
      <c r="F303" s="182"/>
      <c r="G303" s="182"/>
      <c r="H303" s="182"/>
      <c r="N303" s="191"/>
    </row>
    <row r="304" spans="1:14" x14ac:dyDescent="0.2">
      <c r="A304" s="189"/>
      <c r="B304" s="182"/>
      <c r="C304" s="182"/>
      <c r="D304" s="182"/>
      <c r="E304" s="182"/>
      <c r="F304" s="182"/>
      <c r="G304" s="182"/>
      <c r="H304" s="182"/>
      <c r="N304" s="191"/>
    </row>
    <row r="305" spans="1:14" x14ac:dyDescent="0.2">
      <c r="A305" s="189"/>
      <c r="B305" s="182"/>
      <c r="C305" s="182"/>
      <c r="D305" s="182"/>
      <c r="E305" s="182"/>
      <c r="F305" s="182"/>
      <c r="G305" s="182"/>
      <c r="H305" s="182"/>
      <c r="N305" s="191"/>
    </row>
    <row r="306" spans="1:14" x14ac:dyDescent="0.2">
      <c r="A306" s="189"/>
      <c r="B306" s="182"/>
      <c r="C306" s="182"/>
      <c r="D306" s="182"/>
      <c r="E306" s="182"/>
      <c r="F306" s="182"/>
      <c r="G306" s="182"/>
      <c r="H306" s="182"/>
      <c r="N306" s="191"/>
    </row>
    <row r="307" spans="1:14" x14ac:dyDescent="0.2">
      <c r="A307" s="189"/>
      <c r="B307" s="182"/>
      <c r="C307" s="182"/>
      <c r="D307" s="182"/>
      <c r="E307" s="182"/>
      <c r="F307" s="182"/>
      <c r="G307" s="182"/>
      <c r="H307" s="182"/>
      <c r="N307" s="191"/>
    </row>
    <row r="308" spans="1:14" x14ac:dyDescent="0.2">
      <c r="A308" s="189"/>
      <c r="B308" s="182"/>
      <c r="C308" s="182"/>
      <c r="D308" s="182"/>
      <c r="E308" s="182"/>
      <c r="F308" s="182"/>
      <c r="G308" s="182"/>
      <c r="H308" s="182"/>
      <c r="N308" s="191"/>
    </row>
    <row r="309" spans="1:14" x14ac:dyDescent="0.2">
      <c r="A309" s="189"/>
      <c r="B309" s="182"/>
      <c r="C309" s="182"/>
      <c r="D309" s="182"/>
      <c r="E309" s="182"/>
      <c r="F309" s="182"/>
      <c r="G309" s="182"/>
      <c r="H309" s="182"/>
      <c r="N309" s="191"/>
    </row>
    <row r="310" spans="1:14" ht="12" thickBot="1" x14ac:dyDescent="0.25">
      <c r="A310" s="192"/>
      <c r="B310" s="193"/>
      <c r="C310" s="193"/>
      <c r="D310" s="193"/>
      <c r="E310" s="193"/>
      <c r="F310" s="193"/>
      <c r="G310" s="193"/>
      <c r="H310" s="193"/>
      <c r="I310" s="193"/>
      <c r="J310" s="193"/>
      <c r="K310" s="193"/>
      <c r="L310" s="193"/>
      <c r="M310" s="193"/>
      <c r="N310" s="195"/>
    </row>
    <row r="328" spans="1:14" ht="12" thickBot="1" x14ac:dyDescent="0.25"/>
    <row r="329" spans="1:14" x14ac:dyDescent="0.2">
      <c r="A329" s="184"/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8"/>
    </row>
    <row r="330" spans="1:14" x14ac:dyDescent="0.2">
      <c r="A330" s="189"/>
      <c r="B330" s="182"/>
      <c r="C330" s="182"/>
      <c r="D330" s="182"/>
      <c r="E330" s="182"/>
      <c r="F330" s="182"/>
      <c r="G330" s="182"/>
      <c r="H330" s="182"/>
      <c r="N330" s="191"/>
    </row>
    <row r="331" spans="1:14" x14ac:dyDescent="0.2">
      <c r="A331" s="189"/>
      <c r="B331" s="182"/>
      <c r="C331" s="182"/>
      <c r="D331" s="182"/>
      <c r="E331" s="182"/>
      <c r="F331" s="182"/>
      <c r="G331" s="182"/>
      <c r="H331" s="182"/>
      <c r="N331" s="191"/>
    </row>
    <row r="332" spans="1:14" x14ac:dyDescent="0.2">
      <c r="A332" s="189"/>
      <c r="B332" s="182"/>
      <c r="C332" s="182"/>
      <c r="D332" s="182"/>
      <c r="E332" s="182"/>
      <c r="F332" s="182"/>
      <c r="G332" s="182"/>
      <c r="H332" s="182"/>
      <c r="N332" s="191"/>
    </row>
    <row r="333" spans="1:14" x14ac:dyDescent="0.2">
      <c r="A333" s="189"/>
      <c r="B333" s="182"/>
      <c r="C333" s="182"/>
      <c r="D333" s="182"/>
      <c r="E333" s="182"/>
      <c r="F333" s="182"/>
      <c r="G333" s="182"/>
      <c r="H333" s="182"/>
      <c r="N333" s="191"/>
    </row>
    <row r="334" spans="1:14" x14ac:dyDescent="0.2">
      <c r="A334" s="189"/>
      <c r="B334" s="182"/>
      <c r="C334" s="182"/>
      <c r="D334" s="182"/>
      <c r="E334" s="182"/>
      <c r="F334" s="182"/>
      <c r="G334" s="182"/>
      <c r="H334" s="182"/>
      <c r="N334" s="191"/>
    </row>
    <row r="335" spans="1:14" x14ac:dyDescent="0.2">
      <c r="A335" s="189"/>
      <c r="B335" s="182"/>
      <c r="C335" s="182"/>
      <c r="D335" s="182"/>
      <c r="E335" s="182"/>
      <c r="F335" s="182"/>
      <c r="G335" s="182"/>
      <c r="H335" s="182"/>
      <c r="N335" s="191"/>
    </row>
    <row r="336" spans="1:14" x14ac:dyDescent="0.2">
      <c r="A336" s="189"/>
      <c r="B336" s="182"/>
      <c r="C336" s="182"/>
      <c r="D336" s="182"/>
      <c r="E336" s="182"/>
      <c r="F336" s="182"/>
      <c r="G336" s="182"/>
      <c r="H336" s="182"/>
      <c r="N336" s="191"/>
    </row>
    <row r="337" spans="1:14" ht="12" thickBot="1" x14ac:dyDescent="0.25">
      <c r="A337" s="192"/>
      <c r="B337" s="193"/>
      <c r="C337" s="193"/>
      <c r="D337" s="193"/>
      <c r="E337" s="193"/>
      <c r="F337" s="193"/>
      <c r="G337" s="193"/>
      <c r="H337" s="193"/>
      <c r="I337" s="193"/>
      <c r="J337" s="193"/>
      <c r="K337" s="193"/>
      <c r="L337" s="193"/>
      <c r="M337" s="193"/>
      <c r="N337" s="195"/>
    </row>
    <row r="338" spans="1:14" x14ac:dyDescent="0.2">
      <c r="A338" s="184"/>
      <c r="B338" s="18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8"/>
    </row>
    <row r="339" spans="1:14" x14ac:dyDescent="0.2">
      <c r="A339" s="189"/>
      <c r="B339" s="182"/>
      <c r="C339" s="182"/>
      <c r="D339" s="182"/>
      <c r="E339" s="182"/>
      <c r="F339" s="182"/>
      <c r="G339" s="182"/>
      <c r="H339" s="182"/>
      <c r="N339" s="191"/>
    </row>
    <row r="340" spans="1:14" x14ac:dyDescent="0.2">
      <c r="A340" s="189"/>
      <c r="B340" s="182"/>
      <c r="C340" s="182"/>
      <c r="D340" s="182"/>
      <c r="E340" s="182"/>
      <c r="F340" s="182"/>
      <c r="G340" s="182"/>
      <c r="H340" s="182"/>
      <c r="N340" s="191"/>
    </row>
    <row r="341" spans="1:14" x14ac:dyDescent="0.2">
      <c r="A341" s="189"/>
      <c r="B341" s="182"/>
      <c r="C341" s="182"/>
      <c r="D341" s="182"/>
      <c r="E341" s="182"/>
      <c r="F341" s="182"/>
      <c r="G341" s="182"/>
      <c r="H341" s="182"/>
      <c r="N341" s="191"/>
    </row>
    <row r="342" spans="1:14" x14ac:dyDescent="0.2">
      <c r="A342" s="189"/>
      <c r="B342" s="182"/>
      <c r="C342" s="182"/>
      <c r="D342" s="182"/>
      <c r="E342" s="182"/>
      <c r="F342" s="182"/>
      <c r="G342" s="182"/>
      <c r="H342" s="182"/>
      <c r="N342" s="191"/>
    </row>
    <row r="343" spans="1:14" x14ac:dyDescent="0.2">
      <c r="A343" s="189"/>
      <c r="B343" s="182"/>
      <c r="C343" s="182"/>
      <c r="D343" s="182"/>
      <c r="E343" s="182"/>
      <c r="F343" s="182"/>
      <c r="G343" s="182"/>
      <c r="H343" s="182"/>
      <c r="N343" s="191"/>
    </row>
    <row r="344" spans="1:14" x14ac:dyDescent="0.2">
      <c r="A344" s="189"/>
      <c r="B344" s="182"/>
      <c r="C344" s="182"/>
      <c r="D344" s="182"/>
      <c r="E344" s="182"/>
      <c r="F344" s="182"/>
      <c r="G344" s="182"/>
      <c r="H344" s="182"/>
      <c r="N344" s="191"/>
    </row>
    <row r="345" spans="1:14" x14ac:dyDescent="0.2">
      <c r="A345" s="189"/>
      <c r="B345" s="182"/>
      <c r="C345" s="182"/>
      <c r="D345" s="182"/>
      <c r="E345" s="182"/>
      <c r="F345" s="182"/>
      <c r="G345" s="182"/>
      <c r="H345" s="182"/>
      <c r="N345" s="191"/>
    </row>
    <row r="346" spans="1:14" ht="12" thickBot="1" x14ac:dyDescent="0.25">
      <c r="A346" s="192"/>
      <c r="B346" s="193"/>
      <c r="C346" s="193"/>
      <c r="D346" s="193"/>
      <c r="E346" s="193"/>
      <c r="F346" s="193"/>
      <c r="G346" s="193"/>
      <c r="H346" s="193"/>
      <c r="I346" s="193"/>
      <c r="J346" s="193"/>
      <c r="K346" s="193"/>
      <c r="L346" s="193"/>
      <c r="M346" s="193"/>
      <c r="N346" s="195"/>
    </row>
    <row r="365" spans="1:14" ht="12" thickBot="1" x14ac:dyDescent="0.25"/>
    <row r="366" spans="1:14" x14ac:dyDescent="0.2">
      <c r="A366" s="184"/>
      <c r="B366" s="18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8"/>
    </row>
    <row r="367" spans="1:14" x14ac:dyDescent="0.2">
      <c r="A367" s="189"/>
      <c r="B367" s="182"/>
      <c r="C367" s="182"/>
      <c r="D367" s="182"/>
      <c r="E367" s="182"/>
      <c r="F367" s="182"/>
      <c r="G367" s="182"/>
      <c r="H367" s="182"/>
      <c r="N367" s="191"/>
    </row>
    <row r="368" spans="1:14" x14ac:dyDescent="0.2">
      <c r="A368" s="189"/>
      <c r="B368" s="182"/>
      <c r="C368" s="182"/>
      <c r="D368" s="182"/>
      <c r="E368" s="182"/>
      <c r="F368" s="182"/>
      <c r="G368" s="182"/>
      <c r="H368" s="182"/>
      <c r="N368" s="191"/>
    </row>
    <row r="369" spans="1:14" x14ac:dyDescent="0.2">
      <c r="A369" s="189"/>
      <c r="B369" s="182"/>
      <c r="C369" s="182"/>
      <c r="D369" s="182"/>
      <c r="E369" s="182"/>
      <c r="F369" s="182"/>
      <c r="G369" s="182"/>
      <c r="H369" s="182"/>
      <c r="N369" s="191"/>
    </row>
    <row r="370" spans="1:14" x14ac:dyDescent="0.2">
      <c r="A370" s="189"/>
      <c r="B370" s="182"/>
      <c r="C370" s="182"/>
      <c r="D370" s="182"/>
      <c r="E370" s="182"/>
      <c r="F370" s="182"/>
      <c r="G370" s="182"/>
      <c r="H370" s="182"/>
      <c r="N370" s="191"/>
    </row>
    <row r="371" spans="1:14" x14ac:dyDescent="0.2">
      <c r="A371" s="189"/>
      <c r="B371" s="182"/>
      <c r="C371" s="182"/>
      <c r="D371" s="182"/>
      <c r="E371" s="182"/>
      <c r="F371" s="182"/>
      <c r="G371" s="182"/>
      <c r="H371" s="182"/>
      <c r="N371" s="191"/>
    </row>
    <row r="372" spans="1:14" x14ac:dyDescent="0.2">
      <c r="A372" s="189"/>
      <c r="B372" s="182"/>
      <c r="C372" s="182"/>
      <c r="D372" s="182"/>
      <c r="E372" s="182"/>
      <c r="F372" s="182"/>
      <c r="G372" s="182"/>
      <c r="H372" s="182"/>
      <c r="N372" s="191"/>
    </row>
    <row r="373" spans="1:14" x14ac:dyDescent="0.2">
      <c r="A373" s="189"/>
      <c r="B373" s="182"/>
      <c r="C373" s="182"/>
      <c r="D373" s="182"/>
      <c r="E373" s="182"/>
      <c r="F373" s="182"/>
      <c r="G373" s="182"/>
      <c r="H373" s="182"/>
      <c r="N373" s="191"/>
    </row>
    <row r="374" spans="1:14" ht="12" thickBot="1" x14ac:dyDescent="0.25">
      <c r="A374" s="192"/>
      <c r="B374" s="193"/>
      <c r="C374" s="193"/>
      <c r="D374" s="193"/>
      <c r="E374" s="193"/>
      <c r="F374" s="193"/>
      <c r="G374" s="193"/>
      <c r="H374" s="193"/>
      <c r="I374" s="193"/>
      <c r="J374" s="193"/>
      <c r="K374" s="193"/>
      <c r="L374" s="193"/>
      <c r="M374" s="193"/>
      <c r="N374" s="195"/>
    </row>
    <row r="383" spans="1:14" ht="12" thickBot="1" x14ac:dyDescent="0.25"/>
    <row r="384" spans="1:14" x14ac:dyDescent="0.2">
      <c r="A384" s="184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8"/>
    </row>
    <row r="385" spans="1:14" x14ac:dyDescent="0.2">
      <c r="A385" s="189"/>
      <c r="B385" s="182"/>
      <c r="C385" s="182"/>
      <c r="D385" s="182"/>
      <c r="E385" s="182"/>
      <c r="F385" s="182"/>
      <c r="G385" s="182"/>
      <c r="H385" s="182"/>
      <c r="N385" s="191"/>
    </row>
    <row r="386" spans="1:14" x14ac:dyDescent="0.2">
      <c r="A386" s="189"/>
      <c r="B386" s="182"/>
      <c r="C386" s="182"/>
      <c r="D386" s="182"/>
      <c r="E386" s="182"/>
      <c r="F386" s="182"/>
      <c r="G386" s="182"/>
      <c r="H386" s="182"/>
      <c r="N386" s="191"/>
    </row>
    <row r="387" spans="1:14" x14ac:dyDescent="0.2">
      <c r="A387" s="189"/>
      <c r="B387" s="182"/>
      <c r="C387" s="182"/>
      <c r="D387" s="182"/>
      <c r="E387" s="182"/>
      <c r="F387" s="182"/>
      <c r="G387" s="182"/>
      <c r="H387" s="182"/>
      <c r="N387" s="191"/>
    </row>
    <row r="388" spans="1:14" x14ac:dyDescent="0.2">
      <c r="A388" s="189"/>
      <c r="B388" s="182"/>
      <c r="C388" s="182"/>
      <c r="D388" s="182"/>
      <c r="E388" s="182"/>
      <c r="F388" s="182"/>
      <c r="G388" s="182"/>
      <c r="H388" s="182"/>
      <c r="N388" s="191"/>
    </row>
    <row r="389" spans="1:14" x14ac:dyDescent="0.2">
      <c r="A389" s="189"/>
      <c r="B389" s="182"/>
      <c r="C389" s="182"/>
      <c r="D389" s="182"/>
      <c r="E389" s="182"/>
      <c r="F389" s="182"/>
      <c r="G389" s="182"/>
      <c r="H389" s="182"/>
      <c r="N389" s="191"/>
    </row>
    <row r="390" spans="1:14" x14ac:dyDescent="0.2">
      <c r="A390" s="189"/>
      <c r="B390" s="182"/>
      <c r="C390" s="182"/>
      <c r="D390" s="182"/>
      <c r="E390" s="182"/>
      <c r="F390" s="182"/>
      <c r="G390" s="182"/>
      <c r="H390" s="182"/>
      <c r="N390" s="191"/>
    </row>
    <row r="391" spans="1:14" x14ac:dyDescent="0.2">
      <c r="A391" s="189"/>
      <c r="B391" s="182"/>
      <c r="C391" s="182"/>
      <c r="D391" s="182"/>
      <c r="E391" s="182"/>
      <c r="F391" s="182"/>
      <c r="G391" s="182"/>
      <c r="H391" s="182"/>
      <c r="N391" s="191"/>
    </row>
    <row r="392" spans="1:14" ht="12" thickBot="1" x14ac:dyDescent="0.25">
      <c r="A392" s="192"/>
      <c r="B392" s="193"/>
      <c r="C392" s="193"/>
      <c r="D392" s="193"/>
      <c r="E392" s="193"/>
      <c r="F392" s="193"/>
      <c r="G392" s="193"/>
      <c r="H392" s="193"/>
      <c r="I392" s="193"/>
      <c r="J392" s="193"/>
      <c r="K392" s="193"/>
      <c r="L392" s="193"/>
      <c r="M392" s="193"/>
      <c r="N392" s="195"/>
    </row>
    <row r="419" spans="1:14" ht="12" thickBot="1" x14ac:dyDescent="0.25"/>
    <row r="420" spans="1:14" x14ac:dyDescent="0.2">
      <c r="A420" s="184"/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8"/>
    </row>
    <row r="421" spans="1:14" x14ac:dyDescent="0.2">
      <c r="A421" s="189"/>
      <c r="B421" s="182"/>
      <c r="C421" s="182"/>
      <c r="D421" s="182"/>
      <c r="E421" s="182"/>
      <c r="F421" s="182"/>
      <c r="G421" s="182"/>
      <c r="H421" s="182"/>
      <c r="N421" s="191"/>
    </row>
    <row r="422" spans="1:14" x14ac:dyDescent="0.2">
      <c r="A422" s="189"/>
      <c r="B422" s="182"/>
      <c r="C422" s="182"/>
      <c r="D422" s="182"/>
      <c r="E422" s="182"/>
      <c r="F422" s="182"/>
      <c r="G422" s="182"/>
      <c r="H422" s="182"/>
      <c r="N422" s="191"/>
    </row>
    <row r="423" spans="1:14" x14ac:dyDescent="0.2">
      <c r="A423" s="189"/>
      <c r="B423" s="182"/>
      <c r="C423" s="182"/>
      <c r="D423" s="182"/>
      <c r="E423" s="182"/>
      <c r="F423" s="182"/>
      <c r="G423" s="182"/>
      <c r="H423" s="182"/>
      <c r="N423" s="191"/>
    </row>
    <row r="424" spans="1:14" x14ac:dyDescent="0.2">
      <c r="A424" s="189"/>
      <c r="B424" s="182"/>
      <c r="C424" s="182"/>
      <c r="D424" s="182"/>
      <c r="E424" s="182"/>
      <c r="F424" s="182"/>
      <c r="G424" s="182"/>
      <c r="H424" s="182"/>
      <c r="N424" s="191"/>
    </row>
    <row r="425" spans="1:14" x14ac:dyDescent="0.2">
      <c r="A425" s="189"/>
      <c r="B425" s="182"/>
      <c r="C425" s="182"/>
      <c r="D425" s="182"/>
      <c r="E425" s="182"/>
      <c r="F425" s="182"/>
      <c r="G425" s="182"/>
      <c r="H425" s="182"/>
      <c r="N425" s="191"/>
    </row>
    <row r="426" spans="1:14" x14ac:dyDescent="0.2">
      <c r="A426" s="189"/>
      <c r="B426" s="182"/>
      <c r="C426" s="182"/>
      <c r="D426" s="182"/>
      <c r="E426" s="182"/>
      <c r="F426" s="182"/>
      <c r="G426" s="182"/>
      <c r="H426" s="182"/>
      <c r="N426" s="191"/>
    </row>
    <row r="427" spans="1:14" x14ac:dyDescent="0.2">
      <c r="A427" s="189"/>
      <c r="B427" s="182"/>
      <c r="C427" s="182"/>
      <c r="D427" s="182"/>
      <c r="E427" s="182"/>
      <c r="F427" s="182"/>
      <c r="G427" s="182"/>
      <c r="H427" s="182"/>
      <c r="N427" s="191"/>
    </row>
    <row r="428" spans="1:14" x14ac:dyDescent="0.2">
      <c r="A428" s="189"/>
      <c r="B428" s="182"/>
      <c r="C428" s="182"/>
      <c r="D428" s="182"/>
      <c r="E428" s="182"/>
      <c r="F428" s="182"/>
      <c r="G428" s="182"/>
      <c r="H428" s="182"/>
      <c r="N428" s="191"/>
    </row>
    <row r="429" spans="1:14" x14ac:dyDescent="0.2">
      <c r="A429" s="189"/>
      <c r="B429" s="182"/>
      <c r="C429" s="182"/>
      <c r="D429" s="182"/>
      <c r="E429" s="182"/>
      <c r="F429" s="182"/>
      <c r="G429" s="182"/>
      <c r="H429" s="182"/>
      <c r="N429" s="191"/>
    </row>
    <row r="430" spans="1:14" x14ac:dyDescent="0.2">
      <c r="A430" s="189"/>
      <c r="B430" s="182"/>
      <c r="C430" s="182"/>
      <c r="D430" s="182"/>
      <c r="E430" s="182"/>
      <c r="F430" s="182"/>
      <c r="G430" s="182"/>
      <c r="H430" s="182"/>
      <c r="N430" s="191"/>
    </row>
    <row r="431" spans="1:14" x14ac:dyDescent="0.2">
      <c r="A431" s="189"/>
      <c r="B431" s="182"/>
      <c r="C431" s="182"/>
      <c r="D431" s="182"/>
      <c r="E431" s="182"/>
      <c r="F431" s="182"/>
      <c r="G431" s="182"/>
      <c r="H431" s="182"/>
      <c r="N431" s="191"/>
    </row>
    <row r="432" spans="1:14" x14ac:dyDescent="0.2">
      <c r="A432" s="189"/>
      <c r="B432" s="182"/>
      <c r="C432" s="182"/>
      <c r="D432" s="182"/>
      <c r="E432" s="182"/>
      <c r="F432" s="182"/>
      <c r="G432" s="182"/>
      <c r="H432" s="182"/>
      <c r="N432" s="191"/>
    </row>
    <row r="433" spans="1:14" ht="12" thickBot="1" x14ac:dyDescent="0.25">
      <c r="A433" s="192"/>
      <c r="B433" s="193"/>
      <c r="C433" s="193"/>
      <c r="D433" s="193"/>
      <c r="E433" s="193"/>
      <c r="F433" s="193"/>
      <c r="G433" s="193"/>
      <c r="H433" s="193"/>
      <c r="I433" s="193"/>
      <c r="J433" s="193"/>
      <c r="K433" s="193"/>
      <c r="L433" s="193"/>
      <c r="M433" s="193"/>
      <c r="N433" s="195"/>
    </row>
    <row r="434" spans="1:14" x14ac:dyDescent="0.2">
      <c r="A434" s="184"/>
      <c r="B434" s="18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8"/>
    </row>
    <row r="435" spans="1:14" x14ac:dyDescent="0.2">
      <c r="A435" s="189"/>
      <c r="B435" s="182"/>
      <c r="C435" s="182"/>
      <c r="D435" s="182"/>
      <c r="E435" s="182"/>
      <c r="F435" s="182"/>
      <c r="G435" s="182"/>
      <c r="H435" s="182"/>
      <c r="N435" s="191"/>
    </row>
    <row r="436" spans="1:14" x14ac:dyDescent="0.2">
      <c r="A436" s="189"/>
      <c r="B436" s="182"/>
      <c r="C436" s="182"/>
      <c r="D436" s="182"/>
      <c r="E436" s="182"/>
      <c r="F436" s="182"/>
      <c r="G436" s="182"/>
      <c r="H436" s="182"/>
      <c r="N436" s="191"/>
    </row>
    <row r="437" spans="1:14" x14ac:dyDescent="0.2">
      <c r="A437" s="189"/>
      <c r="B437" s="182"/>
      <c r="C437" s="182"/>
      <c r="D437" s="182"/>
      <c r="E437" s="182"/>
      <c r="F437" s="182"/>
      <c r="G437" s="182"/>
      <c r="H437" s="182"/>
      <c r="N437" s="191"/>
    </row>
    <row r="438" spans="1:14" x14ac:dyDescent="0.2">
      <c r="A438" s="189"/>
      <c r="B438" s="182"/>
      <c r="C438" s="182"/>
      <c r="D438" s="182"/>
      <c r="E438" s="182"/>
      <c r="F438" s="182"/>
      <c r="G438" s="182"/>
      <c r="H438" s="182"/>
      <c r="N438" s="191"/>
    </row>
    <row r="439" spans="1:14" x14ac:dyDescent="0.2">
      <c r="A439" s="189"/>
      <c r="B439" s="182"/>
      <c r="C439" s="182"/>
      <c r="D439" s="182"/>
      <c r="E439" s="182"/>
      <c r="F439" s="182"/>
      <c r="G439" s="182"/>
      <c r="H439" s="182"/>
      <c r="N439" s="191"/>
    </row>
    <row r="440" spans="1:14" x14ac:dyDescent="0.2">
      <c r="A440" s="189"/>
      <c r="B440" s="182"/>
      <c r="C440" s="182"/>
      <c r="D440" s="182"/>
      <c r="E440" s="182"/>
      <c r="F440" s="182"/>
      <c r="G440" s="182"/>
      <c r="H440" s="182"/>
      <c r="N440" s="191"/>
    </row>
    <row r="441" spans="1:14" x14ac:dyDescent="0.2">
      <c r="A441" s="189"/>
      <c r="B441" s="182"/>
      <c r="C441" s="182"/>
      <c r="D441" s="182"/>
      <c r="E441" s="182"/>
      <c r="F441" s="182"/>
      <c r="G441" s="182"/>
      <c r="H441" s="182"/>
      <c r="N441" s="191"/>
    </row>
    <row r="442" spans="1:14" x14ac:dyDescent="0.2">
      <c r="A442" s="189"/>
      <c r="B442" s="182"/>
      <c r="C442" s="182"/>
      <c r="D442" s="182"/>
      <c r="E442" s="182"/>
      <c r="F442" s="182"/>
      <c r="G442" s="182"/>
      <c r="H442" s="182"/>
      <c r="N442" s="191"/>
    </row>
    <row r="443" spans="1:14" x14ac:dyDescent="0.2">
      <c r="A443" s="189"/>
      <c r="B443" s="182"/>
      <c r="C443" s="182"/>
      <c r="D443" s="182"/>
      <c r="E443" s="182"/>
      <c r="F443" s="182"/>
      <c r="G443" s="182"/>
      <c r="H443" s="182"/>
      <c r="N443" s="191"/>
    </row>
    <row r="444" spans="1:14" x14ac:dyDescent="0.2">
      <c r="A444" s="189"/>
      <c r="B444" s="182"/>
      <c r="C444" s="182"/>
      <c r="D444" s="182"/>
      <c r="E444" s="182"/>
      <c r="F444" s="182"/>
      <c r="G444" s="182"/>
      <c r="H444" s="182"/>
      <c r="N444" s="191"/>
    </row>
    <row r="445" spans="1:14" x14ac:dyDescent="0.2">
      <c r="A445" s="189"/>
      <c r="B445" s="182"/>
      <c r="C445" s="182"/>
      <c r="D445" s="182"/>
      <c r="E445" s="182"/>
      <c r="F445" s="182"/>
      <c r="G445" s="182"/>
      <c r="H445" s="182"/>
      <c r="N445" s="191"/>
    </row>
    <row r="446" spans="1:14" x14ac:dyDescent="0.2">
      <c r="A446" s="189"/>
      <c r="B446" s="182"/>
      <c r="C446" s="182"/>
      <c r="D446" s="182"/>
      <c r="E446" s="182"/>
      <c r="F446" s="182"/>
      <c r="G446" s="182"/>
      <c r="H446" s="182"/>
      <c r="N446" s="191"/>
    </row>
    <row r="447" spans="1:14" ht="12" thickBot="1" x14ac:dyDescent="0.25">
      <c r="A447" s="192"/>
      <c r="B447" s="193"/>
      <c r="C447" s="193"/>
      <c r="D447" s="193"/>
      <c r="E447" s="193"/>
      <c r="F447" s="193"/>
      <c r="G447" s="193"/>
      <c r="H447" s="193"/>
      <c r="I447" s="193"/>
      <c r="J447" s="193"/>
      <c r="K447" s="193"/>
      <c r="L447" s="193"/>
      <c r="M447" s="193"/>
      <c r="N447" s="195"/>
    </row>
    <row r="456" spans="1:14" ht="12" thickBot="1" x14ac:dyDescent="0.25"/>
    <row r="457" spans="1:14" x14ac:dyDescent="0.2">
      <c r="A457" s="184"/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8"/>
    </row>
    <row r="458" spans="1:14" x14ac:dyDescent="0.2">
      <c r="A458" s="189"/>
      <c r="B458" s="182"/>
      <c r="C458" s="182"/>
      <c r="D458" s="182"/>
      <c r="E458" s="182"/>
      <c r="F458" s="182"/>
      <c r="G458" s="182"/>
      <c r="H458" s="182"/>
      <c r="N458" s="191"/>
    </row>
    <row r="459" spans="1:14" x14ac:dyDescent="0.2">
      <c r="A459" s="189"/>
      <c r="B459" s="182"/>
      <c r="C459" s="182"/>
      <c r="D459" s="182"/>
      <c r="E459" s="182"/>
      <c r="F459" s="182"/>
      <c r="G459" s="182"/>
      <c r="H459" s="182"/>
      <c r="N459" s="191"/>
    </row>
    <row r="460" spans="1:14" x14ac:dyDescent="0.2">
      <c r="A460" s="189"/>
      <c r="B460" s="182"/>
      <c r="C460" s="182"/>
      <c r="D460" s="182"/>
      <c r="E460" s="182"/>
      <c r="F460" s="182"/>
      <c r="G460" s="182"/>
      <c r="H460" s="182"/>
      <c r="N460" s="191"/>
    </row>
    <row r="461" spans="1:14" x14ac:dyDescent="0.2">
      <c r="A461" s="189"/>
      <c r="B461" s="182"/>
      <c r="C461" s="182"/>
      <c r="D461" s="182"/>
      <c r="E461" s="182"/>
      <c r="F461" s="182"/>
      <c r="G461" s="182"/>
      <c r="H461" s="182"/>
      <c r="N461" s="191"/>
    </row>
    <row r="462" spans="1:14" x14ac:dyDescent="0.2">
      <c r="A462" s="189"/>
      <c r="B462" s="182"/>
      <c r="C462" s="182"/>
      <c r="D462" s="182"/>
      <c r="E462" s="182"/>
      <c r="F462" s="182"/>
      <c r="G462" s="182"/>
      <c r="H462" s="182"/>
      <c r="N462" s="191"/>
    </row>
    <row r="463" spans="1:14" x14ac:dyDescent="0.2">
      <c r="A463" s="189"/>
      <c r="B463" s="182"/>
      <c r="C463" s="182"/>
      <c r="D463" s="182"/>
      <c r="E463" s="182"/>
      <c r="F463" s="182"/>
      <c r="G463" s="182"/>
      <c r="H463" s="182"/>
      <c r="N463" s="191"/>
    </row>
    <row r="464" spans="1:14" x14ac:dyDescent="0.2">
      <c r="A464" s="189"/>
      <c r="B464" s="182"/>
      <c r="C464" s="182"/>
      <c r="D464" s="182"/>
      <c r="E464" s="182"/>
      <c r="F464" s="182"/>
      <c r="G464" s="182"/>
      <c r="H464" s="182"/>
      <c r="N464" s="191"/>
    </row>
    <row r="465" spans="1:14" ht="12" thickBot="1" x14ac:dyDescent="0.25">
      <c r="A465" s="192"/>
      <c r="B465" s="193"/>
      <c r="C465" s="193"/>
      <c r="D465" s="193"/>
      <c r="E465" s="193"/>
      <c r="F465" s="193"/>
      <c r="G465" s="193"/>
      <c r="H465" s="193"/>
      <c r="I465" s="193"/>
      <c r="J465" s="193"/>
      <c r="K465" s="193"/>
      <c r="L465" s="193"/>
      <c r="M465" s="193"/>
      <c r="N465" s="195"/>
    </row>
    <row r="506" spans="6:6" x14ac:dyDescent="0.2">
      <c r="F506" s="145">
        <v>415162</v>
      </c>
    </row>
    <row r="538" spans="1:14" ht="12" thickBot="1" x14ac:dyDescent="0.25"/>
    <row r="539" spans="1:14" x14ac:dyDescent="0.2">
      <c r="A539" s="184"/>
      <c r="B539" s="186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8"/>
    </row>
    <row r="540" spans="1:14" x14ac:dyDescent="0.2">
      <c r="A540" s="189"/>
      <c r="B540" s="182"/>
      <c r="C540" s="182"/>
      <c r="D540" s="182"/>
      <c r="E540" s="182"/>
      <c r="F540" s="182"/>
      <c r="G540" s="182"/>
      <c r="H540" s="182"/>
      <c r="N540" s="191"/>
    </row>
    <row r="541" spans="1:14" x14ac:dyDescent="0.2">
      <c r="A541" s="189"/>
      <c r="B541" s="182"/>
      <c r="C541" s="182"/>
      <c r="D541" s="182"/>
      <c r="E541" s="182"/>
      <c r="F541" s="182"/>
      <c r="G541" s="182"/>
      <c r="H541" s="182"/>
      <c r="N541" s="191"/>
    </row>
    <row r="542" spans="1:14" x14ac:dyDescent="0.2">
      <c r="A542" s="189"/>
      <c r="B542" s="182"/>
      <c r="C542" s="182"/>
      <c r="D542" s="182"/>
      <c r="E542" s="182"/>
      <c r="F542" s="182"/>
      <c r="G542" s="182"/>
      <c r="H542" s="182"/>
      <c r="N542" s="191"/>
    </row>
    <row r="543" spans="1:14" x14ac:dyDescent="0.2">
      <c r="A543" s="189"/>
      <c r="B543" s="182"/>
      <c r="C543" s="182"/>
      <c r="D543" s="182"/>
      <c r="E543" s="182"/>
      <c r="F543" s="182"/>
      <c r="G543" s="182"/>
      <c r="H543" s="182"/>
      <c r="N543" s="191"/>
    </row>
    <row r="544" spans="1:14" x14ac:dyDescent="0.2">
      <c r="A544" s="189"/>
      <c r="B544" s="182"/>
      <c r="C544" s="182"/>
      <c r="D544" s="182"/>
      <c r="E544" s="182"/>
      <c r="F544" s="182"/>
      <c r="G544" s="182"/>
      <c r="H544" s="182"/>
      <c r="N544" s="191"/>
    </row>
    <row r="545" spans="1:14" x14ac:dyDescent="0.2">
      <c r="A545" s="189"/>
      <c r="B545" s="182"/>
      <c r="C545" s="182"/>
      <c r="D545" s="182"/>
      <c r="E545" s="182"/>
      <c r="F545" s="182"/>
      <c r="G545" s="182"/>
      <c r="H545" s="182"/>
      <c r="N545" s="191"/>
    </row>
    <row r="546" spans="1:14" ht="12" thickBot="1" x14ac:dyDescent="0.25">
      <c r="A546" s="192"/>
      <c r="B546" s="193"/>
      <c r="C546" s="193"/>
      <c r="D546" s="193"/>
      <c r="E546" s="193"/>
      <c r="F546" s="193"/>
      <c r="G546" s="193"/>
      <c r="H546" s="193"/>
      <c r="I546" s="193"/>
      <c r="J546" s="193"/>
      <c r="K546" s="193"/>
      <c r="L546" s="193"/>
      <c r="M546" s="193"/>
      <c r="N546" s="195"/>
    </row>
    <row r="547" spans="1:14" x14ac:dyDescent="0.2">
      <c r="A547" s="184"/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8"/>
    </row>
    <row r="548" spans="1:14" x14ac:dyDescent="0.2">
      <c r="A548" s="189"/>
      <c r="B548" s="182"/>
      <c r="C548" s="182"/>
      <c r="D548" s="182"/>
      <c r="E548" s="182"/>
      <c r="F548" s="182"/>
      <c r="G548" s="182"/>
      <c r="H548" s="182"/>
      <c r="N548" s="191"/>
    </row>
    <row r="549" spans="1:14" x14ac:dyDescent="0.2">
      <c r="A549" s="189"/>
      <c r="B549" s="182"/>
      <c r="C549" s="182"/>
      <c r="D549" s="182"/>
      <c r="E549" s="182"/>
      <c r="F549" s="182"/>
      <c r="G549" s="182"/>
      <c r="H549" s="182"/>
      <c r="N549" s="191"/>
    </row>
    <row r="550" spans="1:14" ht="12" thickBot="1" x14ac:dyDescent="0.25">
      <c r="A550" s="192"/>
      <c r="B550" s="193"/>
      <c r="C550" s="193"/>
      <c r="D550" s="193"/>
      <c r="E550" s="193"/>
      <c r="F550" s="193"/>
      <c r="G550" s="193"/>
      <c r="H550" s="193"/>
      <c r="I550" s="193"/>
      <c r="J550" s="193"/>
      <c r="K550" s="193"/>
      <c r="L550" s="193"/>
      <c r="M550" s="193"/>
      <c r="N550" s="195"/>
    </row>
  </sheetData>
  <mergeCells count="97">
    <mergeCell ref="A204:A218"/>
    <mergeCell ref="N204:N218"/>
    <mergeCell ref="C206:C211"/>
    <mergeCell ref="C213:C218"/>
    <mergeCell ref="A219:A227"/>
    <mergeCell ref="N219:N227"/>
    <mergeCell ref="C221:C224"/>
    <mergeCell ref="C226:C227"/>
    <mergeCell ref="M1:N1"/>
    <mergeCell ref="A248:A256"/>
    <mergeCell ref="N248:N256"/>
    <mergeCell ref="C250:C252"/>
    <mergeCell ref="C254:C256"/>
    <mergeCell ref="A228:N228"/>
    <mergeCell ref="A232:A240"/>
    <mergeCell ref="C233:C236"/>
    <mergeCell ref="C238:C240"/>
    <mergeCell ref="A241:A247"/>
    <mergeCell ref="N241:N247"/>
    <mergeCell ref="C243:C244"/>
    <mergeCell ref="C246:C247"/>
    <mergeCell ref="N229:N240"/>
    <mergeCell ref="A189:A203"/>
    <mergeCell ref="N189:N203"/>
    <mergeCell ref="C159:C160"/>
    <mergeCell ref="C162:C163"/>
    <mergeCell ref="A164:A177"/>
    <mergeCell ref="N164:N177"/>
    <mergeCell ref="C166:C170"/>
    <mergeCell ref="C172:C177"/>
    <mergeCell ref="C198:C203"/>
    <mergeCell ref="A129:A142"/>
    <mergeCell ref="N129:N142"/>
    <mergeCell ref="C131:C135"/>
    <mergeCell ref="C137:C142"/>
    <mergeCell ref="A143:A153"/>
    <mergeCell ref="N143:N153"/>
    <mergeCell ref="C145:C149"/>
    <mergeCell ref="C151:C153"/>
    <mergeCell ref="A178:A188"/>
    <mergeCell ref="N178:N188"/>
    <mergeCell ref="C180:C183"/>
    <mergeCell ref="C185:C188"/>
    <mergeCell ref="C191:C196"/>
    <mergeCell ref="A157:A162"/>
    <mergeCell ref="N157:N163"/>
    <mergeCell ref="A107:A117"/>
    <mergeCell ref="N107:N117"/>
    <mergeCell ref="C109:C112"/>
    <mergeCell ref="C114:C117"/>
    <mergeCell ref="A118:A128"/>
    <mergeCell ref="N118:N128"/>
    <mergeCell ref="C120:C123"/>
    <mergeCell ref="C125:C128"/>
    <mergeCell ref="A73:A90"/>
    <mergeCell ref="C83:C90"/>
    <mergeCell ref="N73:N90"/>
    <mergeCell ref="A91:A106"/>
    <mergeCell ref="N91:N106"/>
    <mergeCell ref="C101:C106"/>
    <mergeCell ref="C75:C81"/>
    <mergeCell ref="C93:C99"/>
    <mergeCell ref="A47:A59"/>
    <mergeCell ref="N47:N59"/>
    <mergeCell ref="C49:C53"/>
    <mergeCell ref="C55:C59"/>
    <mergeCell ref="A60:A72"/>
    <mergeCell ref="N60:N72"/>
    <mergeCell ref="C62:C66"/>
    <mergeCell ref="G5:H5"/>
    <mergeCell ref="G6:G7"/>
    <mergeCell ref="A33:A45"/>
    <mergeCell ref="N33:N45"/>
    <mergeCell ref="C35:C39"/>
    <mergeCell ref="C41:C45"/>
    <mergeCell ref="A12:A32"/>
    <mergeCell ref="N12:N32"/>
    <mergeCell ref="C13:C22"/>
    <mergeCell ref="C24:C32"/>
    <mergeCell ref="H6:H7"/>
    <mergeCell ref="A8:B8"/>
    <mergeCell ref="I4:M4"/>
    <mergeCell ref="N4:N7"/>
    <mergeCell ref="J5:J7"/>
    <mergeCell ref="K5:M5"/>
    <mergeCell ref="A3:N3"/>
    <mergeCell ref="A4:A7"/>
    <mergeCell ref="B4:B7"/>
    <mergeCell ref="C4:C7"/>
    <mergeCell ref="D4:H4"/>
    <mergeCell ref="D5:D7"/>
    <mergeCell ref="E5:E7"/>
    <mergeCell ref="F5:F7"/>
    <mergeCell ref="I5:I7"/>
    <mergeCell ref="K6:K7"/>
    <mergeCell ref="L6:L7"/>
    <mergeCell ref="M6:M7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46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5" manualBreakCount="5">
    <brk id="45" min="1" max="13" man="1"/>
    <brk id="90" max="13" man="1"/>
    <brk id="128" max="13" man="1"/>
    <brk id="227" max="13" man="1"/>
    <brk id="269" max="1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X550"/>
  <sheetViews>
    <sheetView showGridLines="0" view="pageBreakPreview" zoomScaleNormal="100" zoomScaleSheetLayoutView="100" workbookViewId="0">
      <pane xSplit="3" ySplit="9" topLeftCell="D10" activePane="bottomRight" state="frozen"/>
      <selection activeCell="D5" sqref="D5:H5"/>
      <selection pane="topRight" activeCell="D5" sqref="D5:H5"/>
      <selection pane="bottomLeft" activeCell="D5" sqref="D5:H5"/>
      <selection pane="bottomRight" activeCell="O1" sqref="O1"/>
    </sheetView>
  </sheetViews>
  <sheetFormatPr defaultRowHeight="11.25" x14ac:dyDescent="0.2"/>
  <cols>
    <col min="1" max="1" width="2.85546875" style="549" customWidth="1"/>
    <col min="2" max="2" width="52.5703125" style="550" customWidth="1"/>
    <col min="3" max="3" width="11.28515625" style="550" customWidth="1"/>
    <col min="4" max="4" width="13.85546875" style="550" customWidth="1"/>
    <col min="5" max="5" width="10.85546875" style="550" customWidth="1"/>
    <col min="6" max="6" width="13.28515625" style="550" customWidth="1"/>
    <col min="7" max="7" width="13" style="550" customWidth="1"/>
    <col min="8" max="8" width="12.140625" style="550" customWidth="1"/>
    <col min="9" max="9" width="11.85546875" style="550" customWidth="1"/>
    <col min="10" max="10" width="11.42578125" style="608" customWidth="1"/>
    <col min="11" max="11" width="11.140625" style="552" customWidth="1"/>
    <col min="12" max="12" width="11.7109375" style="552" customWidth="1"/>
    <col min="13" max="13" width="15" style="552" customWidth="1"/>
    <col min="14" max="14" width="13.140625" style="609" customWidth="1"/>
    <col min="15" max="16384" width="9.140625" style="550"/>
  </cols>
  <sheetData>
    <row r="1" spans="1:102" ht="24.75" customHeight="1" x14ac:dyDescent="0.3">
      <c r="I1" s="5"/>
      <c r="J1" s="5"/>
      <c r="L1" s="5"/>
      <c r="M1" s="3029" t="s">
        <v>356</v>
      </c>
      <c r="N1" s="3029"/>
    </row>
    <row r="2" spans="1:102" ht="15" customHeight="1" x14ac:dyDescent="0.2">
      <c r="I2" s="128"/>
      <c r="J2" s="550"/>
      <c r="K2" s="550"/>
      <c r="L2" s="550"/>
      <c r="M2" s="550"/>
      <c r="N2" s="387"/>
    </row>
    <row r="3" spans="1:102" ht="5.25" customHeight="1" thickBot="1" x14ac:dyDescent="0.25">
      <c r="I3" s="128"/>
      <c r="J3" s="550"/>
      <c r="K3" s="550"/>
      <c r="L3" s="550"/>
      <c r="M3" s="550"/>
      <c r="N3" s="387"/>
    </row>
    <row r="4" spans="1:102" ht="5.25" customHeight="1" x14ac:dyDescent="0.2">
      <c r="A4" s="1041"/>
      <c r="B4" s="601"/>
      <c r="C4" s="601"/>
      <c r="D4" s="601"/>
      <c r="E4" s="601"/>
      <c r="F4" s="601"/>
      <c r="G4" s="601"/>
      <c r="H4" s="601"/>
      <c r="I4" s="1039"/>
      <c r="J4" s="601"/>
      <c r="K4" s="601"/>
      <c r="L4" s="601"/>
      <c r="M4" s="601"/>
      <c r="N4" s="1040"/>
    </row>
    <row r="5" spans="1:102" s="554" customFormat="1" ht="45" customHeight="1" thickBot="1" x14ac:dyDescent="0.25">
      <c r="A5" s="3634" t="s">
        <v>220</v>
      </c>
      <c r="B5" s="3635"/>
      <c r="C5" s="3635"/>
      <c r="D5" s="3635"/>
      <c r="E5" s="3635"/>
      <c r="F5" s="3635"/>
      <c r="G5" s="3635"/>
      <c r="H5" s="3635"/>
      <c r="I5" s="3636"/>
      <c r="J5" s="3636"/>
      <c r="K5" s="3636"/>
      <c r="L5" s="3636"/>
      <c r="M5" s="3636"/>
      <c r="N5" s="3637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3"/>
      <c r="Z5" s="553"/>
      <c r="AA5" s="553"/>
      <c r="AB5" s="553"/>
      <c r="AC5" s="553"/>
      <c r="AD5" s="553"/>
      <c r="AE5" s="553"/>
      <c r="AF5" s="553"/>
      <c r="AG5" s="553"/>
      <c r="AH5" s="553"/>
      <c r="AI5" s="553"/>
      <c r="AJ5" s="553"/>
      <c r="AK5" s="553"/>
      <c r="AL5" s="553"/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W5" s="553"/>
      <c r="AX5" s="553"/>
      <c r="AY5" s="553"/>
      <c r="AZ5" s="553"/>
      <c r="BA5" s="553"/>
      <c r="BB5" s="553"/>
      <c r="BC5" s="553"/>
      <c r="BD5" s="553"/>
      <c r="BE5" s="553"/>
      <c r="BF5" s="553"/>
      <c r="BG5" s="553"/>
      <c r="BH5" s="553"/>
      <c r="BI5" s="553"/>
      <c r="BJ5" s="553"/>
      <c r="BK5" s="553"/>
      <c r="BL5" s="553"/>
      <c r="BM5" s="553"/>
      <c r="BN5" s="553"/>
      <c r="BO5" s="553"/>
      <c r="BP5" s="553"/>
      <c r="BQ5" s="553"/>
      <c r="BR5" s="553"/>
      <c r="BS5" s="553"/>
      <c r="BT5" s="553"/>
      <c r="BU5" s="553"/>
      <c r="BV5" s="553"/>
      <c r="BW5" s="553"/>
      <c r="BX5" s="553"/>
      <c r="BY5" s="553"/>
      <c r="BZ5" s="553"/>
      <c r="CA5" s="553"/>
      <c r="CB5" s="553"/>
      <c r="CC5" s="553"/>
      <c r="CD5" s="553"/>
      <c r="CE5" s="553"/>
      <c r="CF5" s="553"/>
      <c r="CG5" s="553"/>
      <c r="CH5" s="553"/>
      <c r="CI5" s="553"/>
      <c r="CJ5" s="553"/>
      <c r="CK5" s="553"/>
      <c r="CL5" s="553"/>
      <c r="CM5" s="553"/>
      <c r="CN5" s="553"/>
      <c r="CO5" s="553"/>
      <c r="CP5" s="553"/>
      <c r="CQ5" s="553"/>
      <c r="CR5" s="553"/>
      <c r="CS5" s="553"/>
      <c r="CT5" s="553"/>
      <c r="CU5" s="553"/>
      <c r="CV5" s="553"/>
      <c r="CW5" s="553"/>
      <c r="CX5" s="553"/>
    </row>
    <row r="6" spans="1:102" s="196" customFormat="1" ht="41.25" customHeight="1" x14ac:dyDescent="0.2">
      <c r="A6" s="3638" t="s">
        <v>25</v>
      </c>
      <c r="B6" s="3641" t="s">
        <v>26</v>
      </c>
      <c r="C6" s="3278" t="s">
        <v>27</v>
      </c>
      <c r="D6" s="3026" t="s">
        <v>338</v>
      </c>
      <c r="E6" s="3027"/>
      <c r="F6" s="3027"/>
      <c r="G6" s="3027"/>
      <c r="H6" s="3028"/>
      <c r="I6" s="3026" t="s">
        <v>316</v>
      </c>
      <c r="J6" s="3027"/>
      <c r="K6" s="3027"/>
      <c r="L6" s="3027"/>
      <c r="M6" s="3028"/>
      <c r="N6" s="3060" t="s">
        <v>28</v>
      </c>
    </row>
    <row r="7" spans="1:102" s="196" customFormat="1" ht="24.75" customHeight="1" x14ac:dyDescent="0.2">
      <c r="A7" s="3639"/>
      <c r="B7" s="3642"/>
      <c r="C7" s="3279"/>
      <c r="D7" s="3011" t="s">
        <v>0</v>
      </c>
      <c r="E7" s="3014" t="s">
        <v>188</v>
      </c>
      <c r="F7" s="3017" t="s">
        <v>332</v>
      </c>
      <c r="G7" s="3020" t="s">
        <v>292</v>
      </c>
      <c r="H7" s="3021"/>
      <c r="I7" s="3002" t="s">
        <v>302</v>
      </c>
      <c r="J7" s="3064" t="s">
        <v>339</v>
      </c>
      <c r="K7" s="3424" t="s">
        <v>321</v>
      </c>
      <c r="L7" s="3425"/>
      <c r="M7" s="3426"/>
      <c r="N7" s="3061"/>
    </row>
    <row r="8" spans="1:102" s="196" customFormat="1" ht="65.25" customHeight="1" x14ac:dyDescent="0.2">
      <c r="A8" s="3639"/>
      <c r="B8" s="3642"/>
      <c r="C8" s="3279"/>
      <c r="D8" s="3012"/>
      <c r="E8" s="3015"/>
      <c r="F8" s="3018"/>
      <c r="G8" s="3022" t="s">
        <v>301</v>
      </c>
      <c r="H8" s="3024" t="s">
        <v>251</v>
      </c>
      <c r="I8" s="3003"/>
      <c r="J8" s="3065"/>
      <c r="K8" s="3022" t="s">
        <v>304</v>
      </c>
      <c r="L8" s="3468" t="s">
        <v>340</v>
      </c>
      <c r="M8" s="3422" t="s">
        <v>341</v>
      </c>
      <c r="N8" s="3062"/>
    </row>
    <row r="9" spans="1:102" s="196" customFormat="1" ht="54" customHeight="1" thickBot="1" x14ac:dyDescent="0.25">
      <c r="A9" s="3640"/>
      <c r="B9" s="3643"/>
      <c r="C9" s="3280"/>
      <c r="D9" s="3013"/>
      <c r="E9" s="3016"/>
      <c r="F9" s="3019"/>
      <c r="G9" s="3023"/>
      <c r="H9" s="3025"/>
      <c r="I9" s="3004"/>
      <c r="J9" s="3066"/>
      <c r="K9" s="3023"/>
      <c r="L9" s="3469"/>
      <c r="M9" s="3423"/>
      <c r="N9" s="3063"/>
    </row>
    <row r="10" spans="1:102" s="196" customFormat="1" ht="13.5" customHeight="1" thickBot="1" x14ac:dyDescent="0.25">
      <c r="A10" s="3563">
        <v>1</v>
      </c>
      <c r="B10" s="3564"/>
      <c r="C10" s="814">
        <v>2</v>
      </c>
      <c r="D10" s="1538">
        <v>3</v>
      </c>
      <c r="E10" s="1539">
        <v>4</v>
      </c>
      <c r="F10" s="1539">
        <v>5</v>
      </c>
      <c r="G10" s="1539">
        <v>6</v>
      </c>
      <c r="H10" s="1646">
        <v>7</v>
      </c>
      <c r="I10" s="1538">
        <v>8</v>
      </c>
      <c r="J10" s="1647">
        <v>9</v>
      </c>
      <c r="K10" s="1647">
        <v>10</v>
      </c>
      <c r="L10" s="1648">
        <v>11</v>
      </c>
      <c r="M10" s="1649">
        <v>12</v>
      </c>
      <c r="N10" s="1541">
        <v>13</v>
      </c>
    </row>
    <row r="11" spans="1:102" s="196" customFormat="1" ht="19.5" customHeight="1" thickBot="1" x14ac:dyDescent="0.25">
      <c r="A11" s="815"/>
      <c r="B11" s="139" t="s">
        <v>189</v>
      </c>
      <c r="C11" s="204"/>
      <c r="D11" s="20">
        <f t="shared" ref="D11:H11" si="0">D12+D13</f>
        <v>9817754</v>
      </c>
      <c r="E11" s="21">
        <f t="shared" si="0"/>
        <v>75251</v>
      </c>
      <c r="F11" s="21">
        <f t="shared" si="0"/>
        <v>733387</v>
      </c>
      <c r="G11" s="21">
        <f t="shared" si="0"/>
        <v>5262835</v>
      </c>
      <c r="H11" s="22">
        <f t="shared" si="0"/>
        <v>3746281</v>
      </c>
      <c r="I11" s="20">
        <f t="shared" ref="I11" si="1">I12+I13</f>
        <v>1850666</v>
      </c>
      <c r="J11" s="141">
        <f t="shared" ref="J11:J21" si="2">I11/D11*100</f>
        <v>18.850197305819641</v>
      </c>
      <c r="K11" s="21">
        <f>K12+K13</f>
        <v>1042028</v>
      </c>
      <c r="L11" s="141">
        <f t="shared" ref="L11:L21" si="3">K11/G11*100</f>
        <v>19.799746714460934</v>
      </c>
      <c r="M11" s="21">
        <f t="shared" ref="M11:M42" si="4">+K11-G11*0.5</f>
        <v>-1589389.5</v>
      </c>
      <c r="N11" s="932"/>
    </row>
    <row r="12" spans="1:102" s="593" customFormat="1" ht="15.75" customHeight="1" thickTop="1" x14ac:dyDescent="0.2">
      <c r="A12" s="877"/>
      <c r="B12" s="207" t="s">
        <v>190</v>
      </c>
      <c r="C12" s="208"/>
      <c r="D12" s="28">
        <f t="shared" ref="D12:I12" si="5">D23+D32+D41+D48</f>
        <v>9783984</v>
      </c>
      <c r="E12" s="27">
        <f t="shared" si="5"/>
        <v>75251</v>
      </c>
      <c r="F12" s="27">
        <f t="shared" si="5"/>
        <v>733387</v>
      </c>
      <c r="G12" s="27">
        <f t="shared" si="5"/>
        <v>5229065</v>
      </c>
      <c r="H12" s="30">
        <f t="shared" si="5"/>
        <v>3746281</v>
      </c>
      <c r="I12" s="28">
        <f t="shared" si="5"/>
        <v>1816896</v>
      </c>
      <c r="J12" s="652">
        <f t="shared" si="2"/>
        <v>18.570103957651607</v>
      </c>
      <c r="K12" s="27">
        <f>K23+K32+K41+K48</f>
        <v>1008258</v>
      </c>
      <c r="L12" s="652">
        <f t="shared" si="3"/>
        <v>19.28180276971122</v>
      </c>
      <c r="M12" s="27">
        <f t="shared" si="4"/>
        <v>-1606274.5</v>
      </c>
      <c r="N12" s="878"/>
    </row>
    <row r="13" spans="1:102" s="593" customFormat="1" ht="15.75" customHeight="1" thickBot="1" x14ac:dyDescent="0.25">
      <c r="A13" s="877"/>
      <c r="B13" s="654" t="s">
        <v>191</v>
      </c>
      <c r="C13" s="655"/>
      <c r="D13" s="879">
        <f t="shared" ref="D13:H13" si="6">+D55</f>
        <v>33770</v>
      </c>
      <c r="E13" s="97">
        <f t="shared" si="6"/>
        <v>0</v>
      </c>
      <c r="F13" s="97">
        <f t="shared" si="6"/>
        <v>0</v>
      </c>
      <c r="G13" s="97">
        <f t="shared" si="6"/>
        <v>33770</v>
      </c>
      <c r="H13" s="880">
        <f t="shared" si="6"/>
        <v>0</v>
      </c>
      <c r="I13" s="879">
        <f t="shared" ref="I13" si="7">+I55</f>
        <v>33770</v>
      </c>
      <c r="J13" s="157">
        <f t="shared" si="2"/>
        <v>100</v>
      </c>
      <c r="K13" s="97">
        <f>+K55</f>
        <v>33770</v>
      </c>
      <c r="L13" s="157">
        <f t="shared" si="3"/>
        <v>100</v>
      </c>
      <c r="M13" s="97">
        <f t="shared" si="4"/>
        <v>16885</v>
      </c>
      <c r="N13" s="878"/>
    </row>
    <row r="14" spans="1:102" ht="18.75" customHeight="1" x14ac:dyDescent="0.2">
      <c r="A14" s="3644"/>
      <c r="B14" s="434" t="s">
        <v>3</v>
      </c>
      <c r="C14" s="435"/>
      <c r="D14" s="816">
        <f t="shared" ref="D14:H14" si="8">D15+D17</f>
        <v>9817754</v>
      </c>
      <c r="E14" s="392">
        <f t="shared" si="8"/>
        <v>75251</v>
      </c>
      <c r="F14" s="817">
        <f t="shared" si="8"/>
        <v>733387</v>
      </c>
      <c r="G14" s="818">
        <f t="shared" si="8"/>
        <v>5262835</v>
      </c>
      <c r="H14" s="819">
        <f t="shared" si="8"/>
        <v>3746281</v>
      </c>
      <c r="I14" s="816">
        <f>I15+I17</f>
        <v>1850666</v>
      </c>
      <c r="J14" s="887">
        <f t="shared" si="2"/>
        <v>18.850197305819641</v>
      </c>
      <c r="K14" s="817">
        <f>K15+K17</f>
        <v>1042028</v>
      </c>
      <c r="L14" s="887">
        <f t="shared" si="3"/>
        <v>19.799746714460934</v>
      </c>
      <c r="M14" s="392">
        <f t="shared" si="4"/>
        <v>-1589389.5</v>
      </c>
      <c r="N14" s="3645" t="s">
        <v>89</v>
      </c>
    </row>
    <row r="15" spans="1:102" ht="12" customHeight="1" x14ac:dyDescent="0.2">
      <c r="A15" s="3212"/>
      <c r="B15" s="394" t="s">
        <v>18</v>
      </c>
      <c r="C15" s="3647" t="s">
        <v>89</v>
      </c>
      <c r="D15" s="820">
        <f>D16</f>
        <v>211075</v>
      </c>
      <c r="E15" s="396">
        <f>+E16</f>
        <v>11289</v>
      </c>
      <c r="F15" s="821">
        <f>+F16</f>
        <v>28906</v>
      </c>
      <c r="G15" s="822">
        <f>+G16</f>
        <v>138706</v>
      </c>
      <c r="H15" s="397">
        <f>+H16</f>
        <v>32174</v>
      </c>
      <c r="I15" s="823">
        <f>+I16</f>
        <v>71323</v>
      </c>
      <c r="J15" s="667">
        <f t="shared" si="2"/>
        <v>33.790358877176359</v>
      </c>
      <c r="K15" s="885">
        <f>+K16</f>
        <v>31128</v>
      </c>
      <c r="L15" s="667">
        <f t="shared" si="3"/>
        <v>22.441711245367902</v>
      </c>
      <c r="M15" s="886">
        <f t="shared" si="4"/>
        <v>-38225</v>
      </c>
      <c r="N15" s="3646"/>
    </row>
    <row r="16" spans="1:102" ht="15" customHeight="1" x14ac:dyDescent="0.2">
      <c r="A16" s="3212"/>
      <c r="B16" s="230" t="s">
        <v>5</v>
      </c>
      <c r="C16" s="3648"/>
      <c r="D16" s="824">
        <f t="shared" ref="D16:H16" si="9">D25+D34</f>
        <v>211075</v>
      </c>
      <c r="E16" s="402">
        <f t="shared" si="9"/>
        <v>11289</v>
      </c>
      <c r="F16" s="825">
        <f t="shared" si="9"/>
        <v>28906</v>
      </c>
      <c r="G16" s="826">
        <f t="shared" si="9"/>
        <v>138706</v>
      </c>
      <c r="H16" s="403">
        <f t="shared" si="9"/>
        <v>32174</v>
      </c>
      <c r="I16" s="824">
        <f t="shared" ref="I16:K16" si="10">I25+I34</f>
        <v>71323</v>
      </c>
      <c r="J16" s="672">
        <f t="shared" si="2"/>
        <v>33.790358877176359</v>
      </c>
      <c r="K16" s="825">
        <f t="shared" si="10"/>
        <v>31128</v>
      </c>
      <c r="L16" s="672">
        <f t="shared" si="3"/>
        <v>22.441711245367902</v>
      </c>
      <c r="M16" s="826">
        <f t="shared" si="4"/>
        <v>-38225</v>
      </c>
      <c r="N16" s="3646"/>
    </row>
    <row r="17" spans="1:14" ht="14.25" customHeight="1" x14ac:dyDescent="0.2">
      <c r="A17" s="3212"/>
      <c r="B17" s="222" t="s">
        <v>13</v>
      </c>
      <c r="C17" s="3648"/>
      <c r="D17" s="827">
        <f t="shared" ref="D17:H17" si="11">D18</f>
        <v>9606679</v>
      </c>
      <c r="E17" s="396">
        <f t="shared" si="11"/>
        <v>63962</v>
      </c>
      <c r="F17" s="821">
        <f t="shared" si="11"/>
        <v>704481</v>
      </c>
      <c r="G17" s="828">
        <f t="shared" si="11"/>
        <v>5124129</v>
      </c>
      <c r="H17" s="397">
        <f t="shared" si="11"/>
        <v>3714107</v>
      </c>
      <c r="I17" s="823">
        <f t="shared" ref="I17:K17" si="12">I18</f>
        <v>1779343</v>
      </c>
      <c r="J17" s="829">
        <f t="shared" si="2"/>
        <v>18.521936665105603</v>
      </c>
      <c r="K17" s="821">
        <f t="shared" si="12"/>
        <v>1010900</v>
      </c>
      <c r="L17" s="829">
        <f t="shared" si="3"/>
        <v>19.728230885678329</v>
      </c>
      <c r="M17" s="828">
        <f t="shared" si="4"/>
        <v>-1551164.5</v>
      </c>
      <c r="N17" s="3646"/>
    </row>
    <row r="18" spans="1:14" ht="13.5" customHeight="1" x14ac:dyDescent="0.2">
      <c r="A18" s="3212"/>
      <c r="B18" s="830" t="s">
        <v>15</v>
      </c>
      <c r="C18" s="3649"/>
      <c r="D18" s="831">
        <f t="shared" ref="D18:I18" si="13">D27+D36+D43+D50+D57</f>
        <v>9606679</v>
      </c>
      <c r="E18" s="832">
        <f t="shared" si="13"/>
        <v>63962</v>
      </c>
      <c r="F18" s="832">
        <f t="shared" si="13"/>
        <v>704481</v>
      </c>
      <c r="G18" s="832">
        <f t="shared" si="13"/>
        <v>5124129</v>
      </c>
      <c r="H18" s="833">
        <f t="shared" si="13"/>
        <v>3714107</v>
      </c>
      <c r="I18" s="831">
        <f t="shared" si="13"/>
        <v>1779343</v>
      </c>
      <c r="J18" s="834">
        <f t="shared" si="2"/>
        <v>18.521936665105603</v>
      </c>
      <c r="K18" s="406">
        <f>K27+K36+K43+K50+K57</f>
        <v>1010900</v>
      </c>
      <c r="L18" s="834">
        <f t="shared" si="3"/>
        <v>19.728230885678329</v>
      </c>
      <c r="M18" s="832">
        <f t="shared" si="4"/>
        <v>-1551164.5</v>
      </c>
      <c r="N18" s="3646"/>
    </row>
    <row r="19" spans="1:14" ht="18.75" customHeight="1" x14ac:dyDescent="0.2">
      <c r="A19" s="3212"/>
      <c r="B19" s="236" t="s">
        <v>17</v>
      </c>
      <c r="C19" s="237"/>
      <c r="D19" s="835">
        <f>D20</f>
        <v>9606679</v>
      </c>
      <c r="E19" s="320">
        <f t="shared" ref="E19:H20" si="14">E20</f>
        <v>1291</v>
      </c>
      <c r="F19" s="407">
        <f t="shared" si="14"/>
        <v>739466</v>
      </c>
      <c r="G19" s="836">
        <f t="shared" si="14"/>
        <v>4157727</v>
      </c>
      <c r="H19" s="837">
        <f t="shared" si="14"/>
        <v>4708195</v>
      </c>
      <c r="I19" s="383">
        <f t="shared" ref="I19:K20" si="15">I20</f>
        <v>960684</v>
      </c>
      <c r="J19" s="838">
        <f t="shared" si="2"/>
        <v>10.000167591734876</v>
      </c>
      <c r="K19" s="320">
        <f t="shared" si="15"/>
        <v>219927</v>
      </c>
      <c r="L19" s="838">
        <f t="shared" si="3"/>
        <v>5.2895969360181656</v>
      </c>
      <c r="M19" s="836">
        <f t="shared" si="4"/>
        <v>-1858936.5</v>
      </c>
      <c r="N19" s="3646"/>
    </row>
    <row r="20" spans="1:14" ht="15" customHeight="1" x14ac:dyDescent="0.2">
      <c r="A20" s="3212"/>
      <c r="B20" s="249" t="s">
        <v>13</v>
      </c>
      <c r="C20" s="3650" t="s">
        <v>89</v>
      </c>
      <c r="D20" s="839">
        <f>D21</f>
        <v>9606679</v>
      </c>
      <c r="E20" s="410">
        <f t="shared" si="14"/>
        <v>1291</v>
      </c>
      <c r="F20" s="409">
        <f t="shared" si="14"/>
        <v>739466</v>
      </c>
      <c r="G20" s="840">
        <f t="shared" si="14"/>
        <v>4157727</v>
      </c>
      <c r="H20" s="841">
        <f t="shared" si="14"/>
        <v>4708195</v>
      </c>
      <c r="I20" s="842">
        <f t="shared" si="15"/>
        <v>960684</v>
      </c>
      <c r="J20" s="843">
        <f t="shared" si="2"/>
        <v>10.000167591734876</v>
      </c>
      <c r="K20" s="410">
        <f t="shared" si="15"/>
        <v>219927</v>
      </c>
      <c r="L20" s="843">
        <f t="shared" si="3"/>
        <v>5.2895969360181656</v>
      </c>
      <c r="M20" s="840">
        <f t="shared" si="4"/>
        <v>-1858936.5</v>
      </c>
      <c r="N20" s="3646"/>
    </row>
    <row r="21" spans="1:14" ht="15" customHeight="1" thickBot="1" x14ac:dyDescent="0.25">
      <c r="A21" s="3212"/>
      <c r="B21" s="830" t="s">
        <v>15</v>
      </c>
      <c r="C21" s="3649"/>
      <c r="D21" s="1416">
        <f t="shared" ref="D21:I21" si="16">D30+D39+D46+D53+D60</f>
        <v>9606679</v>
      </c>
      <c r="E21" s="1417">
        <f t="shared" si="16"/>
        <v>1291</v>
      </c>
      <c r="F21" s="1417">
        <f t="shared" si="16"/>
        <v>739466</v>
      </c>
      <c r="G21" s="1417">
        <f t="shared" si="16"/>
        <v>4157727</v>
      </c>
      <c r="H21" s="1418">
        <f t="shared" si="16"/>
        <v>4708195</v>
      </c>
      <c r="I21" s="1419">
        <f t="shared" si="16"/>
        <v>960684</v>
      </c>
      <c r="J21" s="1420">
        <f t="shared" si="2"/>
        <v>10.000167591734876</v>
      </c>
      <c r="K21" s="1417">
        <f>K30+K39+K46+K53+K60</f>
        <v>219927</v>
      </c>
      <c r="L21" s="1420">
        <f t="shared" si="3"/>
        <v>5.2895969360181656</v>
      </c>
      <c r="M21" s="1421">
        <f t="shared" si="4"/>
        <v>-1858936.5</v>
      </c>
      <c r="N21" s="3646"/>
    </row>
    <row r="22" spans="1:14" ht="54" customHeight="1" x14ac:dyDescent="0.2">
      <c r="A22" s="3654" t="s">
        <v>33</v>
      </c>
      <c r="B22" s="1215" t="s">
        <v>221</v>
      </c>
      <c r="C22" s="1216" t="s">
        <v>198</v>
      </c>
      <c r="D22" s="1217"/>
      <c r="E22" s="1218"/>
      <c r="F22" s="1218"/>
      <c r="G22" s="1218"/>
      <c r="H22" s="1434"/>
      <c r="I22" s="1436"/>
      <c r="J22" s="1219"/>
      <c r="K22" s="1224"/>
      <c r="L22" s="1219"/>
      <c r="M22" s="1434">
        <f t="shared" si="4"/>
        <v>0</v>
      </c>
      <c r="N22" s="3347" t="s">
        <v>222</v>
      </c>
    </row>
    <row r="23" spans="1:14" ht="15" customHeight="1" x14ac:dyDescent="0.2">
      <c r="A23" s="3366"/>
      <c r="B23" s="236" t="s">
        <v>3</v>
      </c>
      <c r="C23" s="237"/>
      <c r="D23" s="302">
        <f t="shared" ref="D23" si="17">+D24+D26</f>
        <v>607164</v>
      </c>
      <c r="E23" s="304">
        <f>+E24+E26</f>
        <v>75251</v>
      </c>
      <c r="F23" s="304">
        <f>F24+F26</f>
        <v>89219</v>
      </c>
      <c r="G23" s="304">
        <f t="shared" ref="G23:H23" si="18">+G24+G26</f>
        <v>442694</v>
      </c>
      <c r="H23" s="306">
        <f t="shared" si="18"/>
        <v>0</v>
      </c>
      <c r="I23" s="1238">
        <f t="shared" ref="I23" si="19">+I24+I26</f>
        <v>224745</v>
      </c>
      <c r="J23" s="1181">
        <f t="shared" ref="J23:J30" si="20">I23/D23*100</f>
        <v>37.015534517856793</v>
      </c>
      <c r="K23" s="304">
        <f>K24+K26</f>
        <v>60275</v>
      </c>
      <c r="L23" s="1181">
        <f t="shared" ref="L23:L30" si="21">K23/G23*100</f>
        <v>13.615499645353225</v>
      </c>
      <c r="M23" s="1185">
        <f t="shared" si="4"/>
        <v>-161072</v>
      </c>
      <c r="N23" s="3348"/>
    </row>
    <row r="24" spans="1:14" ht="15" customHeight="1" x14ac:dyDescent="0.2">
      <c r="A24" s="3366"/>
      <c r="B24" s="301" t="s">
        <v>18</v>
      </c>
      <c r="C24" s="3039" t="s">
        <v>223</v>
      </c>
      <c r="D24" s="296">
        <f t="shared" ref="D24:I24" si="22">+D25</f>
        <v>91075</v>
      </c>
      <c r="E24" s="297">
        <f t="shared" si="22"/>
        <v>11289</v>
      </c>
      <c r="F24" s="1698">
        <f>F25</f>
        <v>13383</v>
      </c>
      <c r="G24" s="297">
        <f t="shared" si="22"/>
        <v>66403</v>
      </c>
      <c r="H24" s="1723">
        <f t="shared" si="22"/>
        <v>0</v>
      </c>
      <c r="I24" s="1814">
        <f t="shared" si="22"/>
        <v>33713</v>
      </c>
      <c r="J24" s="1422">
        <f t="shared" si="20"/>
        <v>37.016744441394458</v>
      </c>
      <c r="K24" s="1698">
        <f>K25</f>
        <v>9041</v>
      </c>
      <c r="L24" s="1422">
        <f t="shared" si="21"/>
        <v>13.615348704124813</v>
      </c>
      <c r="M24" s="1423">
        <f t="shared" si="4"/>
        <v>-24160.5</v>
      </c>
      <c r="N24" s="3348"/>
    </row>
    <row r="25" spans="1:14" ht="15" customHeight="1" x14ac:dyDescent="0.2">
      <c r="A25" s="3366"/>
      <c r="B25" s="279" t="s">
        <v>5</v>
      </c>
      <c r="C25" s="3100"/>
      <c r="D25" s="1701">
        <f>+E25+F25+G25+H25</f>
        <v>91075</v>
      </c>
      <c r="E25" s="1702">
        <v>11289</v>
      </c>
      <c r="F25" s="1702">
        <v>13383</v>
      </c>
      <c r="G25" s="1702">
        <v>66403</v>
      </c>
      <c r="H25" s="1732">
        <v>0</v>
      </c>
      <c r="I25" s="1815">
        <f>K25+E25+F25</f>
        <v>33713</v>
      </c>
      <c r="J25" s="1291">
        <f t="shared" si="20"/>
        <v>37.016744441394458</v>
      </c>
      <c r="K25" s="1702">
        <v>9041</v>
      </c>
      <c r="L25" s="1291">
        <f t="shared" si="21"/>
        <v>13.615348704124813</v>
      </c>
      <c r="M25" s="1424">
        <f t="shared" si="4"/>
        <v>-24160.5</v>
      </c>
      <c r="N25" s="3348"/>
    </row>
    <row r="26" spans="1:14" ht="15" customHeight="1" x14ac:dyDescent="0.2">
      <c r="A26" s="3366"/>
      <c r="B26" s="281" t="s">
        <v>13</v>
      </c>
      <c r="C26" s="3100"/>
      <c r="D26" s="282">
        <f t="shared" ref="D26:I26" si="23">+D27</f>
        <v>516089</v>
      </c>
      <c r="E26" s="1706">
        <f t="shared" si="23"/>
        <v>63962</v>
      </c>
      <c r="F26" s="1707">
        <f>F27</f>
        <v>75836</v>
      </c>
      <c r="G26" s="1706">
        <f t="shared" si="23"/>
        <v>376291</v>
      </c>
      <c r="H26" s="309">
        <f t="shared" si="23"/>
        <v>0</v>
      </c>
      <c r="I26" s="1239">
        <f t="shared" si="23"/>
        <v>191032</v>
      </c>
      <c r="J26" s="1256">
        <f t="shared" si="20"/>
        <v>37.015321000835129</v>
      </c>
      <c r="K26" s="1707">
        <f>K27</f>
        <v>51234</v>
      </c>
      <c r="L26" s="1256">
        <f t="shared" si="21"/>
        <v>13.615526281521481</v>
      </c>
      <c r="M26" s="1425">
        <f t="shared" si="4"/>
        <v>-136911.5</v>
      </c>
      <c r="N26" s="3348"/>
    </row>
    <row r="27" spans="1:14" ht="15" customHeight="1" x14ac:dyDescent="0.2">
      <c r="A27" s="3366"/>
      <c r="B27" s="1232" t="s">
        <v>15</v>
      </c>
      <c r="C27" s="3100"/>
      <c r="D27" s="1701">
        <f>+E27+F27+G27+H27</f>
        <v>516089</v>
      </c>
      <c r="E27" s="1702">
        <v>63962</v>
      </c>
      <c r="F27" s="1702">
        <v>75836</v>
      </c>
      <c r="G27" s="1702">
        <v>376291</v>
      </c>
      <c r="H27" s="1732">
        <v>0</v>
      </c>
      <c r="I27" s="1815">
        <f>K27+E27+F27</f>
        <v>191032</v>
      </c>
      <c r="J27" s="1291">
        <f t="shared" si="20"/>
        <v>37.015321000835129</v>
      </c>
      <c r="K27" s="1702">
        <v>51234</v>
      </c>
      <c r="L27" s="1291">
        <f t="shared" si="21"/>
        <v>13.615526281521481</v>
      </c>
      <c r="M27" s="1424">
        <f t="shared" si="4"/>
        <v>-136911.5</v>
      </c>
      <c r="N27" s="3348"/>
    </row>
    <row r="28" spans="1:14" ht="15" customHeight="1" x14ac:dyDescent="0.2">
      <c r="A28" s="3366"/>
      <c r="B28" s="236" t="s">
        <v>17</v>
      </c>
      <c r="C28" s="237"/>
      <c r="D28" s="302">
        <f>+D29</f>
        <v>516089</v>
      </c>
      <c r="E28" s="304">
        <f t="shared" ref="E28:H29" si="24">+E29</f>
        <v>1291</v>
      </c>
      <c r="F28" s="304">
        <f>F29</f>
        <v>77806</v>
      </c>
      <c r="G28" s="304">
        <f t="shared" si="24"/>
        <v>102000</v>
      </c>
      <c r="H28" s="1185">
        <f t="shared" si="24"/>
        <v>334992</v>
      </c>
      <c r="I28" s="1238">
        <f>I29</f>
        <v>79097</v>
      </c>
      <c r="J28" s="1181">
        <f t="shared" si="20"/>
        <v>15.326232490907577</v>
      </c>
      <c r="K28" s="304">
        <f>K29</f>
        <v>0</v>
      </c>
      <c r="L28" s="1181">
        <f t="shared" si="21"/>
        <v>0</v>
      </c>
      <c r="M28" s="1185">
        <f t="shared" si="4"/>
        <v>-51000</v>
      </c>
      <c r="N28" s="3348"/>
    </row>
    <row r="29" spans="1:14" ht="15" customHeight="1" x14ac:dyDescent="0.2">
      <c r="A29" s="3366"/>
      <c r="B29" s="281" t="s">
        <v>13</v>
      </c>
      <c r="C29" s="3122" t="s">
        <v>224</v>
      </c>
      <c r="D29" s="282">
        <f>+D30</f>
        <v>516089</v>
      </c>
      <c r="E29" s="283">
        <f t="shared" si="24"/>
        <v>1291</v>
      </c>
      <c r="F29" s="283">
        <f>F30</f>
        <v>77806</v>
      </c>
      <c r="G29" s="283">
        <f t="shared" si="24"/>
        <v>102000</v>
      </c>
      <c r="H29" s="1426">
        <f t="shared" si="24"/>
        <v>334992</v>
      </c>
      <c r="I29" s="1239">
        <f>I30</f>
        <v>79097</v>
      </c>
      <c r="J29" s="1231">
        <f t="shared" si="20"/>
        <v>15.326232490907577</v>
      </c>
      <c r="K29" s="283">
        <f>K30</f>
        <v>0</v>
      </c>
      <c r="L29" s="1231">
        <f t="shared" si="21"/>
        <v>0</v>
      </c>
      <c r="M29" s="1426">
        <f t="shared" si="4"/>
        <v>-51000</v>
      </c>
      <c r="N29" s="3348"/>
    </row>
    <row r="30" spans="1:14" s="845" customFormat="1" ht="15" customHeight="1" thickBot="1" x14ac:dyDescent="0.25">
      <c r="A30" s="3367"/>
      <c r="B30" s="1427" t="s">
        <v>15</v>
      </c>
      <c r="C30" s="3043"/>
      <c r="D30" s="1711">
        <f>+E30+F30+G30+H30</f>
        <v>516089</v>
      </c>
      <c r="E30" s="1712">
        <v>1291</v>
      </c>
      <c r="F30" s="1816">
        <v>77806</v>
      </c>
      <c r="G30" s="1712">
        <v>102000</v>
      </c>
      <c r="H30" s="1428">
        <v>334992</v>
      </c>
      <c r="I30" s="1817">
        <f>K30+E30+F30</f>
        <v>79097</v>
      </c>
      <c r="J30" s="595">
        <f t="shared" si="20"/>
        <v>15.326232490907577</v>
      </c>
      <c r="K30" s="1816">
        <v>0</v>
      </c>
      <c r="L30" s="595">
        <f t="shared" si="21"/>
        <v>0</v>
      </c>
      <c r="M30" s="1428">
        <f t="shared" si="4"/>
        <v>-51000</v>
      </c>
      <c r="N30" s="3359"/>
    </row>
    <row r="31" spans="1:14" ht="57" customHeight="1" x14ac:dyDescent="0.2">
      <c r="A31" s="3654" t="s">
        <v>36</v>
      </c>
      <c r="B31" s="1215" t="s">
        <v>225</v>
      </c>
      <c r="C31" s="1216" t="s">
        <v>198</v>
      </c>
      <c r="D31" s="1217"/>
      <c r="E31" s="1218"/>
      <c r="F31" s="1218"/>
      <c r="G31" s="1218"/>
      <c r="H31" s="1434"/>
      <c r="I31" s="1436"/>
      <c r="J31" s="1219"/>
      <c r="K31" s="1224"/>
      <c r="L31" s="1219"/>
      <c r="M31" s="1434"/>
      <c r="N31" s="3347" t="s">
        <v>222</v>
      </c>
    </row>
    <row r="32" spans="1:14" ht="15.75" customHeight="1" x14ac:dyDescent="0.2">
      <c r="A32" s="3366"/>
      <c r="B32" s="236" t="s">
        <v>3</v>
      </c>
      <c r="C32" s="237"/>
      <c r="D32" s="302">
        <f t="shared" ref="D32:D38" si="25">E32+F32+G32+H32</f>
        <v>800000</v>
      </c>
      <c r="E32" s="303">
        <v>0</v>
      </c>
      <c r="F32" s="304">
        <f>F33+F35</f>
        <v>103502</v>
      </c>
      <c r="G32" s="1180">
        <f>G33+G35</f>
        <v>482017</v>
      </c>
      <c r="H32" s="1185">
        <f>H33+H35</f>
        <v>214481</v>
      </c>
      <c r="I32" s="1238">
        <f>+I33+I35</f>
        <v>250748</v>
      </c>
      <c r="J32" s="1181">
        <f t="shared" ref="J32:J39" si="26">I32/D32*100</f>
        <v>31.343500000000002</v>
      </c>
      <c r="K32" s="304">
        <f>K33+K35</f>
        <v>147246</v>
      </c>
      <c r="L32" s="1181">
        <f t="shared" ref="L32:L39" si="27">K32/G32*100</f>
        <v>30.547885240562056</v>
      </c>
      <c r="M32" s="1185">
        <f t="shared" si="4"/>
        <v>-93762.5</v>
      </c>
      <c r="N32" s="3348"/>
    </row>
    <row r="33" spans="1:14" ht="15.75" customHeight="1" thickBot="1" x14ac:dyDescent="0.25">
      <c r="A33" s="3366"/>
      <c r="B33" s="301" t="s">
        <v>18</v>
      </c>
      <c r="C33" s="3039" t="s">
        <v>223</v>
      </c>
      <c r="D33" s="296">
        <f t="shared" si="25"/>
        <v>120000</v>
      </c>
      <c r="E33" s="299">
        <v>0</v>
      </c>
      <c r="F33" s="297">
        <f>F34</f>
        <v>15523</v>
      </c>
      <c r="G33" s="1782">
        <f>G34</f>
        <v>72303</v>
      </c>
      <c r="H33" s="1423">
        <f>H34</f>
        <v>32174</v>
      </c>
      <c r="I33" s="1814">
        <f>+I34</f>
        <v>37610</v>
      </c>
      <c r="J33" s="1422">
        <f t="shared" si="26"/>
        <v>31.341666666666669</v>
      </c>
      <c r="K33" s="1698">
        <f>K34</f>
        <v>22087</v>
      </c>
      <c r="L33" s="1422">
        <f t="shared" si="27"/>
        <v>30.547833423232785</v>
      </c>
      <c r="M33" s="1423">
        <f t="shared" si="4"/>
        <v>-14064.5</v>
      </c>
      <c r="N33" s="3348"/>
    </row>
    <row r="34" spans="1:14" ht="15.75" customHeight="1" x14ac:dyDescent="0.2">
      <c r="A34" s="3390"/>
      <c r="B34" s="279" t="s">
        <v>5</v>
      </c>
      <c r="C34" s="3100"/>
      <c r="D34" s="1701">
        <f t="shared" si="25"/>
        <v>120000</v>
      </c>
      <c r="E34" s="280">
        <v>0</v>
      </c>
      <c r="F34" s="1702">
        <v>15523</v>
      </c>
      <c r="G34" s="1767">
        <v>72303</v>
      </c>
      <c r="H34" s="1424">
        <v>32174</v>
      </c>
      <c r="I34" s="1815">
        <f>K34+E34+F34</f>
        <v>37610</v>
      </c>
      <c r="J34" s="1291">
        <f t="shared" si="26"/>
        <v>31.341666666666669</v>
      </c>
      <c r="K34" s="1702">
        <v>22087</v>
      </c>
      <c r="L34" s="1291">
        <f t="shared" si="27"/>
        <v>30.547833423232785</v>
      </c>
      <c r="M34" s="1424">
        <f t="shared" si="4"/>
        <v>-14064.5</v>
      </c>
      <c r="N34" s="3347"/>
    </row>
    <row r="35" spans="1:14" ht="15.75" customHeight="1" x14ac:dyDescent="0.2">
      <c r="A35" s="3366"/>
      <c r="B35" s="281" t="s">
        <v>13</v>
      </c>
      <c r="C35" s="3100"/>
      <c r="D35" s="282">
        <f t="shared" si="25"/>
        <v>680000</v>
      </c>
      <c r="E35" s="284">
        <v>0</v>
      </c>
      <c r="F35" s="1706">
        <f>F36</f>
        <v>87979</v>
      </c>
      <c r="G35" s="1818">
        <f>G36</f>
        <v>409714</v>
      </c>
      <c r="H35" s="1425">
        <f>H36</f>
        <v>182307</v>
      </c>
      <c r="I35" s="1239">
        <f>+I36</f>
        <v>213138</v>
      </c>
      <c r="J35" s="1256">
        <f t="shared" si="26"/>
        <v>31.343823529411765</v>
      </c>
      <c r="K35" s="1707">
        <f>K36</f>
        <v>125159</v>
      </c>
      <c r="L35" s="1256">
        <f t="shared" si="27"/>
        <v>30.547894384863589</v>
      </c>
      <c r="M35" s="1425">
        <f t="shared" si="4"/>
        <v>-79698</v>
      </c>
      <c r="N35" s="3348"/>
    </row>
    <row r="36" spans="1:14" ht="15.75" customHeight="1" thickBot="1" x14ac:dyDescent="0.25">
      <c r="A36" s="3366"/>
      <c r="B36" s="1232" t="s">
        <v>15</v>
      </c>
      <c r="C36" s="3100"/>
      <c r="D36" s="1701">
        <f t="shared" si="25"/>
        <v>680000</v>
      </c>
      <c r="E36" s="280">
        <v>0</v>
      </c>
      <c r="F36" s="1702">
        <v>87979</v>
      </c>
      <c r="G36" s="1767">
        <v>409714</v>
      </c>
      <c r="H36" s="1424">
        <v>182307</v>
      </c>
      <c r="I36" s="1815">
        <f>K36+E36+F36</f>
        <v>213138</v>
      </c>
      <c r="J36" s="1291">
        <f t="shared" si="26"/>
        <v>31.343823529411765</v>
      </c>
      <c r="K36" s="1702">
        <v>125159</v>
      </c>
      <c r="L36" s="1291">
        <f t="shared" si="27"/>
        <v>30.547894384863589</v>
      </c>
      <c r="M36" s="1424">
        <f t="shared" si="4"/>
        <v>-79698</v>
      </c>
      <c r="N36" s="3348"/>
    </row>
    <row r="37" spans="1:14" ht="15.75" customHeight="1" x14ac:dyDescent="0.2">
      <c r="A37" s="3390"/>
      <c r="B37" s="236" t="s">
        <v>17</v>
      </c>
      <c r="C37" s="237"/>
      <c r="D37" s="302">
        <f t="shared" si="25"/>
        <v>680000</v>
      </c>
      <c r="E37" s="303">
        <v>0</v>
      </c>
      <c r="F37" s="304">
        <f t="shared" ref="F37:H38" si="28">F38</f>
        <v>0</v>
      </c>
      <c r="G37" s="1180">
        <f t="shared" si="28"/>
        <v>100000</v>
      </c>
      <c r="H37" s="1185">
        <f t="shared" si="28"/>
        <v>580000</v>
      </c>
      <c r="I37" s="1238">
        <f t="shared" ref="I37:I38" si="29">I38</f>
        <v>17815</v>
      </c>
      <c r="J37" s="1181">
        <f t="shared" si="26"/>
        <v>2.6198529411764708</v>
      </c>
      <c r="K37" s="304">
        <f>K38</f>
        <v>17815</v>
      </c>
      <c r="L37" s="1181">
        <f t="shared" si="27"/>
        <v>17.815000000000001</v>
      </c>
      <c r="M37" s="1185">
        <f t="shared" si="4"/>
        <v>-32185</v>
      </c>
      <c r="N37" s="3347"/>
    </row>
    <row r="38" spans="1:14" ht="15.75" customHeight="1" x14ac:dyDescent="0.2">
      <c r="A38" s="3366"/>
      <c r="B38" s="281" t="s">
        <v>13</v>
      </c>
      <c r="C38" s="3122" t="s">
        <v>224</v>
      </c>
      <c r="D38" s="282">
        <f t="shared" si="25"/>
        <v>680000</v>
      </c>
      <c r="E38" s="284">
        <v>0</v>
      </c>
      <c r="F38" s="283">
        <f t="shared" si="28"/>
        <v>0</v>
      </c>
      <c r="G38" s="1819">
        <f t="shared" si="28"/>
        <v>100000</v>
      </c>
      <c r="H38" s="1426">
        <f t="shared" si="28"/>
        <v>580000</v>
      </c>
      <c r="I38" s="1239">
        <f t="shared" si="29"/>
        <v>17815</v>
      </c>
      <c r="J38" s="1231">
        <f t="shared" si="26"/>
        <v>2.6198529411764708</v>
      </c>
      <c r="K38" s="283">
        <f>K39</f>
        <v>17815</v>
      </c>
      <c r="L38" s="1231">
        <f t="shared" si="27"/>
        <v>17.815000000000001</v>
      </c>
      <c r="M38" s="1426">
        <f t="shared" si="4"/>
        <v>-32185</v>
      </c>
      <c r="N38" s="3348"/>
    </row>
    <row r="39" spans="1:14" ht="15.75" customHeight="1" thickBot="1" x14ac:dyDescent="0.25">
      <c r="A39" s="3366"/>
      <c r="B39" s="1430" t="s">
        <v>15</v>
      </c>
      <c r="C39" s="3136"/>
      <c r="D39" s="1820">
        <f>E39+F39+G39+H39</f>
        <v>680000</v>
      </c>
      <c r="E39" s="1808">
        <v>0</v>
      </c>
      <c r="F39" s="1786">
        <v>0</v>
      </c>
      <c r="G39" s="1788">
        <v>100000</v>
      </c>
      <c r="H39" s="1791">
        <f>280000+300000</f>
        <v>580000</v>
      </c>
      <c r="I39" s="1821">
        <f>K39+E39+F39</f>
        <v>17815</v>
      </c>
      <c r="J39" s="1429">
        <f t="shared" si="26"/>
        <v>2.6198529411764708</v>
      </c>
      <c r="K39" s="1822">
        <v>17815</v>
      </c>
      <c r="L39" s="1429">
        <f t="shared" si="27"/>
        <v>17.815000000000001</v>
      </c>
      <c r="M39" s="1428">
        <f t="shared" si="4"/>
        <v>-32185</v>
      </c>
      <c r="N39" s="3359"/>
    </row>
    <row r="40" spans="1:14" ht="41.25" customHeight="1" x14ac:dyDescent="0.2">
      <c r="A40" s="3673" t="s">
        <v>41</v>
      </c>
      <c r="B40" s="1215" t="s">
        <v>226</v>
      </c>
      <c r="C40" s="1504" t="s">
        <v>198</v>
      </c>
      <c r="D40" s="1217"/>
      <c r="E40" s="1218"/>
      <c r="F40" s="1218"/>
      <c r="G40" s="1218"/>
      <c r="H40" s="1434"/>
      <c r="I40" s="1217"/>
      <c r="J40" s="1219"/>
      <c r="K40" s="1224"/>
      <c r="L40" s="1219"/>
      <c r="M40" s="1434">
        <f t="shared" si="4"/>
        <v>0</v>
      </c>
      <c r="N40" s="3347" t="s">
        <v>222</v>
      </c>
    </row>
    <row r="41" spans="1:14" ht="15.75" customHeight="1" x14ac:dyDescent="0.2">
      <c r="A41" s="3674"/>
      <c r="B41" s="236" t="s">
        <v>3</v>
      </c>
      <c r="C41" s="1505"/>
      <c r="D41" s="528">
        <f>+D42</f>
        <v>2470190</v>
      </c>
      <c r="E41" s="597">
        <f t="shared" ref="E41:H42" si="30">E42</f>
        <v>0</v>
      </c>
      <c r="F41" s="1">
        <f t="shared" si="30"/>
        <v>11071</v>
      </c>
      <c r="G41" s="1">
        <f t="shared" si="30"/>
        <v>1880775</v>
      </c>
      <c r="H41" s="1431">
        <f t="shared" si="30"/>
        <v>578344</v>
      </c>
      <c r="I41" s="528">
        <f>+I42</f>
        <v>524467</v>
      </c>
      <c r="J41" s="1220">
        <f t="shared" ref="J41:J46" si="31">I41/D41*100</f>
        <v>21.231848562256346</v>
      </c>
      <c r="K41" s="1">
        <f>K42</f>
        <v>513396</v>
      </c>
      <c r="L41" s="1220">
        <f t="shared" ref="L41:L43" si="32">K41/G41*100</f>
        <v>27.297045101088646</v>
      </c>
      <c r="M41" s="1431">
        <f t="shared" si="4"/>
        <v>-426991.5</v>
      </c>
      <c r="N41" s="3348"/>
    </row>
    <row r="42" spans="1:14" ht="15.75" customHeight="1" x14ac:dyDescent="0.2">
      <c r="A42" s="3674"/>
      <c r="B42" s="1517" t="s">
        <v>13</v>
      </c>
      <c r="C42" s="3039" t="s">
        <v>223</v>
      </c>
      <c r="D42" s="1221">
        <f>+D43</f>
        <v>2470190</v>
      </c>
      <c r="E42" s="846">
        <f t="shared" si="30"/>
        <v>0</v>
      </c>
      <c r="F42" s="847">
        <f t="shared" si="30"/>
        <v>11071</v>
      </c>
      <c r="G42" s="847">
        <f t="shared" si="30"/>
        <v>1880775</v>
      </c>
      <c r="H42" s="1432">
        <f t="shared" si="30"/>
        <v>578344</v>
      </c>
      <c r="I42" s="1221">
        <f>+I43</f>
        <v>524467</v>
      </c>
      <c r="J42" s="1222">
        <f t="shared" si="31"/>
        <v>21.231848562256346</v>
      </c>
      <c r="K42" s="847">
        <f>K43</f>
        <v>513396</v>
      </c>
      <c r="L42" s="1222">
        <f t="shared" si="32"/>
        <v>27.297045101088646</v>
      </c>
      <c r="M42" s="1432">
        <f t="shared" si="4"/>
        <v>-426991.5</v>
      </c>
      <c r="N42" s="3348"/>
    </row>
    <row r="43" spans="1:14" ht="15.75" customHeight="1" x14ac:dyDescent="0.2">
      <c r="A43" s="3674"/>
      <c r="B43" s="2653" t="s">
        <v>15</v>
      </c>
      <c r="C43" s="3282"/>
      <c r="D43" s="1823">
        <f>+E43+F43+G43+H43</f>
        <v>2470190</v>
      </c>
      <c r="E43" s="1755">
        <v>0</v>
      </c>
      <c r="F43" s="1824">
        <v>11071</v>
      </c>
      <c r="G43" s="1824">
        <v>1880775</v>
      </c>
      <c r="H43" s="1433">
        <v>578344</v>
      </c>
      <c r="I43" s="1703">
        <f>K43+E43+F43</f>
        <v>524467</v>
      </c>
      <c r="J43" s="1236">
        <f t="shared" si="31"/>
        <v>21.231848562256346</v>
      </c>
      <c r="K43" s="1824">
        <v>513396</v>
      </c>
      <c r="L43" s="1236">
        <f t="shared" si="32"/>
        <v>27.297045101088646</v>
      </c>
      <c r="M43" s="1433">
        <f t="shared" ref="M43:M60" si="33">+K43-G43*0.5</f>
        <v>-426991.5</v>
      </c>
      <c r="N43" s="3348"/>
    </row>
    <row r="44" spans="1:14" ht="15.75" customHeight="1" x14ac:dyDescent="0.2">
      <c r="A44" s="3674"/>
      <c r="B44" s="236" t="s">
        <v>17</v>
      </c>
      <c r="C44" s="1505"/>
      <c r="D44" s="302">
        <f>E44+F44+G44+H44</f>
        <v>2470190</v>
      </c>
      <c r="E44" s="303">
        <f t="shared" ref="E44:H45" si="34">E45</f>
        <v>0</v>
      </c>
      <c r="F44" s="304">
        <f t="shared" si="34"/>
        <v>0</v>
      </c>
      <c r="G44" s="304">
        <f t="shared" si="34"/>
        <v>1645527</v>
      </c>
      <c r="H44" s="1185">
        <f t="shared" si="34"/>
        <v>824663</v>
      </c>
      <c r="I44" s="302">
        <f t="shared" ref="I44:I45" si="35">I45</f>
        <v>0</v>
      </c>
      <c r="J44" s="1181">
        <f t="shared" si="31"/>
        <v>0</v>
      </c>
      <c r="K44" s="304">
        <f>K45</f>
        <v>0</v>
      </c>
      <c r="L44" s="1220"/>
      <c r="M44" s="1185">
        <f t="shared" si="33"/>
        <v>-822763.5</v>
      </c>
      <c r="N44" s="3348"/>
    </row>
    <row r="45" spans="1:14" ht="15.75" customHeight="1" x14ac:dyDescent="0.2">
      <c r="A45" s="3674"/>
      <c r="B45" s="281" t="s">
        <v>13</v>
      </c>
      <c r="C45" s="3578" t="s">
        <v>227</v>
      </c>
      <c r="D45" s="282">
        <f>E45+F45+G45+H45</f>
        <v>2470190</v>
      </c>
      <c r="E45" s="284">
        <f t="shared" si="34"/>
        <v>0</v>
      </c>
      <c r="F45" s="283">
        <f t="shared" si="34"/>
        <v>0</v>
      </c>
      <c r="G45" s="283">
        <f t="shared" si="34"/>
        <v>1645527</v>
      </c>
      <c r="H45" s="1426">
        <f t="shared" si="34"/>
        <v>824663</v>
      </c>
      <c r="I45" s="282">
        <f t="shared" si="35"/>
        <v>0</v>
      </c>
      <c r="J45" s="1231">
        <f t="shared" si="31"/>
        <v>0</v>
      </c>
      <c r="K45" s="283">
        <f>K46</f>
        <v>0</v>
      </c>
      <c r="L45" s="1487"/>
      <c r="M45" s="1426">
        <f t="shared" si="33"/>
        <v>-822763.5</v>
      </c>
      <c r="N45" s="3348"/>
    </row>
    <row r="46" spans="1:14" ht="15.75" customHeight="1" thickBot="1" x14ac:dyDescent="0.25">
      <c r="A46" s="3675"/>
      <c r="B46" s="594" t="s">
        <v>15</v>
      </c>
      <c r="C46" s="3676"/>
      <c r="D46" s="1711">
        <f>E46+F46+G46+H46</f>
        <v>2470190</v>
      </c>
      <c r="E46" s="288">
        <v>0</v>
      </c>
      <c r="F46" s="1712">
        <v>0</v>
      </c>
      <c r="G46" s="1712">
        <v>1645527</v>
      </c>
      <c r="H46" s="1428">
        <f>744560+80103</f>
        <v>824663</v>
      </c>
      <c r="I46" s="641">
        <f>K46+E46+F46</f>
        <v>0</v>
      </c>
      <c r="J46" s="595">
        <f t="shared" si="31"/>
        <v>0</v>
      </c>
      <c r="K46" s="1816">
        <v>0</v>
      </c>
      <c r="L46" s="1825"/>
      <c r="M46" s="1428">
        <f t="shared" si="33"/>
        <v>-822763.5</v>
      </c>
      <c r="N46" s="3359"/>
    </row>
    <row r="47" spans="1:14" ht="52.5" customHeight="1" thickBot="1" x14ac:dyDescent="0.25">
      <c r="A47" s="3651" t="s">
        <v>42</v>
      </c>
      <c r="B47" s="1215" t="s">
        <v>228</v>
      </c>
      <c r="C47" s="1216" t="s">
        <v>198</v>
      </c>
      <c r="D47" s="1217"/>
      <c r="E47" s="1218"/>
      <c r="F47" s="1218"/>
      <c r="G47" s="1218"/>
      <c r="H47" s="1434"/>
      <c r="I47" s="1217"/>
      <c r="J47" s="1219"/>
      <c r="K47" s="1224"/>
      <c r="L47" s="1224"/>
      <c r="M47" s="1434"/>
      <c r="N47" s="3347" t="s">
        <v>222</v>
      </c>
    </row>
    <row r="48" spans="1:14" ht="15" customHeight="1" x14ac:dyDescent="0.2">
      <c r="A48" s="3652"/>
      <c r="B48" s="236" t="s">
        <v>3</v>
      </c>
      <c r="C48" s="237"/>
      <c r="D48" s="528">
        <f>+D49</f>
        <v>5906630</v>
      </c>
      <c r="E48" s="597">
        <f t="shared" ref="E48:H49" si="36">E49</f>
        <v>0</v>
      </c>
      <c r="F48" s="1">
        <f t="shared" si="36"/>
        <v>529595</v>
      </c>
      <c r="G48" s="1">
        <f t="shared" si="36"/>
        <v>2423579</v>
      </c>
      <c r="H48" s="1826">
        <f t="shared" si="36"/>
        <v>2953456</v>
      </c>
      <c r="I48" s="528">
        <f>+I49</f>
        <v>816936</v>
      </c>
      <c r="J48" s="1220">
        <f t="shared" ref="J48:J53" si="37">I48/D48*100</f>
        <v>13.830830778294899</v>
      </c>
      <c r="K48" s="1">
        <f>K49</f>
        <v>287341</v>
      </c>
      <c r="L48" s="1220">
        <f t="shared" ref="L48:L53" si="38">K48/G48*100</f>
        <v>11.856060809241209</v>
      </c>
      <c r="M48" s="1431">
        <f t="shared" ref="M48:M53" si="39">+K48-G48*0.5</f>
        <v>-924448.5</v>
      </c>
      <c r="N48" s="3347"/>
    </row>
    <row r="49" spans="1:14" ht="15" customHeight="1" thickBot="1" x14ac:dyDescent="0.25">
      <c r="A49" s="3653"/>
      <c r="B49" s="281" t="s">
        <v>13</v>
      </c>
      <c r="C49" s="3047" t="s">
        <v>223</v>
      </c>
      <c r="D49" s="1221">
        <f>+D50</f>
        <v>5906630</v>
      </c>
      <c r="E49" s="846">
        <f t="shared" si="36"/>
        <v>0</v>
      </c>
      <c r="F49" s="847">
        <f t="shared" si="36"/>
        <v>529595</v>
      </c>
      <c r="G49" s="847">
        <f t="shared" si="36"/>
        <v>2423579</v>
      </c>
      <c r="H49" s="1827">
        <f t="shared" si="36"/>
        <v>2953456</v>
      </c>
      <c r="I49" s="1221">
        <f>+I50</f>
        <v>816936</v>
      </c>
      <c r="J49" s="1222">
        <f t="shared" si="37"/>
        <v>13.830830778294899</v>
      </c>
      <c r="K49" s="847">
        <f>K50</f>
        <v>287341</v>
      </c>
      <c r="L49" s="1222">
        <f t="shared" si="38"/>
        <v>11.856060809241209</v>
      </c>
      <c r="M49" s="1432">
        <f t="shared" si="39"/>
        <v>-924448.5</v>
      </c>
      <c r="N49" s="3359"/>
    </row>
    <row r="50" spans="1:14" ht="15" customHeight="1" x14ac:dyDescent="0.2">
      <c r="A50" s="3654"/>
      <c r="B50" s="1235" t="s">
        <v>15</v>
      </c>
      <c r="C50" s="3049"/>
      <c r="D50" s="1823">
        <f>+E50+F50+G50+H50</f>
        <v>5906630</v>
      </c>
      <c r="E50" s="1755">
        <v>0</v>
      </c>
      <c r="F50" s="1824">
        <v>529595</v>
      </c>
      <c r="G50" s="1824">
        <v>2423579</v>
      </c>
      <c r="H50" s="1704">
        <v>2953456</v>
      </c>
      <c r="I50" s="1703">
        <f>K50+E50+F50</f>
        <v>816936</v>
      </c>
      <c r="J50" s="1236">
        <f t="shared" si="37"/>
        <v>13.830830778294899</v>
      </c>
      <c r="K50" s="1824">
        <v>287341</v>
      </c>
      <c r="L50" s="1236">
        <f t="shared" si="38"/>
        <v>11.856060809241209</v>
      </c>
      <c r="M50" s="1433">
        <f t="shared" si="39"/>
        <v>-924448.5</v>
      </c>
      <c r="N50" s="3347"/>
    </row>
    <row r="51" spans="1:14" ht="15" customHeight="1" x14ac:dyDescent="0.2">
      <c r="A51" s="3652"/>
      <c r="B51" s="236" t="s">
        <v>17</v>
      </c>
      <c r="C51" s="237"/>
      <c r="D51" s="1179">
        <f>E51+F51+G51+H51</f>
        <v>5906630</v>
      </c>
      <c r="E51" s="303">
        <f t="shared" ref="E51:I52" si="40">E52</f>
        <v>0</v>
      </c>
      <c r="F51" s="304">
        <f t="shared" si="40"/>
        <v>661660</v>
      </c>
      <c r="G51" s="304">
        <f t="shared" si="40"/>
        <v>2276430</v>
      </c>
      <c r="H51" s="1695">
        <f t="shared" si="40"/>
        <v>2968540</v>
      </c>
      <c r="I51" s="302">
        <f t="shared" si="40"/>
        <v>863772</v>
      </c>
      <c r="J51" s="1181">
        <f t="shared" si="37"/>
        <v>14.623770237851364</v>
      </c>
      <c r="K51" s="304">
        <f>K52</f>
        <v>202112</v>
      </c>
      <c r="L51" s="1181">
        <f t="shared" si="38"/>
        <v>8.8784632077419463</v>
      </c>
      <c r="M51" s="1185">
        <f t="shared" si="39"/>
        <v>-936103</v>
      </c>
      <c r="N51" s="3348"/>
    </row>
    <row r="52" spans="1:14" ht="15" customHeight="1" x14ac:dyDescent="0.2">
      <c r="A52" s="3652"/>
      <c r="B52" s="281" t="s">
        <v>13</v>
      </c>
      <c r="C52" s="3655" t="s">
        <v>227</v>
      </c>
      <c r="D52" s="1828">
        <f>E52+F52+G52+H52</f>
        <v>5906630</v>
      </c>
      <c r="E52" s="284">
        <f t="shared" si="40"/>
        <v>0</v>
      </c>
      <c r="F52" s="283">
        <f t="shared" si="40"/>
        <v>661660</v>
      </c>
      <c r="G52" s="283">
        <f t="shared" si="40"/>
        <v>2276430</v>
      </c>
      <c r="H52" s="1708">
        <f t="shared" si="40"/>
        <v>2968540</v>
      </c>
      <c r="I52" s="282">
        <f t="shared" si="40"/>
        <v>863772</v>
      </c>
      <c r="J52" s="1231">
        <f t="shared" si="37"/>
        <v>14.623770237851364</v>
      </c>
      <c r="K52" s="283">
        <f>K53</f>
        <v>202112</v>
      </c>
      <c r="L52" s="1231">
        <f t="shared" si="38"/>
        <v>8.8784632077419463</v>
      </c>
      <c r="M52" s="1426">
        <f t="shared" si="39"/>
        <v>-936103</v>
      </c>
      <c r="N52" s="3348"/>
    </row>
    <row r="53" spans="1:14" ht="15" customHeight="1" thickBot="1" x14ac:dyDescent="0.25">
      <c r="A53" s="3653"/>
      <c r="B53" s="594" t="s">
        <v>15</v>
      </c>
      <c r="C53" s="3656"/>
      <c r="D53" s="1711">
        <f>E53+F53+G53+H53</f>
        <v>5906630</v>
      </c>
      <c r="E53" s="288">
        <v>0</v>
      </c>
      <c r="F53" s="1712">
        <v>661660</v>
      </c>
      <c r="G53" s="1712">
        <v>2276430</v>
      </c>
      <c r="H53" s="1713">
        <f>2000000+968540</f>
        <v>2968540</v>
      </c>
      <c r="I53" s="641">
        <f>K53+E53+F53</f>
        <v>863772</v>
      </c>
      <c r="J53" s="595">
        <f t="shared" si="37"/>
        <v>14.623770237851364</v>
      </c>
      <c r="K53" s="1816">
        <v>202112</v>
      </c>
      <c r="L53" s="595">
        <f t="shared" si="38"/>
        <v>8.8784632077419463</v>
      </c>
      <c r="M53" s="1428">
        <f t="shared" si="39"/>
        <v>-936103</v>
      </c>
      <c r="N53" s="3359"/>
    </row>
    <row r="54" spans="1:14" ht="57.75" customHeight="1" x14ac:dyDescent="0.2">
      <c r="A54" s="3654" t="s">
        <v>44</v>
      </c>
      <c r="B54" s="1215" t="s">
        <v>229</v>
      </c>
      <c r="C54" s="1216" t="s">
        <v>193</v>
      </c>
      <c r="D54" s="1217"/>
      <c r="E54" s="1218"/>
      <c r="F54" s="1218"/>
      <c r="G54" s="1218"/>
      <c r="H54" s="1434"/>
      <c r="I54" s="1217"/>
      <c r="J54" s="1219"/>
      <c r="K54" s="1224"/>
      <c r="L54" s="1435"/>
      <c r="M54" s="1434"/>
      <c r="N54" s="3347" t="s">
        <v>222</v>
      </c>
    </row>
    <row r="55" spans="1:14" ht="14.25" customHeight="1" x14ac:dyDescent="0.2">
      <c r="A55" s="3652"/>
      <c r="B55" s="236" t="s">
        <v>3</v>
      </c>
      <c r="C55" s="237"/>
      <c r="D55" s="528">
        <f>+D56</f>
        <v>33770</v>
      </c>
      <c r="E55" s="597">
        <f t="shared" ref="E55:H56" si="41">E56</f>
        <v>0</v>
      </c>
      <c r="F55" s="1">
        <f t="shared" si="41"/>
        <v>0</v>
      </c>
      <c r="G55" s="1">
        <f t="shared" si="41"/>
        <v>33770</v>
      </c>
      <c r="H55" s="1826">
        <f t="shared" si="41"/>
        <v>0</v>
      </c>
      <c r="I55" s="528">
        <f>+I56</f>
        <v>33770</v>
      </c>
      <c r="J55" s="1220">
        <f t="shared" ref="J55:J60" si="42">I55/D55*100</f>
        <v>100</v>
      </c>
      <c r="K55" s="1">
        <f>K56</f>
        <v>33770</v>
      </c>
      <c r="L55" s="1233">
        <f t="shared" ref="L55:L60" si="43">K55/G55*100</f>
        <v>100</v>
      </c>
      <c r="M55" s="1431">
        <f t="shared" si="33"/>
        <v>16885</v>
      </c>
      <c r="N55" s="3348"/>
    </row>
    <row r="56" spans="1:14" ht="14.25" customHeight="1" x14ac:dyDescent="0.2">
      <c r="A56" s="3652"/>
      <c r="B56" s="281" t="s">
        <v>13</v>
      </c>
      <c r="C56" s="3039" t="s">
        <v>223</v>
      </c>
      <c r="D56" s="1221">
        <f>+D57</f>
        <v>33770</v>
      </c>
      <c r="E56" s="846">
        <f t="shared" si="41"/>
        <v>0</v>
      </c>
      <c r="F56" s="847">
        <f t="shared" si="41"/>
        <v>0</v>
      </c>
      <c r="G56" s="847">
        <f t="shared" si="41"/>
        <v>33770</v>
      </c>
      <c r="H56" s="1827">
        <f t="shared" si="41"/>
        <v>0</v>
      </c>
      <c r="I56" s="1221">
        <f>+I57</f>
        <v>33770</v>
      </c>
      <c r="J56" s="1222">
        <f t="shared" si="42"/>
        <v>100</v>
      </c>
      <c r="K56" s="847">
        <f>K57</f>
        <v>33770</v>
      </c>
      <c r="L56" s="1234">
        <f t="shared" si="43"/>
        <v>100</v>
      </c>
      <c r="M56" s="1432">
        <f t="shared" si="33"/>
        <v>16885</v>
      </c>
      <c r="N56" s="3348"/>
    </row>
    <row r="57" spans="1:14" ht="14.25" customHeight="1" x14ac:dyDescent="0.2">
      <c r="A57" s="3652"/>
      <c r="B57" s="1235" t="s">
        <v>15</v>
      </c>
      <c r="C57" s="3282"/>
      <c r="D57" s="1823">
        <f>+E57+F57+G57+H57</f>
        <v>33770</v>
      </c>
      <c r="E57" s="1755">
        <v>0</v>
      </c>
      <c r="F57" s="1824"/>
      <c r="G57" s="1824">
        <v>33770</v>
      </c>
      <c r="H57" s="1704">
        <v>0</v>
      </c>
      <c r="I57" s="1703">
        <f>K57+E57+F57</f>
        <v>33770</v>
      </c>
      <c r="J57" s="1236">
        <f t="shared" si="42"/>
        <v>100</v>
      </c>
      <c r="K57" s="1824">
        <v>33770</v>
      </c>
      <c r="L57" s="1237">
        <f t="shared" si="43"/>
        <v>100</v>
      </c>
      <c r="M57" s="1433">
        <f t="shared" si="33"/>
        <v>16885</v>
      </c>
      <c r="N57" s="3348"/>
    </row>
    <row r="58" spans="1:14" ht="15" customHeight="1" x14ac:dyDescent="0.2">
      <c r="A58" s="3652"/>
      <c r="B58" s="236" t="s">
        <v>17</v>
      </c>
      <c r="C58" s="237"/>
      <c r="D58" s="1179">
        <f>E58+F58+G58+H58</f>
        <v>33770</v>
      </c>
      <c r="E58" s="1829">
        <f t="shared" ref="E58:H59" si="44">E59</f>
        <v>0</v>
      </c>
      <c r="F58" s="1803">
        <f t="shared" si="44"/>
        <v>0</v>
      </c>
      <c r="G58" s="1">
        <f t="shared" si="44"/>
        <v>33770</v>
      </c>
      <c r="H58" s="1830">
        <f t="shared" si="44"/>
        <v>0</v>
      </c>
      <c r="I58" s="1238">
        <f t="shared" ref="I58:I59" si="45">I59</f>
        <v>0</v>
      </c>
      <c r="J58" s="1220">
        <f t="shared" si="42"/>
        <v>0</v>
      </c>
      <c r="K58" s="1803">
        <f>K59</f>
        <v>0</v>
      </c>
      <c r="L58" s="1233">
        <f t="shared" si="43"/>
        <v>0</v>
      </c>
      <c r="M58" s="1185">
        <f t="shared" si="33"/>
        <v>-16885</v>
      </c>
      <c r="N58" s="3348"/>
    </row>
    <row r="59" spans="1:14" ht="12" customHeight="1" thickBot="1" x14ac:dyDescent="0.25">
      <c r="A59" s="3652"/>
      <c r="B59" s="281" t="s">
        <v>13</v>
      </c>
      <c r="C59" s="3655" t="s">
        <v>227</v>
      </c>
      <c r="D59" s="2703">
        <f>E59+F59+G59+H59</f>
        <v>33770</v>
      </c>
      <c r="E59" s="2704">
        <f t="shared" si="44"/>
        <v>0</v>
      </c>
      <c r="F59" s="2705">
        <f t="shared" si="44"/>
        <v>0</v>
      </c>
      <c r="G59" s="2706">
        <f t="shared" si="44"/>
        <v>33770</v>
      </c>
      <c r="H59" s="1832">
        <f t="shared" si="44"/>
        <v>0</v>
      </c>
      <c r="I59" s="1239">
        <f t="shared" si="45"/>
        <v>0</v>
      </c>
      <c r="J59" s="1222">
        <f t="shared" si="42"/>
        <v>0</v>
      </c>
      <c r="K59" s="1831">
        <f>K60</f>
        <v>0</v>
      </c>
      <c r="L59" s="1234">
        <f t="shared" si="43"/>
        <v>0</v>
      </c>
      <c r="M59" s="1426">
        <f t="shared" si="33"/>
        <v>-16885</v>
      </c>
      <c r="N59" s="3359"/>
    </row>
    <row r="60" spans="1:14" ht="13.5" thickBot="1" x14ac:dyDescent="0.25">
      <c r="A60" s="3653"/>
      <c r="B60" s="881" t="s">
        <v>15</v>
      </c>
      <c r="C60" s="3668"/>
      <c r="D60" s="2722">
        <f>E60+F60+G60+H60</f>
        <v>33770</v>
      </c>
      <c r="E60" s="2723">
        <v>0</v>
      </c>
      <c r="F60" s="2724"/>
      <c r="G60" s="2725">
        <v>33770</v>
      </c>
      <c r="H60" s="1834"/>
      <c r="I60" s="1817">
        <f>K60+E60+F60</f>
        <v>0</v>
      </c>
      <c r="J60" s="882">
        <f t="shared" si="42"/>
        <v>0</v>
      </c>
      <c r="K60" s="2689">
        <v>0</v>
      </c>
      <c r="L60" s="2662">
        <f t="shared" si="43"/>
        <v>0</v>
      </c>
      <c r="M60" s="1428">
        <f t="shared" si="33"/>
        <v>-16885</v>
      </c>
      <c r="N60" s="3349"/>
    </row>
    <row r="61" spans="1:14" ht="31.5" customHeight="1" thickBot="1" x14ac:dyDescent="0.25">
      <c r="A61" s="3375" t="s">
        <v>230</v>
      </c>
      <c r="B61" s="3669"/>
      <c r="C61" s="3670"/>
      <c r="D61" s="3669"/>
      <c r="E61" s="3669"/>
      <c r="F61" s="3669"/>
      <c r="G61" s="3671"/>
      <c r="H61" s="3669"/>
      <c r="I61" s="3672"/>
      <c r="J61" s="3672"/>
      <c r="K61" s="3377"/>
      <c r="L61" s="3377"/>
      <c r="M61" s="3672"/>
      <c r="N61" s="3377"/>
    </row>
    <row r="62" spans="1:14" ht="18" x14ac:dyDescent="0.2">
      <c r="A62" s="848"/>
      <c r="B62" s="1437" t="s">
        <v>189</v>
      </c>
      <c r="C62" s="2726"/>
      <c r="D62" s="1046">
        <f t="shared" ref="D62:H62" si="46">D63+D64</f>
        <v>57255000</v>
      </c>
      <c r="E62" s="1246">
        <f t="shared" si="46"/>
        <v>56256000</v>
      </c>
      <c r="F62" s="1246">
        <f t="shared" si="46"/>
        <v>999000</v>
      </c>
      <c r="G62" s="1048">
        <f t="shared" si="46"/>
        <v>0</v>
      </c>
      <c r="H62" s="1438">
        <f t="shared" si="46"/>
        <v>0</v>
      </c>
      <c r="I62" s="1046">
        <f t="shared" ref="I62" si="47">I63+I64</f>
        <v>57255000</v>
      </c>
      <c r="J62" s="1047">
        <f>I62/D62*100</f>
        <v>100</v>
      </c>
      <c r="K62" s="1048">
        <f>K63+K64</f>
        <v>0</v>
      </c>
      <c r="L62" s="2737">
        <v>0</v>
      </c>
      <c r="M62" s="2738">
        <f>M63+M64*0.25</f>
        <v>0</v>
      </c>
      <c r="N62" s="2659"/>
    </row>
    <row r="63" spans="1:14" ht="13.5" customHeight="1" x14ac:dyDescent="0.2">
      <c r="A63" s="1461"/>
      <c r="B63" s="1242" t="s">
        <v>190</v>
      </c>
      <c r="C63" s="2727"/>
      <c r="D63" s="1243">
        <f t="shared" ref="D63:H63" si="48">D74</f>
        <v>0</v>
      </c>
      <c r="E63" s="308">
        <f t="shared" si="48"/>
        <v>0</v>
      </c>
      <c r="F63" s="308">
        <f t="shared" si="48"/>
        <v>0</v>
      </c>
      <c r="G63" s="308">
        <f t="shared" si="48"/>
        <v>0</v>
      </c>
      <c r="H63" s="309">
        <f t="shared" si="48"/>
        <v>0</v>
      </c>
      <c r="I63" s="1049">
        <f t="shared" ref="I63" si="49">I74</f>
        <v>0</v>
      </c>
      <c r="J63" s="360">
        <v>0</v>
      </c>
      <c r="K63" s="308">
        <f>K74</f>
        <v>0</v>
      </c>
      <c r="L63" s="308">
        <v>0</v>
      </c>
      <c r="M63" s="2739">
        <f t="shared" ref="M63:M70" si="50">M64+M65*0.25</f>
        <v>0</v>
      </c>
      <c r="N63" s="2736"/>
    </row>
    <row r="64" spans="1:14" ht="13.5" customHeight="1" thickBot="1" x14ac:dyDescent="0.25">
      <c r="A64" s="1461"/>
      <c r="B64" s="2744" t="s">
        <v>191</v>
      </c>
      <c r="C64" s="2745"/>
      <c r="D64" s="2746">
        <f>D69</f>
        <v>57255000</v>
      </c>
      <c r="E64" s="2747">
        <f>E71</f>
        <v>56256000</v>
      </c>
      <c r="F64" s="2747">
        <f>F71</f>
        <v>999000</v>
      </c>
      <c r="G64" s="782">
        <f>G71</f>
        <v>0</v>
      </c>
      <c r="H64" s="986">
        <f>H71</f>
        <v>0</v>
      </c>
      <c r="I64" s="2746">
        <f>I69</f>
        <v>57255000</v>
      </c>
      <c r="J64" s="2748">
        <f>I64/D64*100</f>
        <v>100</v>
      </c>
      <c r="K64" s="2749">
        <v>0</v>
      </c>
      <c r="L64" s="2749">
        <v>0</v>
      </c>
      <c r="M64" s="2750">
        <f t="shared" si="50"/>
        <v>0</v>
      </c>
      <c r="N64" s="2751"/>
    </row>
    <row r="65" spans="1:14" ht="14.25" customHeight="1" x14ac:dyDescent="0.2">
      <c r="A65" s="3657"/>
      <c r="B65" s="434" t="s">
        <v>3</v>
      </c>
      <c r="C65" s="2760"/>
      <c r="D65" s="2761">
        <f t="shared" ref="D65:I66" si="51">+D66</f>
        <v>57255000</v>
      </c>
      <c r="E65" s="2762">
        <f t="shared" si="51"/>
        <v>56256000</v>
      </c>
      <c r="F65" s="2762">
        <f t="shared" si="51"/>
        <v>999000</v>
      </c>
      <c r="G65" s="2763">
        <f t="shared" si="51"/>
        <v>0</v>
      </c>
      <c r="H65" s="2764">
        <f t="shared" si="51"/>
        <v>0</v>
      </c>
      <c r="I65" s="2761">
        <f t="shared" si="51"/>
        <v>57255000</v>
      </c>
      <c r="J65" s="2765">
        <f>I65/D65*100</f>
        <v>100</v>
      </c>
      <c r="K65" s="2763">
        <f>+K66</f>
        <v>0</v>
      </c>
      <c r="L65" s="2763">
        <v>0</v>
      </c>
      <c r="M65" s="2766">
        <f t="shared" si="50"/>
        <v>0</v>
      </c>
      <c r="N65" s="3660" t="s">
        <v>89</v>
      </c>
    </row>
    <row r="66" spans="1:14" ht="14.25" customHeight="1" x14ac:dyDescent="0.2">
      <c r="A66" s="3658"/>
      <c r="B66" s="849" t="s">
        <v>4</v>
      </c>
      <c r="C66" s="3663" t="s">
        <v>89</v>
      </c>
      <c r="D66" s="2735">
        <f t="shared" si="51"/>
        <v>57255000</v>
      </c>
      <c r="E66" s="850">
        <f t="shared" si="51"/>
        <v>56256000</v>
      </c>
      <c r="F66" s="850">
        <f t="shared" si="51"/>
        <v>999000</v>
      </c>
      <c r="G66" s="851">
        <f t="shared" si="51"/>
        <v>0</v>
      </c>
      <c r="H66" s="941">
        <f t="shared" si="51"/>
        <v>0</v>
      </c>
      <c r="I66" s="2735">
        <f t="shared" si="51"/>
        <v>57255000</v>
      </c>
      <c r="J66" s="883">
        <f t="shared" ref="J66:J67" si="52">I66/D66*100</f>
        <v>100</v>
      </c>
      <c r="K66" s="851">
        <f>+K67</f>
        <v>0</v>
      </c>
      <c r="L66" s="851">
        <v>0</v>
      </c>
      <c r="M66" s="2741">
        <f t="shared" si="50"/>
        <v>0</v>
      </c>
      <c r="N66" s="3661"/>
    </row>
    <row r="67" spans="1:14" ht="14.25" customHeight="1" thickBot="1" x14ac:dyDescent="0.25">
      <c r="A67" s="3659"/>
      <c r="B67" s="2767" t="s">
        <v>5</v>
      </c>
      <c r="C67" s="3664"/>
      <c r="D67" s="1857">
        <f>+E67+F67+G67+H67</f>
        <v>57255000</v>
      </c>
      <c r="E67" s="1862">
        <f>E71</f>
        <v>56256000</v>
      </c>
      <c r="F67" s="1862">
        <f>F71</f>
        <v>999000</v>
      </c>
      <c r="G67" s="2768">
        <f>G71</f>
        <v>0</v>
      </c>
      <c r="H67" s="806">
        <f>H71</f>
        <v>0</v>
      </c>
      <c r="I67" s="1857">
        <f>I71</f>
        <v>57255000</v>
      </c>
      <c r="J67" s="2769">
        <f t="shared" si="52"/>
        <v>100</v>
      </c>
      <c r="K67" s="2770">
        <f>K71</f>
        <v>0</v>
      </c>
      <c r="L67" s="2768">
        <v>0</v>
      </c>
      <c r="M67" s="2771">
        <f t="shared" si="50"/>
        <v>0</v>
      </c>
      <c r="N67" s="3662"/>
    </row>
    <row r="68" spans="1:14" ht="16.5" customHeight="1" x14ac:dyDescent="0.2">
      <c r="A68" s="3652" t="s">
        <v>33</v>
      </c>
      <c r="B68" s="2752" t="s">
        <v>367</v>
      </c>
      <c r="C68" s="2753" t="s">
        <v>193</v>
      </c>
      <c r="D68" s="2754"/>
      <c r="E68" s="2755"/>
      <c r="F68" s="2755"/>
      <c r="G68" s="2756"/>
      <c r="H68" s="2757"/>
      <c r="I68" s="2754"/>
      <c r="J68" s="2758"/>
      <c r="K68" s="2756"/>
      <c r="L68" s="2756"/>
      <c r="M68" s="2759">
        <f t="shared" si="50"/>
        <v>0</v>
      </c>
      <c r="N68" s="3665" t="s">
        <v>231</v>
      </c>
    </row>
    <row r="69" spans="1:14" ht="14.25" customHeight="1" x14ac:dyDescent="0.2">
      <c r="A69" s="3366"/>
      <c r="B69" s="236" t="s">
        <v>3</v>
      </c>
      <c r="C69" s="2728"/>
      <c r="D69" s="528">
        <f>+D70</f>
        <v>57255000</v>
      </c>
      <c r="E69" s="1">
        <f t="shared" ref="E69:G70" si="53">E70</f>
        <v>56256000</v>
      </c>
      <c r="F69" s="1">
        <f t="shared" si="53"/>
        <v>999000</v>
      </c>
      <c r="G69" s="597">
        <f t="shared" si="53"/>
        <v>0</v>
      </c>
      <c r="H69" s="1130">
        <f>H70</f>
        <v>0</v>
      </c>
      <c r="I69" s="528">
        <f>+I70</f>
        <v>57255000</v>
      </c>
      <c r="J69" s="1220">
        <f t="shared" ref="J69:J71" si="54">I69/D69*100</f>
        <v>100</v>
      </c>
      <c r="K69" s="597">
        <f>K70</f>
        <v>0</v>
      </c>
      <c r="L69" s="597">
        <v>0</v>
      </c>
      <c r="M69" s="2740">
        <f t="shared" si="50"/>
        <v>0</v>
      </c>
      <c r="N69" s="3371"/>
    </row>
    <row r="70" spans="1:14" ht="14.25" customHeight="1" x14ac:dyDescent="0.2">
      <c r="A70" s="3366"/>
      <c r="B70" s="852" t="s">
        <v>18</v>
      </c>
      <c r="C70" s="3257" t="s">
        <v>232</v>
      </c>
      <c r="D70" s="1221">
        <f>+D71</f>
        <v>57255000</v>
      </c>
      <c r="E70" s="847">
        <f t="shared" si="53"/>
        <v>56256000</v>
      </c>
      <c r="F70" s="847">
        <f t="shared" si="53"/>
        <v>999000</v>
      </c>
      <c r="G70" s="846">
        <f t="shared" si="53"/>
        <v>0</v>
      </c>
      <c r="H70" s="853">
        <f>H71</f>
        <v>0</v>
      </c>
      <c r="I70" s="1221">
        <f>+I71</f>
        <v>57255000</v>
      </c>
      <c r="J70" s="1222">
        <f t="shared" si="54"/>
        <v>100</v>
      </c>
      <c r="K70" s="846">
        <f>K71</f>
        <v>0</v>
      </c>
      <c r="L70" s="846">
        <v>0</v>
      </c>
      <c r="M70" s="2742">
        <f t="shared" si="50"/>
        <v>0</v>
      </c>
      <c r="N70" s="3666"/>
    </row>
    <row r="71" spans="1:14" ht="14.25" customHeight="1" thickBot="1" x14ac:dyDescent="0.25">
      <c r="A71" s="3367"/>
      <c r="B71" s="1223" t="s">
        <v>5</v>
      </c>
      <c r="C71" s="3441"/>
      <c r="D71" s="854">
        <f>+E71+F71+G71+H71</f>
        <v>57255000</v>
      </c>
      <c r="E71" s="855">
        <f>18315000+17982000+14964000+4995000</f>
        <v>56256000</v>
      </c>
      <c r="F71" s="855">
        <v>999000</v>
      </c>
      <c r="G71" s="856">
        <v>0</v>
      </c>
      <c r="H71" s="942">
        <v>0</v>
      </c>
      <c r="I71" s="641">
        <f>K71+E71+F71</f>
        <v>57255000</v>
      </c>
      <c r="J71" s="884">
        <f t="shared" si="54"/>
        <v>100</v>
      </c>
      <c r="K71" s="856">
        <v>0</v>
      </c>
      <c r="L71" s="856">
        <v>0</v>
      </c>
      <c r="M71" s="2743">
        <f>M72+M73*0.25</f>
        <v>0</v>
      </c>
      <c r="N71" s="3667"/>
    </row>
    <row r="72" spans="1:14" ht="12" customHeight="1" x14ac:dyDescent="0.2">
      <c r="A72" s="857"/>
      <c r="B72" s="1508"/>
      <c r="C72" s="176"/>
      <c r="D72" s="1509"/>
      <c r="E72" s="1510"/>
      <c r="F72" s="1510"/>
      <c r="G72" s="1511"/>
      <c r="H72" s="1509"/>
      <c r="I72" s="1510"/>
      <c r="J72" s="1512"/>
      <c r="K72" s="1511"/>
      <c r="L72" s="1511"/>
      <c r="M72" s="861"/>
      <c r="N72" s="864"/>
    </row>
    <row r="73" spans="1:14" ht="12" customHeight="1" x14ac:dyDescent="0.2">
      <c r="A73" s="857"/>
      <c r="B73" s="1513"/>
      <c r="C73" s="176"/>
      <c r="D73" s="1514"/>
      <c r="E73" s="1514"/>
      <c r="F73" s="1514"/>
      <c r="G73" s="1515"/>
      <c r="H73" s="1515"/>
      <c r="I73" s="1514"/>
      <c r="J73" s="1516"/>
      <c r="K73" s="1515"/>
      <c r="L73" s="1515"/>
      <c r="M73" s="861"/>
      <c r="N73" s="864"/>
    </row>
    <row r="74" spans="1:14" ht="12" customHeight="1" x14ac:dyDescent="0.2">
      <c r="A74" s="857"/>
      <c r="B74" s="858"/>
      <c r="C74" s="176"/>
      <c r="D74" s="859"/>
      <c r="E74" s="860"/>
      <c r="F74" s="860"/>
      <c r="G74" s="860"/>
      <c r="H74" s="860"/>
      <c r="I74" s="531"/>
      <c r="J74" s="862"/>
      <c r="K74" s="863"/>
      <c r="L74" s="862"/>
      <c r="M74" s="861"/>
      <c r="N74" s="864"/>
    </row>
    <row r="75" spans="1:14" ht="12" customHeight="1" x14ac:dyDescent="0.2">
      <c r="A75" s="857"/>
      <c r="B75" s="858"/>
      <c r="C75" s="176"/>
      <c r="D75" s="859"/>
      <c r="E75" s="860"/>
      <c r="F75" s="860"/>
      <c r="G75" s="860"/>
      <c r="H75" s="860"/>
      <c r="I75" s="531"/>
      <c r="J75" s="862"/>
      <c r="K75" s="863"/>
      <c r="L75" s="862"/>
      <c r="M75" s="861"/>
      <c r="N75" s="864"/>
    </row>
    <row r="76" spans="1:14" ht="12" customHeight="1" x14ac:dyDescent="0.2">
      <c r="A76" s="857"/>
      <c r="B76" s="858"/>
      <c r="C76" s="176"/>
      <c r="D76" s="859"/>
      <c r="E76" s="860"/>
      <c r="F76" s="860"/>
      <c r="G76" s="860"/>
      <c r="H76" s="860"/>
      <c r="I76" s="531"/>
      <c r="J76" s="862"/>
      <c r="K76" s="863"/>
      <c r="L76" s="862"/>
      <c r="M76" s="861"/>
      <c r="N76" s="864"/>
    </row>
    <row r="77" spans="1:14" ht="12" customHeight="1" x14ac:dyDescent="0.2">
      <c r="A77" s="857"/>
      <c r="B77" s="858"/>
      <c r="C77" s="176"/>
      <c r="D77" s="859"/>
      <c r="E77" s="860"/>
      <c r="F77" s="860"/>
      <c r="G77" s="860"/>
      <c r="H77" s="860"/>
      <c r="I77" s="531"/>
      <c r="J77" s="862"/>
      <c r="K77" s="863"/>
      <c r="L77" s="862"/>
      <c r="M77" s="861"/>
      <c r="N77" s="864"/>
    </row>
    <row r="78" spans="1:14" ht="12" customHeight="1" x14ac:dyDescent="0.2">
      <c r="A78" s="857"/>
      <c r="B78" s="858"/>
      <c r="C78" s="176"/>
      <c r="D78" s="859"/>
      <c r="E78" s="860"/>
      <c r="F78" s="860"/>
      <c r="G78" s="860"/>
      <c r="H78" s="860"/>
      <c r="I78" s="531"/>
      <c r="J78" s="862"/>
      <c r="K78" s="863"/>
      <c r="L78" s="862"/>
      <c r="M78" s="861"/>
      <c r="N78" s="864"/>
    </row>
    <row r="79" spans="1:14" ht="12" customHeight="1" x14ac:dyDescent="0.2">
      <c r="A79" s="857"/>
      <c r="B79" s="858"/>
      <c r="C79" s="176"/>
      <c r="D79" s="859"/>
      <c r="E79" s="860"/>
      <c r="F79" s="860"/>
      <c r="G79" s="860"/>
      <c r="H79" s="860"/>
      <c r="I79" s="531"/>
      <c r="J79" s="862"/>
      <c r="K79" s="863"/>
      <c r="L79" s="862"/>
      <c r="M79" s="861"/>
      <c r="N79" s="864"/>
    </row>
    <row r="80" spans="1:14" ht="12" customHeight="1" x14ac:dyDescent="0.2">
      <c r="A80" s="857"/>
      <c r="B80" s="858"/>
      <c r="C80" s="176"/>
      <c r="D80" s="859"/>
      <c r="E80" s="860"/>
      <c r="F80" s="860"/>
      <c r="G80" s="860"/>
      <c r="H80" s="860"/>
      <c r="I80" s="531"/>
      <c r="J80" s="862"/>
      <c r="K80" s="863"/>
      <c r="L80" s="862"/>
      <c r="M80" s="861"/>
      <c r="N80" s="864"/>
    </row>
    <row r="81" spans="1:14" ht="12" customHeight="1" x14ac:dyDescent="0.2">
      <c r="A81" s="857"/>
      <c r="B81" s="858"/>
      <c r="C81" s="176"/>
      <c r="D81" s="859"/>
      <c r="E81" s="860"/>
      <c r="F81" s="860"/>
      <c r="G81" s="860"/>
      <c r="H81" s="860"/>
      <c r="I81" s="531"/>
      <c r="J81" s="862"/>
      <c r="K81" s="863"/>
      <c r="L81" s="862"/>
      <c r="M81" s="861"/>
      <c r="N81" s="864"/>
    </row>
    <row r="82" spans="1:14" ht="12" customHeight="1" x14ac:dyDescent="0.2">
      <c r="A82" s="857"/>
      <c r="B82" s="858"/>
      <c r="C82" s="176"/>
      <c r="D82" s="859"/>
      <c r="E82" s="860"/>
      <c r="F82" s="860"/>
      <c r="G82" s="860"/>
      <c r="H82" s="860"/>
      <c r="I82" s="531"/>
      <c r="J82" s="862"/>
      <c r="K82" s="863"/>
      <c r="L82" s="862"/>
      <c r="M82" s="861"/>
      <c r="N82" s="864"/>
    </row>
    <row r="83" spans="1:14" ht="12" customHeight="1" x14ac:dyDescent="0.2">
      <c r="A83" s="857"/>
      <c r="B83" s="858"/>
      <c r="C83" s="176"/>
      <c r="D83" s="859"/>
      <c r="E83" s="860"/>
      <c r="F83" s="860"/>
      <c r="G83" s="860"/>
      <c r="H83" s="860"/>
      <c r="I83" s="531"/>
      <c r="J83" s="862"/>
      <c r="K83" s="863"/>
      <c r="L83" s="862"/>
      <c r="M83" s="861"/>
      <c r="N83" s="864"/>
    </row>
    <row r="84" spans="1:14" ht="12" customHeight="1" x14ac:dyDescent="0.2">
      <c r="A84" s="857"/>
      <c r="B84" s="858"/>
      <c r="C84" s="176"/>
      <c r="D84" s="859"/>
      <c r="E84" s="860"/>
      <c r="F84" s="860"/>
      <c r="G84" s="860"/>
      <c r="H84" s="860"/>
      <c r="I84" s="531"/>
      <c r="J84" s="862"/>
      <c r="K84" s="863"/>
      <c r="L84" s="862"/>
      <c r="M84" s="861"/>
      <c r="N84" s="864"/>
    </row>
    <row r="85" spans="1:14" ht="12" customHeight="1" x14ac:dyDescent="0.2">
      <c r="A85" s="857"/>
      <c r="B85" s="858"/>
      <c r="C85" s="176"/>
      <c r="D85" s="859"/>
      <c r="E85" s="860"/>
      <c r="F85" s="860"/>
      <c r="G85" s="860"/>
      <c r="H85" s="860"/>
      <c r="I85" s="531"/>
      <c r="J85" s="862"/>
      <c r="K85" s="863"/>
      <c r="L85" s="862"/>
      <c r="M85" s="861"/>
      <c r="N85" s="864"/>
    </row>
    <row r="86" spans="1:14" ht="12" customHeight="1" x14ac:dyDescent="0.2">
      <c r="A86" s="857"/>
      <c r="B86" s="858"/>
      <c r="C86" s="176"/>
      <c r="D86" s="859"/>
      <c r="E86" s="860"/>
      <c r="F86" s="860"/>
      <c r="G86" s="860"/>
      <c r="H86" s="860"/>
      <c r="I86" s="531"/>
      <c r="J86" s="862"/>
      <c r="K86" s="863"/>
      <c r="L86" s="862"/>
      <c r="M86" s="861"/>
      <c r="N86" s="864"/>
    </row>
    <row r="87" spans="1:14" ht="12" customHeight="1" x14ac:dyDescent="0.2">
      <c r="A87" s="857"/>
      <c r="B87" s="858"/>
      <c r="C87" s="176"/>
      <c r="D87" s="859"/>
      <c r="E87" s="860"/>
      <c r="F87" s="860"/>
      <c r="G87" s="860"/>
      <c r="H87" s="860"/>
      <c r="I87" s="531"/>
      <c r="J87" s="862"/>
      <c r="K87" s="863"/>
      <c r="L87" s="862"/>
      <c r="M87" s="861"/>
      <c r="N87" s="864"/>
    </row>
    <row r="88" spans="1:14" ht="12" customHeight="1" x14ac:dyDescent="0.2">
      <c r="A88" s="857"/>
      <c r="B88" s="858"/>
      <c r="C88" s="176"/>
      <c r="D88" s="859"/>
      <c r="E88" s="860"/>
      <c r="F88" s="860"/>
      <c r="G88" s="860"/>
      <c r="H88" s="860"/>
      <c r="I88" s="531"/>
      <c r="J88" s="862"/>
      <c r="K88" s="863"/>
      <c r="L88" s="862"/>
      <c r="M88" s="861"/>
      <c r="N88" s="864"/>
    </row>
    <row r="89" spans="1:14" ht="12" customHeight="1" x14ac:dyDescent="0.2">
      <c r="A89" s="857"/>
      <c r="B89" s="858"/>
      <c r="C89" s="176"/>
      <c r="D89" s="859"/>
      <c r="E89" s="860"/>
      <c r="F89" s="860"/>
      <c r="G89" s="860"/>
      <c r="H89" s="860"/>
      <c r="I89" s="531"/>
      <c r="J89" s="862"/>
      <c r="K89" s="863"/>
      <c r="L89" s="862"/>
      <c r="M89" s="861"/>
      <c r="N89" s="864"/>
    </row>
    <row r="90" spans="1:14" ht="12" customHeight="1" x14ac:dyDescent="0.2">
      <c r="A90" s="857"/>
      <c r="B90" s="858"/>
      <c r="C90" s="176"/>
      <c r="D90" s="859"/>
      <c r="E90" s="860"/>
      <c r="F90" s="860"/>
      <c r="G90" s="860"/>
      <c r="H90" s="860"/>
      <c r="I90" s="531"/>
      <c r="J90" s="862"/>
      <c r="K90" s="863"/>
      <c r="L90" s="862"/>
      <c r="M90" s="861"/>
      <c r="N90" s="864"/>
    </row>
    <row r="91" spans="1:14" ht="12" customHeight="1" x14ac:dyDescent="0.2">
      <c r="A91" s="857"/>
      <c r="B91" s="858"/>
      <c r="C91" s="176"/>
      <c r="D91" s="859"/>
      <c r="E91" s="860"/>
      <c r="F91" s="860"/>
      <c r="G91" s="860"/>
      <c r="H91" s="860"/>
      <c r="I91" s="531"/>
      <c r="J91" s="862"/>
      <c r="K91" s="863"/>
      <c r="L91" s="862"/>
      <c r="M91" s="861"/>
      <c r="N91" s="864"/>
    </row>
    <row r="92" spans="1:14" ht="12" customHeight="1" x14ac:dyDescent="0.2">
      <c r="A92" s="857"/>
      <c r="B92" s="858"/>
      <c r="C92" s="176"/>
      <c r="D92" s="859"/>
      <c r="E92" s="860"/>
      <c r="F92" s="860"/>
      <c r="G92" s="860"/>
      <c r="H92" s="860"/>
      <c r="I92" s="531"/>
      <c r="J92" s="862"/>
      <c r="K92" s="863"/>
      <c r="L92" s="862"/>
      <c r="M92" s="861"/>
      <c r="N92" s="864"/>
    </row>
    <row r="93" spans="1:14" ht="12" customHeight="1" x14ac:dyDescent="0.2">
      <c r="A93" s="857"/>
      <c r="B93" s="858"/>
      <c r="C93" s="176"/>
      <c r="D93" s="859"/>
      <c r="E93" s="860"/>
      <c r="F93" s="860"/>
      <c r="G93" s="860"/>
      <c r="H93" s="860"/>
      <c r="I93" s="531"/>
      <c r="J93" s="862"/>
      <c r="K93" s="863"/>
      <c r="L93" s="862"/>
      <c r="M93" s="861"/>
      <c r="N93" s="864"/>
    </row>
    <row r="94" spans="1:14" ht="12" customHeight="1" x14ac:dyDescent="0.2">
      <c r="A94" s="857"/>
      <c r="B94" s="858"/>
      <c r="C94" s="176"/>
      <c r="D94" s="859"/>
      <c r="E94" s="860"/>
      <c r="F94" s="860"/>
      <c r="G94" s="860"/>
      <c r="H94" s="860"/>
      <c r="I94" s="531"/>
      <c r="J94" s="862"/>
      <c r="K94" s="863"/>
      <c r="L94" s="862"/>
      <c r="M94" s="861"/>
      <c r="N94" s="864"/>
    </row>
    <row r="95" spans="1:14" ht="12" customHeight="1" x14ac:dyDescent="0.2">
      <c r="A95" s="857"/>
      <c r="B95" s="858"/>
      <c r="C95" s="176"/>
      <c r="D95" s="859"/>
      <c r="E95" s="860"/>
      <c r="F95" s="860"/>
      <c r="G95" s="860"/>
      <c r="H95" s="860"/>
      <c r="I95" s="531"/>
      <c r="J95" s="862"/>
      <c r="K95" s="863"/>
      <c r="L95" s="862"/>
      <c r="M95" s="861"/>
      <c r="N95" s="864"/>
    </row>
    <row r="96" spans="1:14" ht="12" customHeight="1" x14ac:dyDescent="0.2">
      <c r="A96" s="857"/>
      <c r="B96" s="858"/>
      <c r="C96" s="176"/>
      <c r="D96" s="859"/>
      <c r="E96" s="860"/>
      <c r="F96" s="860"/>
      <c r="G96" s="860"/>
      <c r="H96" s="860"/>
      <c r="I96" s="531"/>
      <c r="J96" s="862"/>
      <c r="K96" s="863"/>
      <c r="L96" s="862"/>
      <c r="M96" s="861"/>
      <c r="N96" s="864"/>
    </row>
    <row r="97" spans="1:14" ht="12" customHeight="1" x14ac:dyDescent="0.2">
      <c r="A97" s="857"/>
      <c r="B97" s="858"/>
      <c r="C97" s="176"/>
      <c r="D97" s="859"/>
      <c r="E97" s="860"/>
      <c r="F97" s="860"/>
      <c r="G97" s="860"/>
      <c r="H97" s="860"/>
      <c r="I97" s="531"/>
      <c r="J97" s="862"/>
      <c r="K97" s="863"/>
      <c r="L97" s="862"/>
      <c r="M97" s="861"/>
      <c r="N97" s="864"/>
    </row>
    <row r="98" spans="1:14" x14ac:dyDescent="0.2">
      <c r="A98" s="551"/>
      <c r="B98" s="552"/>
      <c r="C98" s="552"/>
      <c r="D98" s="552"/>
      <c r="E98" s="552"/>
      <c r="F98" s="552"/>
      <c r="G98" s="552"/>
      <c r="H98" s="552"/>
      <c r="I98" s="552"/>
      <c r="J98" s="552"/>
      <c r="N98" s="599"/>
    </row>
    <row r="99" spans="1:14" x14ac:dyDescent="0.2">
      <c r="A99" s="551"/>
      <c r="B99" s="552"/>
      <c r="C99" s="552"/>
      <c r="D99" s="552"/>
      <c r="E99" s="552"/>
      <c r="F99" s="552"/>
      <c r="G99" s="552"/>
      <c r="H99" s="552"/>
      <c r="I99" s="552"/>
      <c r="J99" s="552"/>
      <c r="N99" s="599"/>
    </row>
    <row r="100" spans="1:14" x14ac:dyDescent="0.2">
      <c r="A100" s="551"/>
      <c r="B100" s="552"/>
      <c r="C100" s="552"/>
      <c r="D100" s="552"/>
      <c r="E100" s="552"/>
      <c r="F100" s="552"/>
      <c r="G100" s="552"/>
      <c r="H100" s="552"/>
      <c r="I100" s="552"/>
      <c r="J100" s="552"/>
      <c r="N100" s="599"/>
    </row>
    <row r="101" spans="1:14" x14ac:dyDescent="0.2">
      <c r="A101" s="551"/>
      <c r="B101" s="552"/>
      <c r="C101" s="552"/>
      <c r="D101" s="552"/>
      <c r="E101" s="552"/>
      <c r="F101" s="552"/>
      <c r="G101" s="552"/>
      <c r="H101" s="552"/>
      <c r="I101" s="552"/>
      <c r="J101" s="552"/>
      <c r="N101" s="599"/>
    </row>
    <row r="102" spans="1:14" x14ac:dyDescent="0.2">
      <c r="A102" s="551"/>
      <c r="B102" s="552"/>
      <c r="C102" s="552"/>
      <c r="D102" s="552"/>
      <c r="E102" s="552"/>
      <c r="F102" s="552"/>
      <c r="G102" s="552"/>
      <c r="H102" s="552"/>
      <c r="I102" s="552"/>
      <c r="J102" s="552"/>
      <c r="N102" s="599"/>
    </row>
    <row r="103" spans="1:14" x14ac:dyDescent="0.2">
      <c r="A103" s="551"/>
      <c r="B103" s="552"/>
      <c r="C103" s="552"/>
      <c r="D103" s="552"/>
      <c r="E103" s="552"/>
      <c r="F103" s="552"/>
      <c r="G103" s="552"/>
      <c r="H103" s="552"/>
      <c r="I103" s="552"/>
      <c r="J103" s="552"/>
      <c r="N103" s="599"/>
    </row>
    <row r="104" spans="1:14" x14ac:dyDescent="0.2">
      <c r="A104" s="551"/>
      <c r="B104" s="552"/>
      <c r="C104" s="552"/>
      <c r="D104" s="552"/>
      <c r="E104" s="552"/>
      <c r="F104" s="552"/>
      <c r="G104" s="552"/>
      <c r="H104" s="552"/>
      <c r="I104" s="552"/>
      <c r="J104" s="552"/>
      <c r="N104" s="599"/>
    </row>
    <row r="105" spans="1:14" x14ac:dyDescent="0.2">
      <c r="A105" s="551"/>
      <c r="B105" s="552"/>
      <c r="C105" s="552"/>
      <c r="D105" s="552"/>
      <c r="E105" s="552"/>
      <c r="F105" s="552"/>
      <c r="G105" s="552"/>
      <c r="H105" s="552"/>
      <c r="I105" s="552"/>
      <c r="J105" s="552"/>
      <c r="N105" s="599"/>
    </row>
    <row r="106" spans="1:14" x14ac:dyDescent="0.2">
      <c r="A106" s="551"/>
      <c r="B106" s="552"/>
      <c r="C106" s="552"/>
      <c r="D106" s="552"/>
      <c r="E106" s="552"/>
      <c r="F106" s="552"/>
      <c r="G106" s="552"/>
      <c r="H106" s="552"/>
      <c r="I106" s="552"/>
      <c r="J106" s="552"/>
      <c r="N106" s="599"/>
    </row>
    <row r="107" spans="1:14" x14ac:dyDescent="0.2">
      <c r="A107" s="551"/>
      <c r="B107" s="552"/>
      <c r="C107" s="552"/>
      <c r="D107" s="552"/>
      <c r="E107" s="552"/>
      <c r="F107" s="552"/>
      <c r="G107" s="552"/>
      <c r="H107" s="552"/>
      <c r="I107" s="552"/>
      <c r="J107" s="552"/>
      <c r="N107" s="599"/>
    </row>
    <row r="108" spans="1:14" x14ac:dyDescent="0.2">
      <c r="A108" s="551"/>
      <c r="B108" s="552"/>
      <c r="C108" s="552"/>
      <c r="D108" s="552"/>
      <c r="E108" s="552"/>
      <c r="F108" s="552"/>
      <c r="G108" s="552"/>
      <c r="H108" s="552"/>
      <c r="I108" s="552"/>
      <c r="J108" s="552"/>
      <c r="N108" s="599"/>
    </row>
    <row r="109" spans="1:14" x14ac:dyDescent="0.2">
      <c r="A109" s="551"/>
      <c r="B109" s="552"/>
      <c r="C109" s="552"/>
      <c r="D109" s="552"/>
      <c r="E109" s="552"/>
      <c r="F109" s="552"/>
      <c r="G109" s="552"/>
      <c r="H109" s="552"/>
      <c r="I109" s="552"/>
      <c r="J109" s="552"/>
      <c r="N109" s="599"/>
    </row>
    <row r="110" spans="1:14" x14ac:dyDescent="0.2">
      <c r="A110" s="551"/>
      <c r="B110" s="552"/>
      <c r="C110" s="552"/>
      <c r="D110" s="552"/>
      <c r="E110" s="552"/>
      <c r="F110" s="552"/>
      <c r="G110" s="552"/>
      <c r="H110" s="552"/>
      <c r="I110" s="552"/>
      <c r="J110" s="552"/>
      <c r="N110" s="599"/>
    </row>
    <row r="111" spans="1:14" x14ac:dyDescent="0.2">
      <c r="A111" s="551"/>
      <c r="B111" s="552"/>
      <c r="C111" s="552"/>
      <c r="D111" s="552"/>
      <c r="E111" s="552"/>
      <c r="F111" s="552"/>
      <c r="G111" s="552"/>
      <c r="H111" s="552"/>
      <c r="I111" s="552"/>
      <c r="J111" s="552"/>
      <c r="N111" s="599"/>
    </row>
    <row r="112" spans="1:14" x14ac:dyDescent="0.2">
      <c r="A112" s="551"/>
      <c r="B112" s="552"/>
      <c r="C112" s="552"/>
      <c r="D112" s="552"/>
      <c r="E112" s="552"/>
      <c r="F112" s="552"/>
      <c r="G112" s="552"/>
      <c r="H112" s="552"/>
      <c r="I112" s="552"/>
      <c r="J112" s="552"/>
      <c r="N112" s="599"/>
    </row>
    <row r="113" spans="1:14" x14ac:dyDescent="0.2">
      <c r="A113" s="551"/>
      <c r="B113" s="552"/>
      <c r="C113" s="552"/>
      <c r="D113" s="552"/>
      <c r="E113" s="552"/>
      <c r="F113" s="552"/>
      <c r="G113" s="552"/>
      <c r="H113" s="552"/>
      <c r="I113" s="552"/>
      <c r="J113" s="552"/>
      <c r="N113" s="599"/>
    </row>
    <row r="114" spans="1:14" x14ac:dyDescent="0.2">
      <c r="A114" s="551"/>
      <c r="B114" s="552"/>
      <c r="C114" s="552"/>
      <c r="D114" s="552"/>
      <c r="E114" s="552"/>
      <c r="F114" s="552"/>
      <c r="G114" s="552"/>
      <c r="H114" s="552"/>
      <c r="I114" s="552"/>
      <c r="J114" s="552"/>
      <c r="N114" s="599"/>
    </row>
    <row r="115" spans="1:14" x14ac:dyDescent="0.2">
      <c r="A115" s="551"/>
      <c r="B115" s="552"/>
      <c r="C115" s="552"/>
      <c r="D115" s="552"/>
      <c r="E115" s="552"/>
      <c r="F115" s="552"/>
      <c r="G115" s="552"/>
      <c r="H115" s="552"/>
      <c r="I115" s="552"/>
      <c r="J115" s="552"/>
      <c r="N115" s="599"/>
    </row>
    <row r="116" spans="1:14" x14ac:dyDescent="0.2">
      <c r="A116" s="551"/>
      <c r="B116" s="552"/>
      <c r="C116" s="552"/>
      <c r="D116" s="552"/>
      <c r="E116" s="552"/>
      <c r="F116" s="552"/>
      <c r="G116" s="552"/>
      <c r="H116" s="552"/>
      <c r="I116" s="552"/>
      <c r="J116" s="552"/>
      <c r="N116" s="599"/>
    </row>
    <row r="117" spans="1:14" x14ac:dyDescent="0.2">
      <c r="A117" s="551"/>
      <c r="B117" s="552"/>
      <c r="C117" s="552"/>
      <c r="D117" s="552"/>
      <c r="E117" s="552"/>
      <c r="F117" s="552"/>
      <c r="G117" s="552"/>
      <c r="H117" s="552"/>
      <c r="I117" s="552"/>
      <c r="J117" s="552"/>
      <c r="N117" s="599"/>
    </row>
    <row r="118" spans="1:14" x14ac:dyDescent="0.2">
      <c r="A118" s="551"/>
      <c r="B118" s="552"/>
      <c r="C118" s="552"/>
      <c r="D118" s="552"/>
      <c r="E118" s="552"/>
      <c r="F118" s="552"/>
      <c r="G118" s="552"/>
      <c r="H118" s="552"/>
      <c r="I118" s="552"/>
      <c r="J118" s="552"/>
      <c r="N118" s="599"/>
    </row>
    <row r="119" spans="1:14" x14ac:dyDescent="0.2">
      <c r="A119" s="551"/>
      <c r="B119" s="552"/>
      <c r="C119" s="552"/>
      <c r="D119" s="552"/>
      <c r="E119" s="552"/>
      <c r="F119" s="552"/>
      <c r="G119" s="552"/>
      <c r="H119" s="552"/>
      <c r="I119" s="552"/>
      <c r="J119" s="552"/>
      <c r="N119" s="599"/>
    </row>
    <row r="120" spans="1:14" x14ac:dyDescent="0.2">
      <c r="A120" s="551"/>
      <c r="B120" s="552"/>
      <c r="C120" s="552"/>
      <c r="D120" s="552"/>
      <c r="E120" s="552"/>
      <c r="F120" s="552"/>
      <c r="G120" s="552"/>
      <c r="H120" s="552"/>
      <c r="I120" s="552"/>
      <c r="J120" s="552"/>
      <c r="N120" s="599"/>
    </row>
    <row r="121" spans="1:14" x14ac:dyDescent="0.2">
      <c r="A121" s="551"/>
      <c r="B121" s="552"/>
      <c r="C121" s="552"/>
      <c r="D121" s="552"/>
      <c r="E121" s="552"/>
      <c r="F121" s="552"/>
      <c r="G121" s="552"/>
      <c r="H121" s="552"/>
      <c r="I121" s="552"/>
      <c r="J121" s="552"/>
      <c r="N121" s="599"/>
    </row>
    <row r="122" spans="1:14" x14ac:dyDescent="0.2">
      <c r="A122" s="551"/>
      <c r="B122" s="552"/>
      <c r="C122" s="552"/>
      <c r="D122" s="552"/>
      <c r="E122" s="552"/>
      <c r="F122" s="552"/>
      <c r="G122" s="552"/>
      <c r="H122" s="552"/>
      <c r="I122" s="552"/>
      <c r="J122" s="552"/>
      <c r="N122" s="599"/>
    </row>
    <row r="123" spans="1:14" x14ac:dyDescent="0.2">
      <c r="A123" s="1506"/>
      <c r="B123" s="1043"/>
      <c r="C123" s="1043"/>
      <c r="D123" s="1043"/>
      <c r="E123" s="1043"/>
      <c r="F123" s="1043"/>
      <c r="G123" s="1043"/>
      <c r="H123" s="1043"/>
      <c r="I123" s="1043"/>
      <c r="J123" s="1043"/>
      <c r="K123" s="1043"/>
      <c r="L123" s="1043"/>
      <c r="M123" s="1043"/>
      <c r="N123" s="1507"/>
    </row>
    <row r="124" spans="1:14" x14ac:dyDescent="0.2">
      <c r="A124" s="1344"/>
      <c r="B124" s="1229"/>
      <c r="C124" s="1229"/>
      <c r="D124" s="1229"/>
      <c r="E124" s="1229"/>
      <c r="F124" s="1229"/>
      <c r="G124" s="1229"/>
      <c r="H124" s="1229"/>
      <c r="I124" s="1229"/>
      <c r="J124" s="1229"/>
      <c r="K124" s="1229"/>
      <c r="L124" s="1229"/>
      <c r="M124" s="1229"/>
      <c r="N124" s="1345"/>
    </row>
    <row r="125" spans="1:14" x14ac:dyDescent="0.2">
      <c r="A125" s="1344"/>
      <c r="B125" s="1229"/>
      <c r="C125" s="1229"/>
      <c r="D125" s="1229"/>
      <c r="E125" s="1229"/>
      <c r="F125" s="1229"/>
      <c r="G125" s="1229"/>
      <c r="H125" s="1229"/>
      <c r="I125" s="1229"/>
      <c r="J125" s="1229"/>
      <c r="K125" s="1229"/>
      <c r="L125" s="1229"/>
      <c r="M125" s="1229"/>
      <c r="N125" s="1345"/>
    </row>
    <row r="126" spans="1:14" x14ac:dyDescent="0.2">
      <c r="A126" s="1344"/>
      <c r="B126" s="1229"/>
      <c r="C126" s="1229"/>
      <c r="D126" s="1229"/>
      <c r="E126" s="1229"/>
      <c r="F126" s="1229"/>
      <c r="G126" s="1229"/>
      <c r="H126" s="1229"/>
      <c r="I126" s="1229"/>
      <c r="J126" s="1229"/>
      <c r="K126" s="1229"/>
      <c r="L126" s="1229"/>
      <c r="M126" s="1229"/>
      <c r="N126" s="1345"/>
    </row>
    <row r="127" spans="1:14" x14ac:dyDescent="0.2">
      <c r="A127" s="1344"/>
      <c r="B127" s="1229"/>
      <c r="C127" s="1229"/>
      <c r="D127" s="1229"/>
      <c r="E127" s="1229"/>
      <c r="F127" s="1229"/>
      <c r="G127" s="1229"/>
      <c r="H127" s="1229"/>
      <c r="I127" s="1229"/>
      <c r="J127" s="1229"/>
      <c r="K127" s="1229"/>
      <c r="L127" s="1229"/>
      <c r="M127" s="1229"/>
      <c r="N127" s="1345"/>
    </row>
    <row r="128" spans="1:14" x14ac:dyDescent="0.2">
      <c r="A128" s="1344"/>
      <c r="B128" s="1229"/>
      <c r="C128" s="1229"/>
      <c r="D128" s="1229"/>
      <c r="E128" s="1229"/>
      <c r="F128" s="1229"/>
      <c r="G128" s="1229"/>
      <c r="H128" s="1229"/>
      <c r="I128" s="1229"/>
      <c r="J128" s="1229"/>
      <c r="K128" s="1229"/>
      <c r="L128" s="1229"/>
      <c r="M128" s="1229"/>
      <c r="N128" s="1345"/>
    </row>
    <row r="129" spans="1:14" x14ac:dyDescent="0.2">
      <c r="A129" s="1344"/>
      <c r="B129" s="1229"/>
      <c r="C129" s="1229"/>
      <c r="D129" s="1229"/>
      <c r="E129" s="1229"/>
      <c r="F129" s="1229"/>
      <c r="G129" s="1229"/>
      <c r="H129" s="1229"/>
      <c r="I129" s="1229"/>
      <c r="J129" s="1229"/>
      <c r="K129" s="1229"/>
      <c r="L129" s="1229"/>
      <c r="M129" s="1229"/>
      <c r="N129" s="1345"/>
    </row>
    <row r="130" spans="1:14" ht="12" thickBot="1" x14ac:dyDescent="0.25">
      <c r="A130" s="1346"/>
      <c r="B130" s="1230"/>
      <c r="C130" s="1230"/>
      <c r="D130" s="1230"/>
      <c r="E130" s="1230"/>
      <c r="F130" s="1230"/>
      <c r="G130" s="1230"/>
      <c r="H130" s="1230"/>
      <c r="I130" s="1230"/>
      <c r="J130" s="1230"/>
      <c r="K130" s="1230"/>
      <c r="L130" s="1230"/>
      <c r="M130" s="1230"/>
      <c r="N130" s="1347"/>
    </row>
    <row r="131" spans="1:14" x14ac:dyDescent="0.2">
      <c r="A131" s="600"/>
      <c r="B131" s="601"/>
      <c r="C131" s="601"/>
      <c r="D131" s="601"/>
      <c r="E131" s="601"/>
      <c r="F131" s="601"/>
      <c r="G131" s="601"/>
      <c r="H131" s="601"/>
      <c r="I131" s="601"/>
      <c r="J131" s="601"/>
      <c r="K131" s="601"/>
      <c r="L131" s="601"/>
      <c r="M131" s="601"/>
      <c r="N131" s="602"/>
    </row>
    <row r="132" spans="1:14" x14ac:dyDescent="0.2">
      <c r="A132" s="603"/>
      <c r="B132" s="552"/>
      <c r="C132" s="552"/>
      <c r="D132" s="552"/>
      <c r="E132" s="552"/>
      <c r="F132" s="552"/>
      <c r="G132" s="552"/>
      <c r="H132" s="552"/>
      <c r="I132" s="552"/>
      <c r="J132" s="552"/>
      <c r="N132" s="604"/>
    </row>
    <row r="133" spans="1:14" x14ac:dyDescent="0.2">
      <c r="A133" s="603"/>
      <c r="B133" s="552"/>
      <c r="C133" s="552"/>
      <c r="D133" s="552"/>
      <c r="E133" s="552"/>
      <c r="F133" s="552"/>
      <c r="G133" s="552"/>
      <c r="H133" s="552"/>
      <c r="I133" s="552"/>
      <c r="J133" s="552"/>
      <c r="N133" s="604"/>
    </row>
    <row r="134" spans="1:14" x14ac:dyDescent="0.2">
      <c r="A134" s="603"/>
      <c r="B134" s="552"/>
      <c r="C134" s="552"/>
      <c r="D134" s="552"/>
      <c r="E134" s="552"/>
      <c r="F134" s="552"/>
      <c r="G134" s="552"/>
      <c r="H134" s="552"/>
      <c r="I134" s="552"/>
      <c r="J134" s="552"/>
      <c r="N134" s="604"/>
    </row>
    <row r="135" spans="1:14" x14ac:dyDescent="0.2">
      <c r="A135" s="603"/>
      <c r="B135" s="552"/>
      <c r="C135" s="552"/>
      <c r="D135" s="552"/>
      <c r="E135" s="552"/>
      <c r="F135" s="552"/>
      <c r="G135" s="552"/>
      <c r="H135" s="552"/>
      <c r="I135" s="552"/>
      <c r="J135" s="552"/>
      <c r="N135" s="604"/>
    </row>
    <row r="136" spans="1:14" x14ac:dyDescent="0.2">
      <c r="A136" s="603"/>
      <c r="B136" s="552"/>
      <c r="C136" s="552"/>
      <c r="D136" s="552"/>
      <c r="E136" s="552"/>
      <c r="F136" s="552"/>
      <c r="G136" s="552"/>
      <c r="H136" s="552"/>
      <c r="I136" s="552"/>
      <c r="J136" s="552"/>
      <c r="N136" s="604"/>
    </row>
    <row r="137" spans="1:14" x14ac:dyDescent="0.2">
      <c r="A137" s="603"/>
      <c r="B137" s="552"/>
      <c r="C137" s="552"/>
      <c r="D137" s="552"/>
      <c r="E137" s="552"/>
      <c r="F137" s="552"/>
      <c r="G137" s="552"/>
      <c r="H137" s="552"/>
      <c r="I137" s="552"/>
      <c r="J137" s="552"/>
      <c r="N137" s="604"/>
    </row>
    <row r="138" spans="1:14" x14ac:dyDescent="0.2">
      <c r="A138" s="603"/>
      <c r="B138" s="552"/>
      <c r="C138" s="552"/>
      <c r="D138" s="552"/>
      <c r="E138" s="552"/>
      <c r="F138" s="552"/>
      <c r="G138" s="552"/>
      <c r="H138" s="552"/>
      <c r="I138" s="552"/>
      <c r="J138" s="552"/>
      <c r="N138" s="604"/>
    </row>
    <row r="139" spans="1:14" ht="12" thickBot="1" x14ac:dyDescent="0.25">
      <c r="A139" s="605"/>
      <c r="B139" s="606"/>
      <c r="C139" s="606"/>
      <c r="D139" s="606"/>
      <c r="E139" s="606"/>
      <c r="F139" s="606"/>
      <c r="G139" s="606"/>
      <c r="H139" s="606"/>
      <c r="I139" s="606"/>
      <c r="J139" s="606"/>
      <c r="K139" s="606"/>
      <c r="L139" s="606"/>
      <c r="M139" s="606"/>
      <c r="N139" s="607"/>
    </row>
    <row r="140" spans="1:14" x14ac:dyDescent="0.2">
      <c r="A140" s="600"/>
      <c r="B140" s="601"/>
      <c r="C140" s="601"/>
      <c r="D140" s="601"/>
      <c r="E140" s="601"/>
      <c r="F140" s="601"/>
      <c r="G140" s="601"/>
      <c r="H140" s="601"/>
      <c r="I140" s="601"/>
      <c r="J140" s="601"/>
      <c r="K140" s="601"/>
      <c r="L140" s="601"/>
      <c r="M140" s="601"/>
      <c r="N140" s="602"/>
    </row>
    <row r="141" spans="1:14" x14ac:dyDescent="0.2">
      <c r="A141" s="603"/>
      <c r="B141" s="552"/>
      <c r="C141" s="552"/>
      <c r="D141" s="552"/>
      <c r="E141" s="552"/>
      <c r="F141" s="552"/>
      <c r="G141" s="552"/>
      <c r="H141" s="552"/>
      <c r="I141" s="552"/>
      <c r="J141" s="552"/>
      <c r="N141" s="604"/>
    </row>
    <row r="142" spans="1:14" ht="12" thickBot="1" x14ac:dyDescent="0.25">
      <c r="A142" s="605"/>
      <c r="B142" s="606"/>
      <c r="C142" s="606"/>
      <c r="D142" s="606"/>
      <c r="E142" s="606"/>
      <c r="F142" s="606"/>
      <c r="G142" s="606"/>
      <c r="H142" s="606"/>
      <c r="I142" s="606"/>
      <c r="J142" s="606"/>
      <c r="K142" s="606"/>
      <c r="L142" s="606"/>
      <c r="M142" s="606"/>
      <c r="N142" s="607"/>
    </row>
    <row r="143" spans="1:14" x14ac:dyDescent="0.2">
      <c r="A143" s="600"/>
      <c r="B143" s="601"/>
      <c r="C143" s="601"/>
      <c r="D143" s="601"/>
      <c r="E143" s="601"/>
      <c r="F143" s="601"/>
      <c r="G143" s="601"/>
      <c r="H143" s="601"/>
      <c r="I143" s="601"/>
      <c r="J143" s="601"/>
      <c r="K143" s="601"/>
      <c r="L143" s="601"/>
      <c r="M143" s="601"/>
      <c r="N143" s="602"/>
    </row>
    <row r="144" spans="1:14" x14ac:dyDescent="0.2">
      <c r="A144" s="603"/>
      <c r="B144" s="552"/>
      <c r="C144" s="552"/>
      <c r="D144" s="552"/>
      <c r="E144" s="552"/>
      <c r="F144" s="552"/>
      <c r="G144" s="552"/>
      <c r="H144" s="552"/>
      <c r="I144" s="552"/>
      <c r="J144" s="552"/>
      <c r="N144" s="604"/>
    </row>
    <row r="145" spans="1:14" x14ac:dyDescent="0.2">
      <c r="A145" s="603"/>
      <c r="B145" s="552"/>
      <c r="C145" s="552"/>
      <c r="D145" s="552"/>
      <c r="E145" s="552"/>
      <c r="F145" s="552"/>
      <c r="G145" s="552"/>
      <c r="H145" s="552"/>
      <c r="I145" s="552"/>
      <c r="J145" s="552"/>
      <c r="N145" s="604"/>
    </row>
    <row r="146" spans="1:14" x14ac:dyDescent="0.2">
      <c r="A146" s="603"/>
      <c r="B146" s="552"/>
      <c r="C146" s="552"/>
      <c r="D146" s="552"/>
      <c r="E146" s="552"/>
      <c r="F146" s="552"/>
      <c r="G146" s="552"/>
      <c r="H146" s="552"/>
      <c r="I146" s="552"/>
      <c r="J146" s="552"/>
      <c r="N146" s="604"/>
    </row>
    <row r="147" spans="1:14" x14ac:dyDescent="0.2">
      <c r="A147" s="603"/>
      <c r="B147" s="552"/>
      <c r="C147" s="552"/>
      <c r="D147" s="552"/>
      <c r="E147" s="552"/>
      <c r="F147" s="552"/>
      <c r="G147" s="552"/>
      <c r="H147" s="552"/>
      <c r="I147" s="552"/>
      <c r="J147" s="552"/>
      <c r="N147" s="604"/>
    </row>
    <row r="148" spans="1:14" x14ac:dyDescent="0.2">
      <c r="A148" s="603"/>
      <c r="B148" s="552"/>
      <c r="C148" s="552"/>
      <c r="D148" s="552"/>
      <c r="E148" s="552"/>
      <c r="F148" s="552"/>
      <c r="G148" s="552"/>
      <c r="H148" s="552"/>
      <c r="I148" s="552"/>
      <c r="J148" s="552"/>
      <c r="N148" s="604"/>
    </row>
    <row r="149" spans="1:14" x14ac:dyDescent="0.2">
      <c r="A149" s="603"/>
      <c r="B149" s="552"/>
      <c r="C149" s="552"/>
      <c r="D149" s="552"/>
      <c r="E149" s="552"/>
      <c r="F149" s="552"/>
      <c r="G149" s="552"/>
      <c r="H149" s="552"/>
      <c r="I149" s="552"/>
      <c r="J149" s="552"/>
      <c r="N149" s="604"/>
    </row>
    <row r="150" spans="1:14" x14ac:dyDescent="0.2">
      <c r="A150" s="603"/>
      <c r="B150" s="552"/>
      <c r="C150" s="552"/>
      <c r="D150" s="552"/>
      <c r="E150" s="552"/>
      <c r="F150" s="552"/>
      <c r="G150" s="552"/>
      <c r="H150" s="552"/>
      <c r="I150" s="552"/>
      <c r="J150" s="552"/>
      <c r="N150" s="604"/>
    </row>
    <row r="151" spans="1:14" ht="12" thickBot="1" x14ac:dyDescent="0.25">
      <c r="A151" s="605"/>
      <c r="B151" s="606"/>
      <c r="C151" s="606"/>
      <c r="D151" s="606"/>
      <c r="E151" s="606"/>
      <c r="F151" s="606"/>
      <c r="G151" s="606"/>
      <c r="H151" s="606"/>
      <c r="I151" s="606"/>
      <c r="J151" s="606"/>
      <c r="K151" s="606"/>
      <c r="L151" s="606"/>
      <c r="M151" s="606"/>
      <c r="N151" s="607"/>
    </row>
    <row r="152" spans="1:14" x14ac:dyDescent="0.2">
      <c r="A152" s="603"/>
      <c r="B152" s="552"/>
      <c r="C152" s="552"/>
      <c r="D152" s="552"/>
      <c r="E152" s="552"/>
      <c r="F152" s="552"/>
      <c r="G152" s="552"/>
      <c r="H152" s="552"/>
      <c r="I152" s="552"/>
      <c r="J152" s="552"/>
      <c r="N152" s="604"/>
    </row>
    <row r="153" spans="1:14" x14ac:dyDescent="0.2">
      <c r="A153" s="603"/>
      <c r="B153" s="552"/>
      <c r="C153" s="552"/>
      <c r="D153" s="552"/>
      <c r="E153" s="552"/>
      <c r="F153" s="552"/>
      <c r="G153" s="552"/>
      <c r="H153" s="552"/>
      <c r="I153" s="552"/>
      <c r="J153" s="552"/>
      <c r="N153" s="604"/>
    </row>
    <row r="154" spans="1:14" ht="12" thickBot="1" x14ac:dyDescent="0.25">
      <c r="A154" s="605"/>
      <c r="B154" s="606"/>
      <c r="C154" s="606"/>
      <c r="D154" s="606"/>
      <c r="E154" s="606"/>
      <c r="F154" s="606"/>
      <c r="G154" s="606"/>
      <c r="H154" s="606"/>
      <c r="I154" s="606"/>
      <c r="J154" s="606"/>
      <c r="K154" s="606"/>
      <c r="L154" s="606"/>
      <c r="M154" s="606"/>
      <c r="N154" s="607"/>
    </row>
    <row r="155" spans="1:14" x14ac:dyDescent="0.2">
      <c r="A155" s="600"/>
      <c r="B155" s="601"/>
      <c r="C155" s="601"/>
      <c r="D155" s="601"/>
      <c r="E155" s="601"/>
      <c r="F155" s="601"/>
      <c r="G155" s="601"/>
      <c r="H155" s="601"/>
      <c r="I155" s="601"/>
      <c r="J155" s="601"/>
      <c r="K155" s="601"/>
      <c r="L155" s="601"/>
      <c r="M155" s="601"/>
      <c r="N155" s="602"/>
    </row>
    <row r="156" spans="1:14" x14ac:dyDescent="0.2">
      <c r="A156" s="603"/>
      <c r="B156" s="552"/>
      <c r="C156" s="552"/>
      <c r="D156" s="552"/>
      <c r="E156" s="552"/>
      <c r="F156" s="552"/>
      <c r="G156" s="552"/>
      <c r="H156" s="552"/>
      <c r="I156" s="552"/>
      <c r="J156" s="552"/>
      <c r="N156" s="604"/>
    </row>
    <row r="157" spans="1:14" x14ac:dyDescent="0.2">
      <c r="A157" s="603"/>
      <c r="B157" s="552"/>
      <c r="C157" s="552"/>
      <c r="D157" s="552"/>
      <c r="E157" s="552"/>
      <c r="F157" s="552"/>
      <c r="G157" s="552"/>
      <c r="H157" s="552"/>
      <c r="I157" s="552"/>
      <c r="J157" s="552"/>
      <c r="N157" s="604"/>
    </row>
    <row r="158" spans="1:14" x14ac:dyDescent="0.2">
      <c r="A158" s="603"/>
      <c r="B158" s="552"/>
      <c r="C158" s="552"/>
      <c r="D158" s="552"/>
      <c r="E158" s="552"/>
      <c r="F158" s="552"/>
      <c r="G158" s="552"/>
      <c r="H158" s="552"/>
      <c r="I158" s="552"/>
      <c r="J158" s="552"/>
      <c r="N158" s="604"/>
    </row>
    <row r="159" spans="1:14" x14ac:dyDescent="0.2">
      <c r="A159" s="603"/>
      <c r="B159" s="552"/>
      <c r="C159" s="552"/>
      <c r="D159" s="552"/>
      <c r="E159" s="552"/>
      <c r="F159" s="552"/>
      <c r="G159" s="552"/>
      <c r="H159" s="552"/>
      <c r="I159" s="552"/>
      <c r="J159" s="552"/>
      <c r="N159" s="604"/>
    </row>
    <row r="160" spans="1:14" x14ac:dyDescent="0.2">
      <c r="A160" s="603"/>
      <c r="B160" s="552"/>
      <c r="C160" s="552"/>
      <c r="D160" s="552"/>
      <c r="E160" s="552"/>
      <c r="F160" s="552"/>
      <c r="G160" s="552"/>
      <c r="H160" s="552"/>
      <c r="I160" s="552"/>
      <c r="J160" s="552"/>
      <c r="N160" s="604"/>
    </row>
    <row r="161" spans="1:14" x14ac:dyDescent="0.2">
      <c r="A161" s="603"/>
      <c r="B161" s="552"/>
      <c r="C161" s="552"/>
      <c r="D161" s="552"/>
      <c r="E161" s="552"/>
      <c r="F161" s="552"/>
      <c r="G161" s="552"/>
      <c r="H161" s="552"/>
      <c r="I161" s="552"/>
      <c r="J161" s="552"/>
      <c r="N161" s="604"/>
    </row>
    <row r="162" spans="1:14" x14ac:dyDescent="0.2">
      <c r="A162" s="603"/>
      <c r="B162" s="552"/>
      <c r="C162" s="552"/>
      <c r="D162" s="552"/>
      <c r="E162" s="552"/>
      <c r="F162" s="552"/>
      <c r="G162" s="552"/>
      <c r="H162" s="552"/>
      <c r="I162" s="552"/>
      <c r="J162" s="552"/>
      <c r="N162" s="604"/>
    </row>
    <row r="163" spans="1:14" x14ac:dyDescent="0.2">
      <c r="A163" s="603"/>
      <c r="B163" s="552"/>
      <c r="C163" s="552"/>
      <c r="D163" s="552"/>
      <c r="E163" s="552"/>
      <c r="F163" s="552"/>
      <c r="G163" s="552"/>
      <c r="H163" s="552"/>
      <c r="I163" s="552"/>
      <c r="J163" s="552"/>
      <c r="N163" s="604"/>
    </row>
    <row r="164" spans="1:14" x14ac:dyDescent="0.2">
      <c r="A164" s="603"/>
      <c r="B164" s="552"/>
      <c r="C164" s="552"/>
      <c r="D164" s="552"/>
      <c r="E164" s="552"/>
      <c r="F164" s="552"/>
      <c r="G164" s="552"/>
      <c r="H164" s="552"/>
      <c r="I164" s="552"/>
      <c r="J164" s="552"/>
      <c r="N164" s="604"/>
    </row>
    <row r="165" spans="1:14" x14ac:dyDescent="0.2">
      <c r="A165" s="603"/>
      <c r="B165" s="552"/>
      <c r="C165" s="552"/>
      <c r="D165" s="552"/>
      <c r="E165" s="552"/>
      <c r="F165" s="552"/>
      <c r="G165" s="552"/>
      <c r="H165" s="552"/>
      <c r="I165" s="552"/>
      <c r="J165" s="552"/>
      <c r="N165" s="604"/>
    </row>
    <row r="166" spans="1:14" ht="12" thickBot="1" x14ac:dyDescent="0.25">
      <c r="A166" s="605"/>
      <c r="B166" s="606"/>
      <c r="C166" s="606"/>
      <c r="D166" s="606"/>
      <c r="E166" s="606"/>
      <c r="F166" s="606"/>
      <c r="G166" s="606"/>
      <c r="H166" s="606"/>
      <c r="I166" s="606"/>
      <c r="J166" s="606"/>
      <c r="K166" s="606"/>
      <c r="L166" s="606"/>
      <c r="M166" s="606"/>
      <c r="N166" s="607"/>
    </row>
    <row r="167" spans="1:14" x14ac:dyDescent="0.2">
      <c r="A167" s="600"/>
      <c r="B167" s="601"/>
      <c r="C167" s="601"/>
      <c r="D167" s="601"/>
      <c r="E167" s="601"/>
      <c r="F167" s="601"/>
      <c r="G167" s="601"/>
      <c r="H167" s="601"/>
      <c r="I167" s="601"/>
      <c r="J167" s="601"/>
      <c r="K167" s="601"/>
      <c r="L167" s="601"/>
      <c r="M167" s="601"/>
      <c r="N167" s="602"/>
    </row>
    <row r="168" spans="1:14" x14ac:dyDescent="0.2">
      <c r="A168" s="603"/>
      <c r="B168" s="552"/>
      <c r="C168" s="552"/>
      <c r="D168" s="552"/>
      <c r="E168" s="552"/>
      <c r="F168" s="552"/>
      <c r="G168" s="552"/>
      <c r="H168" s="552"/>
      <c r="I168" s="552"/>
      <c r="J168" s="552"/>
      <c r="N168" s="604"/>
    </row>
    <row r="169" spans="1:14" x14ac:dyDescent="0.2">
      <c r="A169" s="603"/>
      <c r="B169" s="552"/>
      <c r="C169" s="552"/>
      <c r="D169" s="552"/>
      <c r="E169" s="552"/>
      <c r="F169" s="552"/>
      <c r="G169" s="552"/>
      <c r="H169" s="552"/>
      <c r="I169" s="552"/>
      <c r="J169" s="552"/>
      <c r="N169" s="604"/>
    </row>
    <row r="170" spans="1:14" x14ac:dyDescent="0.2">
      <c r="A170" s="603"/>
      <c r="B170" s="552"/>
      <c r="C170" s="552"/>
      <c r="D170" s="552"/>
      <c r="E170" s="552"/>
      <c r="F170" s="552"/>
      <c r="G170" s="552"/>
      <c r="H170" s="552"/>
      <c r="I170" s="552"/>
      <c r="J170" s="552"/>
      <c r="N170" s="604"/>
    </row>
    <row r="171" spans="1:14" x14ac:dyDescent="0.2">
      <c r="A171" s="603"/>
      <c r="B171" s="552"/>
      <c r="C171" s="552"/>
      <c r="D171" s="552"/>
      <c r="E171" s="552"/>
      <c r="F171" s="552"/>
      <c r="G171" s="552"/>
      <c r="H171" s="552"/>
      <c r="I171" s="552"/>
      <c r="J171" s="552"/>
      <c r="N171" s="604"/>
    </row>
    <row r="172" spans="1:14" ht="12" thickBot="1" x14ac:dyDescent="0.25">
      <c r="A172" s="603"/>
      <c r="B172" s="552"/>
      <c r="C172" s="552"/>
      <c r="D172" s="552"/>
      <c r="E172" s="552"/>
      <c r="F172" s="552"/>
      <c r="G172" s="552"/>
      <c r="H172" s="552"/>
      <c r="I172" s="552"/>
      <c r="J172" s="552"/>
      <c r="N172" s="604"/>
    </row>
    <row r="173" spans="1:14" x14ac:dyDescent="0.2">
      <c r="A173" s="600"/>
      <c r="B173" s="601"/>
      <c r="C173" s="601"/>
      <c r="D173" s="601"/>
      <c r="E173" s="601"/>
      <c r="F173" s="601"/>
      <c r="G173" s="601"/>
      <c r="H173" s="601"/>
      <c r="I173" s="601"/>
      <c r="J173" s="601"/>
      <c r="K173" s="601"/>
      <c r="L173" s="601"/>
      <c r="M173" s="601"/>
      <c r="N173" s="602"/>
    </row>
    <row r="174" spans="1:14" x14ac:dyDescent="0.2">
      <c r="A174" s="603"/>
      <c r="B174" s="552"/>
      <c r="C174" s="552"/>
      <c r="D174" s="552"/>
      <c r="E174" s="552"/>
      <c r="F174" s="552"/>
      <c r="G174" s="552"/>
      <c r="H174" s="552"/>
      <c r="I174" s="552"/>
      <c r="J174" s="552"/>
      <c r="N174" s="604"/>
    </row>
    <row r="175" spans="1:14" x14ac:dyDescent="0.2">
      <c r="A175" s="603"/>
      <c r="B175" s="552"/>
      <c r="C175" s="552"/>
      <c r="D175" s="552"/>
      <c r="E175" s="552"/>
      <c r="F175" s="552"/>
      <c r="G175" s="552"/>
      <c r="H175" s="552"/>
      <c r="I175" s="552"/>
      <c r="J175" s="552"/>
      <c r="N175" s="604"/>
    </row>
    <row r="176" spans="1:14" x14ac:dyDescent="0.2">
      <c r="A176" s="603"/>
      <c r="B176" s="552"/>
      <c r="C176" s="552"/>
      <c r="D176" s="552"/>
      <c r="E176" s="552"/>
      <c r="F176" s="552"/>
      <c r="G176" s="552"/>
      <c r="H176" s="552"/>
      <c r="I176" s="552"/>
      <c r="J176" s="552"/>
      <c r="N176" s="604"/>
    </row>
    <row r="177" spans="1:14" x14ac:dyDescent="0.2">
      <c r="A177" s="603"/>
      <c r="B177" s="552"/>
      <c r="C177" s="552"/>
      <c r="D177" s="552"/>
      <c r="E177" s="552"/>
      <c r="F177" s="552"/>
      <c r="G177" s="552"/>
      <c r="H177" s="552"/>
      <c r="I177" s="552"/>
      <c r="J177" s="552"/>
      <c r="N177" s="604"/>
    </row>
    <row r="178" spans="1:14" ht="12" thickBot="1" x14ac:dyDescent="0.25">
      <c r="A178" s="605"/>
      <c r="B178" s="606"/>
      <c r="C178" s="606"/>
      <c r="D178" s="606"/>
      <c r="E178" s="606"/>
      <c r="F178" s="606"/>
      <c r="G178" s="606"/>
      <c r="H178" s="606"/>
      <c r="I178" s="606"/>
      <c r="J178" s="606"/>
      <c r="K178" s="606"/>
      <c r="L178" s="606"/>
      <c r="M178" s="606"/>
      <c r="N178" s="607"/>
    </row>
    <row r="179" spans="1:14" x14ac:dyDescent="0.2">
      <c r="A179" s="600"/>
      <c r="B179" s="601"/>
      <c r="C179" s="601"/>
      <c r="D179" s="601"/>
      <c r="E179" s="601"/>
      <c r="F179" s="601"/>
      <c r="G179" s="601"/>
      <c r="H179" s="601"/>
      <c r="I179" s="601"/>
      <c r="J179" s="601"/>
      <c r="K179" s="601"/>
      <c r="L179" s="601"/>
      <c r="M179" s="601"/>
      <c r="N179" s="602"/>
    </row>
    <row r="180" spans="1:14" x14ac:dyDescent="0.2">
      <c r="A180" s="603"/>
      <c r="B180" s="552"/>
      <c r="C180" s="552"/>
      <c r="D180" s="552"/>
      <c r="E180" s="552"/>
      <c r="F180" s="552"/>
      <c r="G180" s="552"/>
      <c r="H180" s="552"/>
      <c r="I180" s="552"/>
      <c r="J180" s="552"/>
      <c r="N180" s="604"/>
    </row>
    <row r="181" spans="1:14" ht="12" thickBot="1" x14ac:dyDescent="0.25">
      <c r="A181" s="605"/>
      <c r="B181" s="606"/>
      <c r="C181" s="606"/>
      <c r="D181" s="606"/>
      <c r="E181" s="606"/>
      <c r="F181" s="606"/>
      <c r="G181" s="606"/>
      <c r="H181" s="606"/>
      <c r="I181" s="606"/>
      <c r="J181" s="606"/>
      <c r="K181" s="606"/>
      <c r="L181" s="606"/>
      <c r="M181" s="606"/>
      <c r="N181" s="607"/>
    </row>
    <row r="182" spans="1:14" x14ac:dyDescent="0.2">
      <c r="A182" s="600"/>
      <c r="B182" s="601"/>
      <c r="C182" s="601"/>
      <c r="D182" s="601"/>
      <c r="E182" s="601"/>
      <c r="F182" s="601"/>
      <c r="G182" s="601"/>
      <c r="H182" s="601"/>
      <c r="I182" s="601"/>
      <c r="J182" s="601"/>
      <c r="K182" s="601"/>
      <c r="L182" s="601"/>
      <c r="M182" s="601"/>
      <c r="N182" s="602"/>
    </row>
    <row r="183" spans="1:14" x14ac:dyDescent="0.2">
      <c r="A183" s="603"/>
      <c r="B183" s="552"/>
      <c r="C183" s="552"/>
      <c r="D183" s="552"/>
      <c r="E183" s="552"/>
      <c r="F183" s="552"/>
      <c r="G183" s="552"/>
      <c r="H183" s="552"/>
      <c r="I183" s="552"/>
      <c r="J183" s="552"/>
      <c r="N183" s="604"/>
    </row>
    <row r="184" spans="1:14" x14ac:dyDescent="0.2">
      <c r="A184" s="603"/>
      <c r="B184" s="552"/>
      <c r="C184" s="552"/>
      <c r="D184" s="552"/>
      <c r="E184" s="552"/>
      <c r="F184" s="552"/>
      <c r="G184" s="552"/>
      <c r="H184" s="552"/>
      <c r="I184" s="552"/>
      <c r="J184" s="552"/>
      <c r="N184" s="604"/>
    </row>
    <row r="185" spans="1:14" x14ac:dyDescent="0.2">
      <c r="A185" s="603"/>
      <c r="B185" s="552"/>
      <c r="C185" s="552"/>
      <c r="D185" s="552"/>
      <c r="E185" s="552"/>
      <c r="F185" s="552"/>
      <c r="G185" s="552"/>
      <c r="H185" s="552"/>
      <c r="I185" s="552"/>
      <c r="J185" s="552"/>
      <c r="N185" s="604"/>
    </row>
    <row r="186" spans="1:14" x14ac:dyDescent="0.2">
      <c r="A186" s="603"/>
      <c r="B186" s="552"/>
      <c r="C186" s="552"/>
      <c r="D186" s="552"/>
      <c r="E186" s="552"/>
      <c r="F186" s="552"/>
      <c r="G186" s="552"/>
      <c r="H186" s="552"/>
      <c r="I186" s="552"/>
      <c r="J186" s="552"/>
      <c r="N186" s="604"/>
    </row>
    <row r="187" spans="1:14" x14ac:dyDescent="0.2">
      <c r="A187" s="603"/>
      <c r="B187" s="552"/>
      <c r="C187" s="552"/>
      <c r="D187" s="552"/>
      <c r="E187" s="552"/>
      <c r="F187" s="552"/>
      <c r="G187" s="552"/>
      <c r="H187" s="552"/>
      <c r="I187" s="552"/>
      <c r="J187" s="552"/>
      <c r="N187" s="604"/>
    </row>
    <row r="188" spans="1:14" x14ac:dyDescent="0.2">
      <c r="A188" s="603"/>
      <c r="B188" s="552"/>
      <c r="C188" s="552"/>
      <c r="D188" s="552"/>
      <c r="E188" s="552"/>
      <c r="F188" s="552"/>
      <c r="G188" s="552"/>
      <c r="H188" s="552"/>
      <c r="I188" s="552"/>
      <c r="J188" s="552"/>
      <c r="N188" s="604"/>
    </row>
    <row r="189" spans="1:14" x14ac:dyDescent="0.2">
      <c r="A189" s="603"/>
      <c r="B189" s="552"/>
      <c r="C189" s="552"/>
      <c r="D189" s="552"/>
      <c r="E189" s="552"/>
      <c r="F189" s="552"/>
      <c r="G189" s="552"/>
      <c r="H189" s="552"/>
      <c r="I189" s="552"/>
      <c r="J189" s="552"/>
      <c r="N189" s="604"/>
    </row>
    <row r="190" spans="1:14" ht="12" thickBot="1" x14ac:dyDescent="0.25">
      <c r="A190" s="605"/>
      <c r="B190" s="606"/>
      <c r="C190" s="606"/>
      <c r="D190" s="606"/>
      <c r="E190" s="606"/>
      <c r="F190" s="606"/>
      <c r="G190" s="606"/>
      <c r="H190" s="606"/>
      <c r="I190" s="606"/>
      <c r="J190" s="606"/>
      <c r="K190" s="606"/>
      <c r="L190" s="606"/>
      <c r="M190" s="606"/>
      <c r="N190" s="607"/>
    </row>
    <row r="191" spans="1:14" x14ac:dyDescent="0.2">
      <c r="A191" s="600"/>
      <c r="B191" s="601"/>
      <c r="C191" s="601"/>
      <c r="D191" s="601"/>
      <c r="E191" s="601"/>
      <c r="F191" s="601"/>
      <c r="G191" s="601"/>
      <c r="H191" s="601"/>
      <c r="I191" s="601"/>
      <c r="J191" s="601"/>
      <c r="K191" s="601"/>
      <c r="L191" s="601"/>
      <c r="M191" s="601"/>
      <c r="N191" s="602"/>
    </row>
    <row r="192" spans="1:14" x14ac:dyDescent="0.2">
      <c r="A192" s="603"/>
      <c r="B192" s="552"/>
      <c r="C192" s="552"/>
      <c r="D192" s="552"/>
      <c r="E192" s="552"/>
      <c r="F192" s="552"/>
      <c r="G192" s="552"/>
      <c r="H192" s="552"/>
      <c r="I192" s="552"/>
      <c r="J192" s="552"/>
      <c r="N192" s="604"/>
    </row>
    <row r="193" spans="1:14" x14ac:dyDescent="0.2">
      <c r="A193" s="603"/>
      <c r="B193" s="552"/>
      <c r="C193" s="552"/>
      <c r="D193" s="552"/>
      <c r="E193" s="552"/>
      <c r="F193" s="552"/>
      <c r="G193" s="552"/>
      <c r="H193" s="552"/>
      <c r="I193" s="552"/>
      <c r="J193" s="552"/>
      <c r="N193" s="604"/>
    </row>
    <row r="194" spans="1:14" x14ac:dyDescent="0.2">
      <c r="A194" s="603"/>
      <c r="B194" s="552"/>
      <c r="C194" s="552"/>
      <c r="D194" s="552"/>
      <c r="E194" s="552"/>
      <c r="F194" s="552"/>
      <c r="G194" s="552"/>
      <c r="H194" s="552"/>
      <c r="I194" s="552"/>
      <c r="J194" s="552"/>
      <c r="N194" s="604"/>
    </row>
    <row r="195" spans="1:14" x14ac:dyDescent="0.2">
      <c r="A195" s="603"/>
      <c r="B195" s="552"/>
      <c r="C195" s="552"/>
      <c r="D195" s="552"/>
      <c r="E195" s="552"/>
      <c r="F195" s="552"/>
      <c r="G195" s="552"/>
      <c r="H195" s="552"/>
      <c r="I195" s="552"/>
      <c r="J195" s="552"/>
      <c r="N195" s="604"/>
    </row>
    <row r="196" spans="1:14" x14ac:dyDescent="0.2">
      <c r="A196" s="603"/>
      <c r="B196" s="552"/>
      <c r="C196" s="552"/>
      <c r="D196" s="552"/>
      <c r="E196" s="552"/>
      <c r="F196" s="552"/>
      <c r="G196" s="552"/>
      <c r="H196" s="552"/>
      <c r="I196" s="552"/>
      <c r="J196" s="552"/>
      <c r="N196" s="604"/>
    </row>
    <row r="197" spans="1:14" x14ac:dyDescent="0.2">
      <c r="A197" s="603"/>
      <c r="B197" s="552"/>
      <c r="C197" s="552"/>
      <c r="D197" s="552"/>
      <c r="E197" s="552"/>
      <c r="F197" s="552"/>
      <c r="G197" s="552"/>
      <c r="H197" s="552"/>
      <c r="I197" s="552"/>
      <c r="J197" s="552"/>
      <c r="N197" s="604"/>
    </row>
    <row r="198" spans="1:14" x14ac:dyDescent="0.2">
      <c r="A198" s="603"/>
      <c r="B198" s="552"/>
      <c r="C198" s="552"/>
      <c r="D198" s="552"/>
      <c r="E198" s="552"/>
      <c r="F198" s="552"/>
      <c r="G198" s="552"/>
      <c r="H198" s="552"/>
      <c r="I198" s="552"/>
      <c r="J198" s="552"/>
      <c r="N198" s="604"/>
    </row>
    <row r="199" spans="1:14" x14ac:dyDescent="0.2">
      <c r="A199" s="603"/>
      <c r="B199" s="552"/>
      <c r="C199" s="552"/>
      <c r="D199" s="552"/>
      <c r="E199" s="552"/>
      <c r="F199" s="552"/>
      <c r="G199" s="552"/>
      <c r="H199" s="552"/>
      <c r="I199" s="552"/>
      <c r="J199" s="552"/>
      <c r="N199" s="604"/>
    </row>
    <row r="200" spans="1:14" x14ac:dyDescent="0.2">
      <c r="A200" s="603"/>
      <c r="B200" s="552"/>
      <c r="C200" s="552"/>
      <c r="D200" s="552"/>
      <c r="E200" s="552"/>
      <c r="F200" s="552"/>
      <c r="G200" s="552"/>
      <c r="H200" s="552"/>
      <c r="I200" s="552"/>
      <c r="J200" s="552"/>
      <c r="N200" s="604"/>
    </row>
    <row r="201" spans="1:14" x14ac:dyDescent="0.2">
      <c r="A201" s="603"/>
      <c r="B201" s="552"/>
      <c r="C201" s="552"/>
      <c r="D201" s="552"/>
      <c r="E201" s="552"/>
      <c r="F201" s="552"/>
      <c r="G201" s="552"/>
      <c r="H201" s="552"/>
      <c r="I201" s="552"/>
      <c r="J201" s="552"/>
      <c r="N201" s="604"/>
    </row>
    <row r="202" spans="1:14" ht="12" thickBot="1" x14ac:dyDescent="0.25">
      <c r="A202" s="605"/>
      <c r="B202" s="606"/>
      <c r="C202" s="606"/>
      <c r="D202" s="606"/>
      <c r="E202" s="606"/>
      <c r="F202" s="606"/>
      <c r="G202" s="606"/>
      <c r="H202" s="606"/>
      <c r="I202" s="606"/>
      <c r="J202" s="606"/>
      <c r="K202" s="606"/>
      <c r="L202" s="606"/>
      <c r="M202" s="606"/>
      <c r="N202" s="607"/>
    </row>
    <row r="203" spans="1:14" x14ac:dyDescent="0.2">
      <c r="E203" s="552"/>
      <c r="F203" s="552"/>
      <c r="G203" s="552"/>
      <c r="H203" s="552"/>
      <c r="I203" s="552"/>
      <c r="J203" s="552"/>
      <c r="N203" s="599"/>
    </row>
    <row r="204" spans="1:14" x14ac:dyDescent="0.2">
      <c r="E204" s="552"/>
      <c r="F204" s="552"/>
      <c r="G204" s="552"/>
      <c r="H204" s="552"/>
      <c r="I204" s="552"/>
      <c r="J204" s="552"/>
      <c r="N204" s="599"/>
    </row>
    <row r="205" spans="1:14" x14ac:dyDescent="0.2">
      <c r="E205" s="552"/>
      <c r="F205" s="552"/>
      <c r="G205" s="552"/>
      <c r="H205" s="552"/>
      <c r="I205" s="552"/>
      <c r="J205" s="552"/>
      <c r="N205" s="599"/>
    </row>
    <row r="206" spans="1:14" x14ac:dyDescent="0.2">
      <c r="E206" s="552"/>
      <c r="F206" s="552"/>
      <c r="G206" s="552"/>
      <c r="H206" s="552"/>
      <c r="I206" s="552"/>
      <c r="J206" s="552"/>
      <c r="N206" s="599"/>
    </row>
    <row r="207" spans="1:14" x14ac:dyDescent="0.2">
      <c r="E207" s="552"/>
      <c r="F207" s="552"/>
      <c r="G207" s="552"/>
      <c r="H207" s="552"/>
      <c r="I207" s="552"/>
      <c r="J207" s="552"/>
      <c r="N207" s="599"/>
    </row>
    <row r="208" spans="1:14" x14ac:dyDescent="0.2">
      <c r="E208" s="552"/>
      <c r="F208" s="552"/>
      <c r="G208" s="552"/>
      <c r="H208" s="552"/>
      <c r="I208" s="552"/>
      <c r="J208" s="552"/>
      <c r="N208" s="599"/>
    </row>
    <row r="209" spans="1:14" x14ac:dyDescent="0.2">
      <c r="E209" s="552"/>
      <c r="F209" s="552"/>
      <c r="G209" s="552"/>
      <c r="H209" s="552"/>
      <c r="I209" s="552"/>
      <c r="J209" s="552"/>
      <c r="N209" s="599"/>
    </row>
    <row r="210" spans="1:14" x14ac:dyDescent="0.2">
      <c r="E210" s="552"/>
      <c r="F210" s="552"/>
      <c r="G210" s="552"/>
      <c r="H210" s="552"/>
      <c r="I210" s="552"/>
      <c r="J210" s="552"/>
      <c r="N210" s="599"/>
    </row>
    <row r="211" spans="1:14" x14ac:dyDescent="0.2">
      <c r="E211" s="552"/>
      <c r="F211" s="552"/>
      <c r="G211" s="552"/>
      <c r="H211" s="552"/>
      <c r="I211" s="552"/>
      <c r="J211" s="552"/>
      <c r="N211" s="599"/>
    </row>
    <row r="212" spans="1:14" x14ac:dyDescent="0.2">
      <c r="E212" s="552"/>
      <c r="F212" s="552"/>
      <c r="G212" s="552"/>
      <c r="H212" s="552"/>
      <c r="I212" s="552"/>
      <c r="J212" s="552"/>
      <c r="N212" s="599"/>
    </row>
    <row r="213" spans="1:14" x14ac:dyDescent="0.2">
      <c r="E213" s="552"/>
      <c r="F213" s="552"/>
      <c r="G213" s="552"/>
      <c r="H213" s="552"/>
      <c r="I213" s="552"/>
      <c r="J213" s="552"/>
      <c r="N213" s="599"/>
    </row>
    <row r="214" spans="1:14" ht="12" thickBot="1" x14ac:dyDescent="0.25">
      <c r="E214" s="552"/>
      <c r="F214" s="552"/>
      <c r="G214" s="552"/>
      <c r="H214" s="552"/>
      <c r="I214" s="552"/>
      <c r="J214" s="552"/>
      <c r="N214" s="599"/>
    </row>
    <row r="215" spans="1:14" x14ac:dyDescent="0.2">
      <c r="A215" s="600"/>
      <c r="B215" s="601"/>
      <c r="C215" s="601"/>
      <c r="D215" s="601"/>
      <c r="E215" s="601"/>
      <c r="F215" s="601"/>
      <c r="G215" s="601"/>
      <c r="H215" s="601"/>
      <c r="I215" s="601"/>
      <c r="J215" s="601"/>
      <c r="K215" s="601"/>
      <c r="L215" s="601"/>
      <c r="M215" s="601"/>
      <c r="N215" s="602"/>
    </row>
    <row r="216" spans="1:14" x14ac:dyDescent="0.2">
      <c r="A216" s="603"/>
      <c r="B216" s="552"/>
      <c r="C216" s="552"/>
      <c r="D216" s="552"/>
      <c r="E216" s="552"/>
      <c r="F216" s="552"/>
      <c r="G216" s="552"/>
      <c r="H216" s="552"/>
      <c r="I216" s="552"/>
      <c r="J216" s="552"/>
      <c r="N216" s="604"/>
    </row>
    <row r="217" spans="1:14" x14ac:dyDescent="0.2">
      <c r="A217" s="603"/>
      <c r="B217" s="552"/>
      <c r="C217" s="552"/>
      <c r="D217" s="552"/>
      <c r="E217" s="552"/>
      <c r="F217" s="552"/>
      <c r="G217" s="552"/>
      <c r="H217" s="552"/>
      <c r="I217" s="552"/>
      <c r="J217" s="552"/>
      <c r="N217" s="604"/>
    </row>
    <row r="218" spans="1:14" x14ac:dyDescent="0.2">
      <c r="A218" s="603"/>
      <c r="B218" s="552"/>
      <c r="C218" s="552"/>
      <c r="D218" s="552"/>
      <c r="E218" s="552"/>
      <c r="F218" s="552"/>
      <c r="G218" s="552"/>
      <c r="H218" s="552"/>
      <c r="I218" s="552"/>
      <c r="J218" s="552"/>
      <c r="N218" s="604"/>
    </row>
    <row r="219" spans="1:14" x14ac:dyDescent="0.2">
      <c r="A219" s="603"/>
      <c r="B219" s="552"/>
      <c r="C219" s="552"/>
      <c r="D219" s="552"/>
      <c r="E219" s="552"/>
      <c r="F219" s="552"/>
      <c r="G219" s="552"/>
      <c r="H219" s="552"/>
      <c r="I219" s="552"/>
      <c r="J219" s="552"/>
      <c r="N219" s="604"/>
    </row>
    <row r="220" spans="1:14" x14ac:dyDescent="0.2">
      <c r="A220" s="603"/>
      <c r="B220" s="552"/>
      <c r="C220" s="552"/>
      <c r="D220" s="552"/>
      <c r="E220" s="552"/>
      <c r="F220" s="552"/>
      <c r="G220" s="552"/>
      <c r="H220" s="552"/>
      <c r="I220" s="552"/>
      <c r="J220" s="552"/>
      <c r="N220" s="604"/>
    </row>
    <row r="221" spans="1:14" x14ac:dyDescent="0.2">
      <c r="A221" s="603"/>
      <c r="B221" s="552"/>
      <c r="C221" s="552"/>
      <c r="D221" s="552"/>
      <c r="E221" s="552"/>
      <c r="F221" s="552"/>
      <c r="G221" s="552"/>
      <c r="H221" s="552"/>
      <c r="I221" s="552"/>
      <c r="J221" s="552"/>
      <c r="N221" s="604"/>
    </row>
    <row r="222" spans="1:14" x14ac:dyDescent="0.2">
      <c r="A222" s="603"/>
      <c r="B222" s="552"/>
      <c r="C222" s="552"/>
      <c r="D222" s="552"/>
      <c r="E222" s="552"/>
      <c r="F222" s="552"/>
      <c r="G222" s="552"/>
      <c r="H222" s="552"/>
      <c r="I222" s="552"/>
      <c r="J222" s="552"/>
      <c r="N222" s="604"/>
    </row>
    <row r="223" spans="1:14" ht="12" thickBot="1" x14ac:dyDescent="0.25">
      <c r="A223" s="605"/>
      <c r="B223" s="606"/>
      <c r="C223" s="606"/>
      <c r="D223" s="606"/>
      <c r="E223" s="606"/>
      <c r="F223" s="606"/>
      <c r="G223" s="606"/>
      <c r="H223" s="606"/>
      <c r="I223" s="606"/>
      <c r="J223" s="606"/>
      <c r="K223" s="606"/>
      <c r="L223" s="606"/>
      <c r="M223" s="606"/>
      <c r="N223" s="607"/>
    </row>
    <row r="224" spans="1:14" x14ac:dyDescent="0.2">
      <c r="A224" s="600"/>
      <c r="B224" s="601"/>
      <c r="C224" s="601"/>
      <c r="D224" s="601"/>
      <c r="E224" s="601"/>
      <c r="F224" s="601"/>
      <c r="G224" s="601"/>
      <c r="H224" s="601"/>
      <c r="I224" s="601"/>
      <c r="J224" s="601"/>
      <c r="K224" s="601"/>
      <c r="L224" s="601"/>
      <c r="M224" s="601"/>
      <c r="N224" s="602"/>
    </row>
    <row r="225" spans="1:14" x14ac:dyDescent="0.2">
      <c r="A225" s="603"/>
      <c r="B225" s="552"/>
      <c r="C225" s="552"/>
      <c r="D225" s="552"/>
      <c r="E225" s="552"/>
      <c r="F225" s="552"/>
      <c r="G225" s="552"/>
      <c r="H225" s="552"/>
      <c r="I225" s="552"/>
      <c r="J225" s="552"/>
      <c r="N225" s="604"/>
    </row>
    <row r="226" spans="1:14" x14ac:dyDescent="0.2">
      <c r="A226" s="603"/>
      <c r="B226" s="552"/>
      <c r="C226" s="552"/>
      <c r="D226" s="552"/>
      <c r="E226" s="552"/>
      <c r="F226" s="552"/>
      <c r="G226" s="552"/>
      <c r="H226" s="552"/>
      <c r="I226" s="552"/>
      <c r="J226" s="552"/>
      <c r="N226" s="604"/>
    </row>
    <row r="227" spans="1:14" x14ac:dyDescent="0.2">
      <c r="A227" s="603"/>
      <c r="B227" s="552"/>
      <c r="C227" s="552"/>
      <c r="D227" s="552"/>
      <c r="E227" s="552"/>
      <c r="F227" s="552"/>
      <c r="G227" s="552"/>
      <c r="H227" s="552"/>
      <c r="I227" s="552"/>
      <c r="J227" s="552"/>
      <c r="N227" s="604"/>
    </row>
    <row r="228" spans="1:14" x14ac:dyDescent="0.2">
      <c r="A228" s="603"/>
      <c r="B228" s="552"/>
      <c r="C228" s="552"/>
      <c r="D228" s="552"/>
      <c r="E228" s="552"/>
      <c r="F228" s="552"/>
      <c r="G228" s="552"/>
      <c r="H228" s="552"/>
      <c r="I228" s="552"/>
      <c r="J228" s="552"/>
      <c r="N228" s="604"/>
    </row>
    <row r="229" spans="1:14" x14ac:dyDescent="0.2">
      <c r="A229" s="603"/>
      <c r="B229" s="552"/>
      <c r="C229" s="552"/>
      <c r="D229" s="552"/>
      <c r="E229" s="552"/>
      <c r="F229" s="552"/>
      <c r="G229" s="552"/>
      <c r="H229" s="552"/>
      <c r="I229" s="552"/>
      <c r="J229" s="552"/>
      <c r="N229" s="604"/>
    </row>
    <row r="230" spans="1:14" x14ac:dyDescent="0.2">
      <c r="A230" s="603"/>
      <c r="B230" s="552"/>
      <c r="C230" s="552"/>
      <c r="D230" s="552"/>
      <c r="E230" s="552"/>
      <c r="F230" s="552"/>
      <c r="G230" s="552"/>
      <c r="H230" s="552"/>
      <c r="I230" s="552"/>
      <c r="J230" s="552"/>
      <c r="N230" s="604"/>
    </row>
    <row r="231" spans="1:14" x14ac:dyDescent="0.2">
      <c r="A231" s="603"/>
      <c r="B231" s="552"/>
      <c r="C231" s="552"/>
      <c r="D231" s="552"/>
      <c r="E231" s="552"/>
      <c r="F231" s="552"/>
      <c r="G231" s="552"/>
      <c r="H231" s="552"/>
      <c r="I231" s="552"/>
      <c r="J231" s="552"/>
      <c r="N231" s="604"/>
    </row>
    <row r="232" spans="1:14" x14ac:dyDescent="0.2">
      <c r="A232" s="603"/>
      <c r="B232" s="552"/>
      <c r="C232" s="552"/>
      <c r="D232" s="552"/>
      <c r="E232" s="552"/>
      <c r="F232" s="552"/>
      <c r="G232" s="552"/>
      <c r="H232" s="552"/>
      <c r="I232" s="552"/>
      <c r="J232" s="552"/>
      <c r="N232" s="604"/>
    </row>
    <row r="233" spans="1:14" x14ac:dyDescent="0.2">
      <c r="A233" s="603"/>
      <c r="B233" s="552"/>
      <c r="C233" s="552"/>
      <c r="D233" s="552"/>
      <c r="E233" s="552"/>
      <c r="F233" s="552"/>
      <c r="G233" s="552"/>
      <c r="H233" s="552"/>
      <c r="I233" s="552"/>
      <c r="J233" s="552"/>
      <c r="N233" s="604"/>
    </row>
    <row r="234" spans="1:14" x14ac:dyDescent="0.2">
      <c r="A234" s="603"/>
      <c r="B234" s="552"/>
      <c r="C234" s="552"/>
      <c r="D234" s="552"/>
      <c r="E234" s="552"/>
      <c r="F234" s="552"/>
      <c r="G234" s="552"/>
      <c r="H234" s="552"/>
      <c r="I234" s="552"/>
      <c r="J234" s="552"/>
      <c r="N234" s="604"/>
    </row>
    <row r="235" spans="1:14" ht="12" thickBot="1" x14ac:dyDescent="0.25">
      <c r="A235" s="605"/>
      <c r="B235" s="606"/>
      <c r="C235" s="606"/>
      <c r="D235" s="606"/>
      <c r="E235" s="606"/>
      <c r="F235" s="606"/>
      <c r="G235" s="606"/>
      <c r="H235" s="606"/>
      <c r="I235" s="606"/>
      <c r="J235" s="606"/>
      <c r="K235" s="606"/>
      <c r="L235" s="606"/>
      <c r="M235" s="606"/>
      <c r="N235" s="607"/>
    </row>
    <row r="236" spans="1:14" x14ac:dyDescent="0.2">
      <c r="E236" s="552"/>
      <c r="F236" s="552"/>
      <c r="G236" s="552"/>
      <c r="H236" s="552"/>
      <c r="I236" s="552"/>
      <c r="J236" s="552"/>
      <c r="N236" s="599"/>
    </row>
    <row r="237" spans="1:14" x14ac:dyDescent="0.2">
      <c r="E237" s="552"/>
      <c r="F237" s="552"/>
      <c r="G237" s="552"/>
      <c r="H237" s="552"/>
      <c r="I237" s="552"/>
      <c r="J237" s="552"/>
      <c r="N237" s="599"/>
    </row>
    <row r="238" spans="1:14" x14ac:dyDescent="0.2">
      <c r="E238" s="552"/>
      <c r="F238" s="552"/>
      <c r="G238" s="552"/>
      <c r="H238" s="552"/>
      <c r="I238" s="552"/>
      <c r="J238" s="552"/>
      <c r="N238" s="599"/>
    </row>
    <row r="239" spans="1:14" x14ac:dyDescent="0.2">
      <c r="E239" s="552"/>
      <c r="F239" s="552"/>
      <c r="G239" s="552"/>
      <c r="H239" s="552"/>
      <c r="I239" s="552"/>
      <c r="J239" s="552"/>
      <c r="N239" s="599"/>
    </row>
    <row r="240" spans="1:14" x14ac:dyDescent="0.2">
      <c r="E240" s="552"/>
      <c r="F240" s="552"/>
      <c r="G240" s="552"/>
      <c r="H240" s="552"/>
      <c r="I240" s="552"/>
      <c r="J240" s="552"/>
      <c r="N240" s="599"/>
    </row>
    <row r="241" spans="5:14" x14ac:dyDescent="0.2">
      <c r="E241" s="552"/>
      <c r="F241" s="552"/>
      <c r="G241" s="552"/>
      <c r="H241" s="552"/>
      <c r="I241" s="552"/>
      <c r="J241" s="552"/>
      <c r="N241" s="599"/>
    </row>
    <row r="242" spans="5:14" x14ac:dyDescent="0.2">
      <c r="E242" s="552"/>
      <c r="F242" s="552"/>
      <c r="G242" s="552"/>
      <c r="H242" s="552"/>
      <c r="I242" s="552"/>
      <c r="J242" s="552"/>
      <c r="N242" s="599"/>
    </row>
    <row r="243" spans="5:14" x14ac:dyDescent="0.2">
      <c r="E243" s="552"/>
      <c r="F243" s="552"/>
      <c r="G243" s="552"/>
      <c r="H243" s="552"/>
      <c r="I243" s="552"/>
      <c r="J243" s="552"/>
      <c r="N243" s="599"/>
    </row>
    <row r="244" spans="5:14" x14ac:dyDescent="0.2">
      <c r="E244" s="552"/>
      <c r="F244" s="552"/>
      <c r="G244" s="552"/>
      <c r="H244" s="552"/>
      <c r="I244" s="552"/>
      <c r="J244" s="552"/>
      <c r="N244" s="599"/>
    </row>
    <row r="245" spans="5:14" x14ac:dyDescent="0.2">
      <c r="E245" s="552"/>
      <c r="F245" s="552"/>
      <c r="G245" s="552"/>
      <c r="H245" s="552"/>
      <c r="I245" s="552"/>
      <c r="J245" s="552"/>
      <c r="N245" s="599"/>
    </row>
    <row r="246" spans="5:14" x14ac:dyDescent="0.2">
      <c r="E246" s="552"/>
      <c r="F246" s="552"/>
      <c r="G246" s="552"/>
      <c r="H246" s="552"/>
      <c r="I246" s="552"/>
      <c r="J246" s="552"/>
      <c r="N246" s="599"/>
    </row>
    <row r="247" spans="5:14" x14ac:dyDescent="0.2">
      <c r="E247" s="552"/>
      <c r="F247" s="552"/>
      <c r="G247" s="552"/>
      <c r="H247" s="552"/>
      <c r="I247" s="552"/>
      <c r="J247" s="552"/>
      <c r="N247" s="599"/>
    </row>
    <row r="248" spans="5:14" x14ac:dyDescent="0.2">
      <c r="E248" s="552"/>
      <c r="F248" s="552"/>
      <c r="G248" s="552"/>
      <c r="H248" s="552"/>
      <c r="I248" s="552"/>
      <c r="J248" s="552"/>
      <c r="N248" s="599"/>
    </row>
    <row r="249" spans="5:14" x14ac:dyDescent="0.2">
      <c r="E249" s="552"/>
      <c r="F249" s="552"/>
      <c r="G249" s="552"/>
      <c r="H249" s="552"/>
      <c r="I249" s="552"/>
      <c r="J249" s="552"/>
      <c r="N249" s="599"/>
    </row>
    <row r="250" spans="5:14" x14ac:dyDescent="0.2">
      <c r="E250" s="552"/>
      <c r="F250" s="552"/>
      <c r="G250" s="552"/>
      <c r="H250" s="552"/>
      <c r="I250" s="552"/>
      <c r="J250" s="552"/>
      <c r="N250" s="599"/>
    </row>
    <row r="251" spans="5:14" x14ac:dyDescent="0.2">
      <c r="E251" s="552"/>
      <c r="F251" s="552"/>
      <c r="G251" s="552"/>
      <c r="H251" s="552"/>
      <c r="I251" s="552"/>
      <c r="J251" s="552"/>
      <c r="N251" s="599"/>
    </row>
    <row r="252" spans="5:14" x14ac:dyDescent="0.2">
      <c r="E252" s="552"/>
      <c r="F252" s="552"/>
      <c r="G252" s="552"/>
      <c r="H252" s="552"/>
      <c r="I252" s="552"/>
      <c r="J252" s="552"/>
      <c r="N252" s="599"/>
    </row>
    <row r="253" spans="5:14" x14ac:dyDescent="0.2">
      <c r="E253" s="552"/>
      <c r="F253" s="552"/>
      <c r="G253" s="552"/>
      <c r="H253" s="552"/>
      <c r="I253" s="552"/>
      <c r="J253" s="552"/>
      <c r="N253" s="599"/>
    </row>
    <row r="254" spans="5:14" x14ac:dyDescent="0.2">
      <c r="E254" s="552"/>
      <c r="F254" s="552"/>
      <c r="G254" s="552"/>
      <c r="H254" s="552"/>
      <c r="I254" s="552"/>
      <c r="J254" s="552"/>
      <c r="N254" s="599"/>
    </row>
    <row r="255" spans="5:14" x14ac:dyDescent="0.2">
      <c r="E255" s="552"/>
      <c r="F255" s="552"/>
      <c r="G255" s="552"/>
      <c r="H255" s="552"/>
      <c r="I255" s="552"/>
      <c r="J255" s="552"/>
      <c r="N255" s="599"/>
    </row>
    <row r="256" spans="5:14" ht="12" thickBot="1" x14ac:dyDescent="0.25">
      <c r="E256" s="552"/>
      <c r="F256" s="552"/>
      <c r="G256" s="552"/>
      <c r="H256" s="552"/>
      <c r="I256" s="552"/>
      <c r="J256" s="552"/>
      <c r="N256" s="599"/>
    </row>
    <row r="257" spans="1:14" x14ac:dyDescent="0.2">
      <c r="A257" s="600"/>
      <c r="B257" s="601"/>
      <c r="C257" s="601"/>
      <c r="D257" s="601"/>
      <c r="E257" s="601"/>
      <c r="F257" s="601"/>
      <c r="G257" s="601"/>
      <c r="H257" s="601"/>
      <c r="I257" s="601"/>
      <c r="J257" s="601"/>
      <c r="K257" s="601"/>
      <c r="L257" s="601"/>
      <c r="M257" s="601"/>
      <c r="N257" s="602"/>
    </row>
    <row r="258" spans="1:14" x14ac:dyDescent="0.2">
      <c r="A258" s="603"/>
      <c r="B258" s="552"/>
      <c r="C258" s="552"/>
      <c r="D258" s="552"/>
      <c r="E258" s="552"/>
      <c r="F258" s="552"/>
      <c r="G258" s="552"/>
      <c r="H258" s="552"/>
      <c r="I258" s="552"/>
      <c r="J258" s="552"/>
      <c r="N258" s="604"/>
    </row>
    <row r="259" spans="1:14" x14ac:dyDescent="0.2">
      <c r="A259" s="603"/>
      <c r="B259" s="552"/>
      <c r="C259" s="552"/>
      <c r="D259" s="552"/>
      <c r="E259" s="552"/>
      <c r="F259" s="552"/>
      <c r="G259" s="552"/>
      <c r="H259" s="552"/>
      <c r="I259" s="552"/>
      <c r="J259" s="552"/>
      <c r="N259" s="604"/>
    </row>
    <row r="260" spans="1:14" x14ac:dyDescent="0.2">
      <c r="A260" s="603"/>
      <c r="B260" s="552"/>
      <c r="C260" s="552"/>
      <c r="D260" s="552"/>
      <c r="E260" s="552"/>
      <c r="F260" s="552"/>
      <c r="G260" s="552"/>
      <c r="H260" s="552"/>
      <c r="I260" s="552"/>
      <c r="J260" s="552"/>
      <c r="N260" s="604"/>
    </row>
    <row r="261" spans="1:14" x14ac:dyDescent="0.2">
      <c r="A261" s="603"/>
      <c r="B261" s="552"/>
      <c r="C261" s="552"/>
      <c r="D261" s="552"/>
      <c r="E261" s="552"/>
      <c r="F261" s="552"/>
      <c r="G261" s="552"/>
      <c r="H261" s="552"/>
      <c r="I261" s="552"/>
      <c r="J261" s="552"/>
      <c r="N261" s="604"/>
    </row>
    <row r="262" spans="1:14" x14ac:dyDescent="0.2">
      <c r="A262" s="603"/>
      <c r="B262" s="552"/>
      <c r="C262" s="552"/>
      <c r="D262" s="552"/>
      <c r="E262" s="552"/>
      <c r="F262" s="552"/>
      <c r="G262" s="552"/>
      <c r="H262" s="552"/>
      <c r="I262" s="552"/>
      <c r="J262" s="552"/>
      <c r="N262" s="604"/>
    </row>
    <row r="263" spans="1:14" x14ac:dyDescent="0.2">
      <c r="A263" s="603"/>
      <c r="B263" s="552"/>
      <c r="C263" s="552"/>
      <c r="D263" s="552"/>
      <c r="E263" s="552"/>
      <c r="F263" s="552"/>
      <c r="G263" s="552"/>
      <c r="H263" s="552"/>
      <c r="I263" s="552"/>
      <c r="J263" s="552"/>
      <c r="N263" s="604"/>
    </row>
    <row r="264" spans="1:14" x14ac:dyDescent="0.2">
      <c r="A264" s="603"/>
      <c r="B264" s="552"/>
      <c r="C264" s="552"/>
      <c r="D264" s="552"/>
      <c r="E264" s="552"/>
      <c r="F264" s="552"/>
      <c r="G264" s="552"/>
      <c r="H264" s="552"/>
      <c r="I264" s="552"/>
      <c r="J264" s="552"/>
      <c r="N264" s="604"/>
    </row>
    <row r="265" spans="1:14" ht="12" thickBot="1" x14ac:dyDescent="0.25">
      <c r="A265" s="605"/>
      <c r="B265" s="606"/>
      <c r="C265" s="606"/>
      <c r="D265" s="606"/>
      <c r="E265" s="606"/>
      <c r="F265" s="606"/>
      <c r="G265" s="606"/>
      <c r="H265" s="606"/>
      <c r="I265" s="606"/>
      <c r="J265" s="606"/>
      <c r="K265" s="606"/>
      <c r="L265" s="606"/>
      <c r="M265" s="606"/>
      <c r="N265" s="607"/>
    </row>
    <row r="266" spans="1:14" x14ac:dyDescent="0.2">
      <c r="A266" s="600"/>
      <c r="B266" s="601"/>
      <c r="C266" s="601"/>
      <c r="D266" s="601"/>
      <c r="E266" s="601"/>
      <c r="F266" s="601"/>
      <c r="G266" s="601"/>
      <c r="H266" s="601"/>
      <c r="I266" s="601"/>
      <c r="J266" s="601"/>
      <c r="K266" s="601"/>
      <c r="L266" s="601"/>
      <c r="M266" s="601"/>
      <c r="N266" s="602"/>
    </row>
    <row r="267" spans="1:14" x14ac:dyDescent="0.2">
      <c r="A267" s="603"/>
      <c r="B267" s="552"/>
      <c r="C267" s="552"/>
      <c r="D267" s="552"/>
      <c r="E267" s="552"/>
      <c r="F267" s="552"/>
      <c r="G267" s="552"/>
      <c r="H267" s="552"/>
      <c r="I267" s="552"/>
      <c r="J267" s="552"/>
      <c r="N267" s="604"/>
    </row>
    <row r="268" spans="1:14" x14ac:dyDescent="0.2">
      <c r="A268" s="603"/>
      <c r="B268" s="552"/>
      <c r="C268" s="552"/>
      <c r="D268" s="552"/>
      <c r="E268" s="552"/>
      <c r="F268" s="552"/>
      <c r="G268" s="552"/>
      <c r="H268" s="552"/>
      <c r="I268" s="552"/>
      <c r="J268" s="552"/>
      <c r="N268" s="604"/>
    </row>
    <row r="269" spans="1:14" x14ac:dyDescent="0.2">
      <c r="A269" s="603"/>
      <c r="B269" s="552"/>
      <c r="C269" s="552"/>
      <c r="D269" s="552"/>
      <c r="E269" s="552"/>
      <c r="F269" s="552"/>
      <c r="G269" s="552"/>
      <c r="H269" s="552"/>
      <c r="I269" s="552"/>
      <c r="J269" s="552"/>
      <c r="N269" s="604"/>
    </row>
    <row r="270" spans="1:14" x14ac:dyDescent="0.2">
      <c r="A270" s="603"/>
      <c r="B270" s="552"/>
      <c r="C270" s="552"/>
      <c r="D270" s="552"/>
      <c r="E270" s="552"/>
      <c r="F270" s="552"/>
      <c r="G270" s="552"/>
      <c r="H270" s="552"/>
      <c r="I270" s="552"/>
      <c r="J270" s="552"/>
      <c r="N270" s="604"/>
    </row>
    <row r="271" spans="1:14" x14ac:dyDescent="0.2">
      <c r="A271" s="603"/>
      <c r="B271" s="552"/>
      <c r="C271" s="552"/>
      <c r="D271" s="552"/>
      <c r="E271" s="552"/>
      <c r="F271" s="552"/>
      <c r="G271" s="552"/>
      <c r="H271" s="552"/>
      <c r="I271" s="552"/>
      <c r="J271" s="552"/>
      <c r="N271" s="604"/>
    </row>
    <row r="272" spans="1:14" x14ac:dyDescent="0.2">
      <c r="A272" s="603"/>
      <c r="B272" s="552"/>
      <c r="C272" s="552"/>
      <c r="D272" s="552"/>
      <c r="E272" s="552"/>
      <c r="F272" s="552"/>
      <c r="G272" s="552"/>
      <c r="H272" s="552"/>
      <c r="I272" s="552"/>
      <c r="J272" s="552"/>
      <c r="N272" s="604"/>
    </row>
    <row r="273" spans="1:14" x14ac:dyDescent="0.2">
      <c r="A273" s="603"/>
      <c r="B273" s="552"/>
      <c r="C273" s="552"/>
      <c r="D273" s="552"/>
      <c r="E273" s="552"/>
      <c r="F273" s="552"/>
      <c r="G273" s="552"/>
      <c r="H273" s="552"/>
      <c r="I273" s="552"/>
      <c r="J273" s="552"/>
      <c r="N273" s="604"/>
    </row>
    <row r="274" spans="1:14" ht="12" thickBot="1" x14ac:dyDescent="0.25">
      <c r="A274" s="605"/>
      <c r="B274" s="606"/>
      <c r="C274" s="606"/>
      <c r="D274" s="606"/>
      <c r="E274" s="606"/>
      <c r="F274" s="606"/>
      <c r="G274" s="606"/>
      <c r="H274" s="606"/>
      <c r="I274" s="606"/>
      <c r="J274" s="606"/>
      <c r="K274" s="606"/>
      <c r="L274" s="606"/>
      <c r="M274" s="606"/>
      <c r="N274" s="607"/>
    </row>
    <row r="275" spans="1:14" x14ac:dyDescent="0.2">
      <c r="E275" s="552"/>
      <c r="F275" s="552"/>
      <c r="G275" s="552"/>
      <c r="H275" s="552"/>
      <c r="I275" s="552"/>
      <c r="J275" s="552"/>
      <c r="N275" s="599"/>
    </row>
    <row r="276" spans="1:14" x14ac:dyDescent="0.2">
      <c r="E276" s="552"/>
      <c r="F276" s="552"/>
      <c r="G276" s="552"/>
      <c r="H276" s="552"/>
      <c r="I276" s="552"/>
      <c r="J276" s="552"/>
      <c r="N276" s="599"/>
    </row>
    <row r="277" spans="1:14" x14ac:dyDescent="0.2">
      <c r="E277" s="552"/>
      <c r="F277" s="552"/>
      <c r="G277" s="552"/>
      <c r="H277" s="552"/>
      <c r="I277" s="552"/>
      <c r="J277" s="552"/>
      <c r="N277" s="599"/>
    </row>
    <row r="278" spans="1:14" x14ac:dyDescent="0.2">
      <c r="E278" s="552"/>
      <c r="F278" s="552"/>
      <c r="G278" s="552"/>
      <c r="H278" s="552"/>
      <c r="I278" s="552"/>
      <c r="J278" s="552"/>
      <c r="N278" s="599"/>
    </row>
    <row r="279" spans="1:14" x14ac:dyDescent="0.2">
      <c r="E279" s="552"/>
      <c r="F279" s="552"/>
      <c r="G279" s="552"/>
      <c r="H279" s="552"/>
      <c r="I279" s="552"/>
      <c r="J279" s="552"/>
      <c r="N279" s="599"/>
    </row>
    <row r="280" spans="1:14" x14ac:dyDescent="0.2">
      <c r="E280" s="552"/>
      <c r="F280" s="552"/>
      <c r="G280" s="552"/>
      <c r="H280" s="552"/>
      <c r="I280" s="552"/>
      <c r="J280" s="552"/>
      <c r="N280" s="599"/>
    </row>
    <row r="281" spans="1:14" x14ac:dyDescent="0.2">
      <c r="E281" s="552"/>
      <c r="F281" s="552"/>
      <c r="G281" s="552"/>
      <c r="H281" s="552"/>
      <c r="I281" s="552"/>
      <c r="J281" s="552"/>
      <c r="N281" s="599"/>
    </row>
    <row r="282" spans="1:14" x14ac:dyDescent="0.2">
      <c r="E282" s="552"/>
      <c r="F282" s="552"/>
      <c r="G282" s="552"/>
      <c r="H282" s="552"/>
      <c r="I282" s="552"/>
      <c r="J282" s="552"/>
      <c r="N282" s="599"/>
    </row>
    <row r="283" spans="1:14" x14ac:dyDescent="0.2">
      <c r="E283" s="552"/>
      <c r="F283" s="552"/>
      <c r="G283" s="552"/>
      <c r="H283" s="552"/>
      <c r="I283" s="552"/>
      <c r="J283" s="552"/>
      <c r="N283" s="599"/>
    </row>
    <row r="284" spans="1:14" x14ac:dyDescent="0.2">
      <c r="E284" s="552"/>
      <c r="F284" s="552"/>
      <c r="G284" s="552"/>
      <c r="H284" s="552"/>
      <c r="I284" s="552"/>
      <c r="J284" s="552"/>
      <c r="N284" s="599"/>
    </row>
    <row r="285" spans="1:14" x14ac:dyDescent="0.2">
      <c r="E285" s="552"/>
      <c r="F285" s="552"/>
      <c r="G285" s="552"/>
      <c r="H285" s="552"/>
      <c r="I285" s="552"/>
      <c r="J285" s="552"/>
      <c r="N285" s="599"/>
    </row>
    <row r="286" spans="1:14" x14ac:dyDescent="0.2">
      <c r="E286" s="552"/>
      <c r="F286" s="552"/>
      <c r="G286" s="552"/>
      <c r="H286" s="552"/>
      <c r="I286" s="552"/>
      <c r="J286" s="552"/>
      <c r="N286" s="599"/>
    </row>
    <row r="287" spans="1:14" x14ac:dyDescent="0.2">
      <c r="E287" s="552"/>
      <c r="F287" s="552"/>
      <c r="G287" s="552"/>
      <c r="H287" s="552"/>
      <c r="I287" s="552"/>
      <c r="J287" s="552"/>
      <c r="N287" s="599"/>
    </row>
    <row r="288" spans="1:14" x14ac:dyDescent="0.2">
      <c r="E288" s="552"/>
      <c r="F288" s="552"/>
      <c r="G288" s="552"/>
      <c r="H288" s="552"/>
      <c r="I288" s="552"/>
      <c r="J288" s="552"/>
      <c r="N288" s="599"/>
    </row>
    <row r="289" spans="1:14" x14ac:dyDescent="0.2">
      <c r="E289" s="552"/>
      <c r="F289" s="552"/>
      <c r="G289" s="552"/>
      <c r="H289" s="552"/>
      <c r="I289" s="552"/>
      <c r="J289" s="552"/>
      <c r="N289" s="599"/>
    </row>
    <row r="290" spans="1:14" x14ac:dyDescent="0.2">
      <c r="E290" s="552"/>
      <c r="F290" s="552"/>
      <c r="G290" s="552"/>
      <c r="H290" s="552"/>
      <c r="I290" s="552"/>
      <c r="J290" s="552"/>
      <c r="N290" s="599"/>
    </row>
    <row r="291" spans="1:14" x14ac:dyDescent="0.2">
      <c r="E291" s="552"/>
      <c r="F291" s="552"/>
      <c r="G291" s="552"/>
      <c r="H291" s="552"/>
      <c r="I291" s="552"/>
      <c r="J291" s="552"/>
      <c r="N291" s="599"/>
    </row>
    <row r="292" spans="1:14" ht="12" thickBot="1" x14ac:dyDescent="0.25">
      <c r="E292" s="552"/>
      <c r="F292" s="552"/>
      <c r="G292" s="552"/>
      <c r="H292" s="552"/>
      <c r="I292" s="552"/>
      <c r="J292" s="552"/>
      <c r="N292" s="599"/>
    </row>
    <row r="293" spans="1:14" x14ac:dyDescent="0.2">
      <c r="A293" s="600"/>
      <c r="B293" s="601"/>
      <c r="C293" s="601"/>
      <c r="D293" s="601"/>
      <c r="E293" s="601"/>
      <c r="F293" s="601"/>
      <c r="G293" s="601"/>
      <c r="H293" s="601"/>
      <c r="I293" s="601"/>
      <c r="J293" s="601"/>
      <c r="K293" s="601"/>
      <c r="L293" s="601"/>
      <c r="M293" s="601"/>
      <c r="N293" s="602"/>
    </row>
    <row r="294" spans="1:14" x14ac:dyDescent="0.2">
      <c r="A294" s="603"/>
      <c r="B294" s="552"/>
      <c r="C294" s="552"/>
      <c r="D294" s="552"/>
      <c r="E294" s="552"/>
      <c r="F294" s="552"/>
      <c r="G294" s="552"/>
      <c r="H294" s="552"/>
      <c r="I294" s="552"/>
      <c r="J294" s="552"/>
      <c r="N294" s="604"/>
    </row>
    <row r="295" spans="1:14" x14ac:dyDescent="0.2">
      <c r="A295" s="603"/>
      <c r="B295" s="552"/>
      <c r="C295" s="552"/>
      <c r="D295" s="552"/>
      <c r="E295" s="552"/>
      <c r="F295" s="552"/>
      <c r="G295" s="552"/>
      <c r="H295" s="552"/>
      <c r="I295" s="552"/>
      <c r="J295" s="552"/>
      <c r="N295" s="604"/>
    </row>
    <row r="296" spans="1:14" x14ac:dyDescent="0.2">
      <c r="A296" s="603"/>
      <c r="B296" s="552"/>
      <c r="C296" s="552"/>
      <c r="D296" s="552"/>
      <c r="E296" s="552"/>
      <c r="F296" s="552"/>
      <c r="G296" s="552"/>
      <c r="H296" s="552"/>
      <c r="I296" s="552"/>
      <c r="J296" s="552"/>
      <c r="N296" s="604"/>
    </row>
    <row r="297" spans="1:14" x14ac:dyDescent="0.2">
      <c r="A297" s="603"/>
      <c r="B297" s="552"/>
      <c r="C297" s="552"/>
      <c r="D297" s="552"/>
      <c r="E297" s="552"/>
      <c r="F297" s="552"/>
      <c r="G297" s="552"/>
      <c r="H297" s="552"/>
      <c r="I297" s="552"/>
      <c r="J297" s="552"/>
      <c r="N297" s="604"/>
    </row>
    <row r="298" spans="1:14" x14ac:dyDescent="0.2">
      <c r="A298" s="603"/>
      <c r="B298" s="552"/>
      <c r="C298" s="552"/>
      <c r="D298" s="552"/>
      <c r="E298" s="552"/>
      <c r="F298" s="552"/>
      <c r="G298" s="552"/>
      <c r="H298" s="552"/>
      <c r="I298" s="552"/>
      <c r="J298" s="552"/>
      <c r="N298" s="604"/>
    </row>
    <row r="299" spans="1:14" x14ac:dyDescent="0.2">
      <c r="A299" s="603"/>
      <c r="B299" s="552"/>
      <c r="C299" s="552"/>
      <c r="D299" s="552"/>
      <c r="E299" s="552"/>
      <c r="F299" s="552"/>
      <c r="G299" s="552"/>
      <c r="H299" s="552"/>
      <c r="I299" s="552"/>
      <c r="J299" s="552"/>
      <c r="N299" s="604"/>
    </row>
    <row r="300" spans="1:14" x14ac:dyDescent="0.2">
      <c r="A300" s="603"/>
      <c r="B300" s="552"/>
      <c r="C300" s="552"/>
      <c r="D300" s="552"/>
      <c r="E300" s="552"/>
      <c r="F300" s="552"/>
      <c r="G300" s="552"/>
      <c r="H300" s="552"/>
      <c r="I300" s="552"/>
      <c r="J300" s="552"/>
      <c r="N300" s="604"/>
    </row>
    <row r="301" spans="1:14" ht="12" thickBot="1" x14ac:dyDescent="0.25">
      <c r="A301" s="605"/>
      <c r="B301" s="606"/>
      <c r="C301" s="606"/>
      <c r="D301" s="606"/>
      <c r="E301" s="606"/>
      <c r="F301" s="606"/>
      <c r="G301" s="606"/>
      <c r="H301" s="606"/>
      <c r="I301" s="606"/>
      <c r="J301" s="606"/>
      <c r="K301" s="606"/>
      <c r="L301" s="606"/>
      <c r="M301" s="606"/>
      <c r="N301" s="607"/>
    </row>
    <row r="302" spans="1:14" x14ac:dyDescent="0.2">
      <c r="A302" s="600"/>
      <c r="B302" s="601"/>
      <c r="C302" s="601"/>
      <c r="D302" s="601"/>
      <c r="E302" s="601"/>
      <c r="F302" s="601"/>
      <c r="G302" s="601"/>
      <c r="H302" s="601"/>
      <c r="I302" s="601"/>
      <c r="J302" s="601"/>
      <c r="K302" s="601"/>
      <c r="L302" s="601"/>
      <c r="M302" s="601"/>
      <c r="N302" s="602"/>
    </row>
    <row r="303" spans="1:14" x14ac:dyDescent="0.2">
      <c r="A303" s="603"/>
      <c r="B303" s="552"/>
      <c r="C303" s="552"/>
      <c r="D303" s="552"/>
      <c r="E303" s="552"/>
      <c r="F303" s="552"/>
      <c r="G303" s="552"/>
      <c r="H303" s="552"/>
      <c r="I303" s="552"/>
      <c r="J303" s="552"/>
      <c r="N303" s="604"/>
    </row>
    <row r="304" spans="1:14" x14ac:dyDescent="0.2">
      <c r="A304" s="603"/>
      <c r="B304" s="552"/>
      <c r="C304" s="552"/>
      <c r="D304" s="552"/>
      <c r="E304" s="552"/>
      <c r="F304" s="552"/>
      <c r="G304" s="552"/>
      <c r="H304" s="552"/>
      <c r="I304" s="552"/>
      <c r="J304" s="552"/>
      <c r="N304" s="604"/>
    </row>
    <row r="305" spans="1:14" x14ac:dyDescent="0.2">
      <c r="A305" s="603"/>
      <c r="B305" s="552"/>
      <c r="C305" s="552"/>
      <c r="D305" s="552"/>
      <c r="E305" s="552"/>
      <c r="F305" s="552"/>
      <c r="G305" s="552"/>
      <c r="H305" s="552"/>
      <c r="I305" s="552"/>
      <c r="J305" s="552"/>
      <c r="N305" s="604"/>
    </row>
    <row r="306" spans="1:14" x14ac:dyDescent="0.2">
      <c r="A306" s="603"/>
      <c r="B306" s="552"/>
      <c r="C306" s="552"/>
      <c r="D306" s="552"/>
      <c r="E306" s="552"/>
      <c r="F306" s="552"/>
      <c r="G306" s="552"/>
      <c r="H306" s="552"/>
      <c r="I306" s="552"/>
      <c r="J306" s="552"/>
      <c r="N306" s="604"/>
    </row>
    <row r="307" spans="1:14" x14ac:dyDescent="0.2">
      <c r="A307" s="603"/>
      <c r="B307" s="552"/>
      <c r="C307" s="552"/>
      <c r="D307" s="552"/>
      <c r="E307" s="552"/>
      <c r="F307" s="552"/>
      <c r="G307" s="552"/>
      <c r="H307" s="552"/>
      <c r="I307" s="552"/>
      <c r="J307" s="552"/>
      <c r="N307" s="604"/>
    </row>
    <row r="308" spans="1:14" x14ac:dyDescent="0.2">
      <c r="A308" s="603"/>
      <c r="B308" s="552"/>
      <c r="C308" s="552"/>
      <c r="D308" s="552"/>
      <c r="E308" s="552"/>
      <c r="F308" s="552"/>
      <c r="G308" s="552"/>
      <c r="H308" s="552"/>
      <c r="I308" s="552"/>
      <c r="J308" s="552"/>
      <c r="N308" s="604"/>
    </row>
    <row r="309" spans="1:14" x14ac:dyDescent="0.2">
      <c r="A309" s="603"/>
      <c r="B309" s="552"/>
      <c r="C309" s="552"/>
      <c r="D309" s="552"/>
      <c r="E309" s="552"/>
      <c r="F309" s="552"/>
      <c r="G309" s="552"/>
      <c r="H309" s="552"/>
      <c r="I309" s="552"/>
      <c r="J309" s="552"/>
      <c r="N309" s="604"/>
    </row>
    <row r="310" spans="1:14" ht="12" thickBot="1" x14ac:dyDescent="0.25">
      <c r="A310" s="605"/>
      <c r="B310" s="606"/>
      <c r="C310" s="606"/>
      <c r="D310" s="606"/>
      <c r="E310" s="606"/>
      <c r="F310" s="606"/>
      <c r="G310" s="606"/>
      <c r="H310" s="606"/>
      <c r="I310" s="606"/>
      <c r="J310" s="606"/>
      <c r="K310" s="606"/>
      <c r="L310" s="606"/>
      <c r="M310" s="606"/>
      <c r="N310" s="607"/>
    </row>
    <row r="311" spans="1:14" x14ac:dyDescent="0.2">
      <c r="E311" s="552"/>
      <c r="F311" s="552"/>
      <c r="G311" s="552"/>
      <c r="H311" s="552"/>
      <c r="I311" s="552"/>
      <c r="J311" s="552"/>
      <c r="N311" s="599"/>
    </row>
    <row r="312" spans="1:14" x14ac:dyDescent="0.2">
      <c r="E312" s="552"/>
      <c r="F312" s="552"/>
      <c r="G312" s="552"/>
      <c r="H312" s="552"/>
      <c r="I312" s="552"/>
      <c r="J312" s="552"/>
      <c r="N312" s="599"/>
    </row>
    <row r="313" spans="1:14" x14ac:dyDescent="0.2">
      <c r="E313" s="552"/>
      <c r="F313" s="552"/>
      <c r="G313" s="552"/>
      <c r="H313" s="552"/>
      <c r="I313" s="552"/>
      <c r="J313" s="552"/>
      <c r="N313" s="599"/>
    </row>
    <row r="314" spans="1:14" x14ac:dyDescent="0.2">
      <c r="E314" s="552"/>
      <c r="F314" s="552"/>
      <c r="G314" s="552"/>
      <c r="H314" s="552"/>
      <c r="I314" s="552"/>
      <c r="J314" s="552"/>
      <c r="N314" s="599"/>
    </row>
    <row r="315" spans="1:14" x14ac:dyDescent="0.2">
      <c r="E315" s="552"/>
      <c r="F315" s="552"/>
      <c r="G315" s="552"/>
      <c r="H315" s="552"/>
      <c r="I315" s="552"/>
      <c r="J315" s="552"/>
      <c r="N315" s="599"/>
    </row>
    <row r="316" spans="1:14" x14ac:dyDescent="0.2">
      <c r="E316" s="552"/>
      <c r="F316" s="552"/>
      <c r="G316" s="552"/>
      <c r="H316" s="552"/>
      <c r="I316" s="552"/>
      <c r="J316" s="552"/>
      <c r="N316" s="599"/>
    </row>
    <row r="317" spans="1:14" x14ac:dyDescent="0.2">
      <c r="E317" s="552"/>
      <c r="F317" s="552"/>
      <c r="G317" s="552"/>
      <c r="H317" s="552"/>
      <c r="I317" s="552"/>
      <c r="J317" s="552"/>
      <c r="N317" s="599"/>
    </row>
    <row r="318" spans="1:14" x14ac:dyDescent="0.2">
      <c r="E318" s="552"/>
      <c r="F318" s="552"/>
      <c r="G318" s="552"/>
      <c r="H318" s="552"/>
      <c r="I318" s="552"/>
      <c r="J318" s="552"/>
      <c r="N318" s="599"/>
    </row>
    <row r="319" spans="1:14" x14ac:dyDescent="0.2">
      <c r="E319" s="552"/>
      <c r="F319" s="552"/>
      <c r="G319" s="552"/>
      <c r="H319" s="552"/>
      <c r="I319" s="552"/>
      <c r="J319" s="552"/>
      <c r="N319" s="599"/>
    </row>
    <row r="320" spans="1:14" x14ac:dyDescent="0.2">
      <c r="E320" s="552"/>
      <c r="F320" s="552"/>
      <c r="G320" s="552"/>
      <c r="H320" s="552"/>
      <c r="I320" s="552"/>
      <c r="J320" s="552"/>
      <c r="N320" s="599"/>
    </row>
    <row r="321" spans="1:14" x14ac:dyDescent="0.2">
      <c r="E321" s="552"/>
      <c r="F321" s="552"/>
      <c r="G321" s="552"/>
      <c r="H321" s="552"/>
      <c r="I321" s="552"/>
      <c r="J321" s="552"/>
      <c r="N321" s="599"/>
    </row>
    <row r="322" spans="1:14" x14ac:dyDescent="0.2">
      <c r="E322" s="552"/>
      <c r="F322" s="552"/>
      <c r="G322" s="552"/>
      <c r="H322" s="552"/>
      <c r="I322" s="552"/>
      <c r="J322" s="552"/>
      <c r="N322" s="599"/>
    </row>
    <row r="323" spans="1:14" x14ac:dyDescent="0.2">
      <c r="E323" s="552"/>
      <c r="F323" s="552"/>
      <c r="G323" s="552"/>
      <c r="H323" s="552"/>
      <c r="I323" s="552"/>
      <c r="J323" s="552"/>
      <c r="N323" s="599"/>
    </row>
    <row r="324" spans="1:14" x14ac:dyDescent="0.2">
      <c r="E324" s="552"/>
      <c r="F324" s="552"/>
      <c r="G324" s="552"/>
      <c r="H324" s="552"/>
      <c r="I324" s="552"/>
      <c r="J324" s="552"/>
      <c r="N324" s="599"/>
    </row>
    <row r="325" spans="1:14" x14ac:dyDescent="0.2">
      <c r="E325" s="552"/>
      <c r="F325" s="552"/>
      <c r="G325" s="552"/>
      <c r="H325" s="552"/>
      <c r="I325" s="552"/>
      <c r="J325" s="552"/>
      <c r="N325" s="599"/>
    </row>
    <row r="326" spans="1:14" x14ac:dyDescent="0.2">
      <c r="E326" s="552"/>
      <c r="F326" s="552"/>
      <c r="G326" s="552"/>
      <c r="H326" s="552"/>
      <c r="I326" s="552"/>
      <c r="J326" s="552"/>
      <c r="N326" s="599"/>
    </row>
    <row r="327" spans="1:14" x14ac:dyDescent="0.2">
      <c r="E327" s="552"/>
      <c r="F327" s="552"/>
      <c r="G327" s="552"/>
      <c r="H327" s="552"/>
      <c r="I327" s="552"/>
      <c r="J327" s="552"/>
      <c r="N327" s="599"/>
    </row>
    <row r="328" spans="1:14" ht="12" thickBot="1" x14ac:dyDescent="0.25">
      <c r="E328" s="552"/>
      <c r="F328" s="552"/>
      <c r="G328" s="552"/>
      <c r="H328" s="552"/>
      <c r="I328" s="552"/>
      <c r="J328" s="552"/>
      <c r="N328" s="599"/>
    </row>
    <row r="329" spans="1:14" x14ac:dyDescent="0.2">
      <c r="A329" s="600"/>
      <c r="B329" s="601"/>
      <c r="C329" s="601"/>
      <c r="D329" s="601"/>
      <c r="E329" s="601"/>
      <c r="F329" s="601"/>
      <c r="G329" s="601"/>
      <c r="H329" s="601"/>
      <c r="I329" s="601"/>
      <c r="J329" s="601"/>
      <c r="K329" s="601"/>
      <c r="L329" s="601"/>
      <c r="M329" s="601"/>
      <c r="N329" s="602"/>
    </row>
    <row r="330" spans="1:14" x14ac:dyDescent="0.2">
      <c r="A330" s="603"/>
      <c r="B330" s="552"/>
      <c r="C330" s="552"/>
      <c r="D330" s="552"/>
      <c r="E330" s="552"/>
      <c r="F330" s="552"/>
      <c r="G330" s="552"/>
      <c r="H330" s="552"/>
      <c r="I330" s="552"/>
      <c r="J330" s="552"/>
      <c r="N330" s="604"/>
    </row>
    <row r="331" spans="1:14" x14ac:dyDescent="0.2">
      <c r="A331" s="603"/>
      <c r="B331" s="552"/>
      <c r="C331" s="552"/>
      <c r="D331" s="552"/>
      <c r="E331" s="552"/>
      <c r="F331" s="552"/>
      <c r="G331" s="552"/>
      <c r="H331" s="552"/>
      <c r="I331" s="552"/>
      <c r="J331" s="552"/>
      <c r="N331" s="604"/>
    </row>
    <row r="332" spans="1:14" x14ac:dyDescent="0.2">
      <c r="A332" s="603"/>
      <c r="B332" s="552"/>
      <c r="C332" s="552"/>
      <c r="D332" s="552"/>
      <c r="E332" s="552"/>
      <c r="F332" s="552"/>
      <c r="G332" s="552"/>
      <c r="H332" s="552"/>
      <c r="I332" s="552"/>
      <c r="J332" s="552"/>
      <c r="N332" s="604"/>
    </row>
    <row r="333" spans="1:14" x14ac:dyDescent="0.2">
      <c r="A333" s="603"/>
      <c r="B333" s="552"/>
      <c r="C333" s="552"/>
      <c r="D333" s="552"/>
      <c r="E333" s="552"/>
      <c r="F333" s="552"/>
      <c r="G333" s="552"/>
      <c r="H333" s="552"/>
      <c r="I333" s="552"/>
      <c r="J333" s="552"/>
      <c r="N333" s="604"/>
    </row>
    <row r="334" spans="1:14" x14ac:dyDescent="0.2">
      <c r="A334" s="603"/>
      <c r="B334" s="552"/>
      <c r="C334" s="552"/>
      <c r="D334" s="552"/>
      <c r="E334" s="552"/>
      <c r="F334" s="552"/>
      <c r="G334" s="552"/>
      <c r="H334" s="552"/>
      <c r="I334" s="552"/>
      <c r="J334" s="552"/>
      <c r="N334" s="604"/>
    </row>
    <row r="335" spans="1:14" x14ac:dyDescent="0.2">
      <c r="A335" s="603"/>
      <c r="B335" s="552"/>
      <c r="C335" s="552"/>
      <c r="D335" s="552"/>
      <c r="E335" s="552"/>
      <c r="F335" s="552"/>
      <c r="G335" s="552"/>
      <c r="H335" s="552"/>
      <c r="I335" s="552"/>
      <c r="J335" s="552"/>
      <c r="N335" s="604"/>
    </row>
    <row r="336" spans="1:14" x14ac:dyDescent="0.2">
      <c r="A336" s="603"/>
      <c r="B336" s="552"/>
      <c r="C336" s="552"/>
      <c r="D336" s="552"/>
      <c r="E336" s="552"/>
      <c r="F336" s="552"/>
      <c r="G336" s="552"/>
      <c r="H336" s="552"/>
      <c r="I336" s="552"/>
      <c r="J336" s="552"/>
      <c r="N336" s="604"/>
    </row>
    <row r="337" spans="1:14" ht="12" thickBot="1" x14ac:dyDescent="0.25">
      <c r="A337" s="605"/>
      <c r="B337" s="606"/>
      <c r="C337" s="606"/>
      <c r="D337" s="606"/>
      <c r="E337" s="606"/>
      <c r="F337" s="606"/>
      <c r="G337" s="606"/>
      <c r="H337" s="606"/>
      <c r="I337" s="606"/>
      <c r="J337" s="606"/>
      <c r="K337" s="606"/>
      <c r="L337" s="606"/>
      <c r="M337" s="606"/>
      <c r="N337" s="607"/>
    </row>
    <row r="338" spans="1:14" x14ac:dyDescent="0.2">
      <c r="A338" s="600"/>
      <c r="B338" s="601"/>
      <c r="C338" s="601"/>
      <c r="D338" s="601"/>
      <c r="E338" s="601"/>
      <c r="F338" s="601"/>
      <c r="G338" s="601"/>
      <c r="H338" s="601"/>
      <c r="I338" s="601"/>
      <c r="J338" s="601"/>
      <c r="K338" s="601"/>
      <c r="L338" s="601"/>
      <c r="M338" s="601"/>
      <c r="N338" s="602"/>
    </row>
    <row r="339" spans="1:14" x14ac:dyDescent="0.2">
      <c r="A339" s="603"/>
      <c r="B339" s="552"/>
      <c r="C339" s="552"/>
      <c r="D339" s="552"/>
      <c r="E339" s="552"/>
      <c r="F339" s="552"/>
      <c r="G339" s="552"/>
      <c r="H339" s="552"/>
      <c r="I339" s="552"/>
      <c r="J339" s="552"/>
      <c r="N339" s="604"/>
    </row>
    <row r="340" spans="1:14" x14ac:dyDescent="0.2">
      <c r="A340" s="603"/>
      <c r="B340" s="552"/>
      <c r="C340" s="552"/>
      <c r="D340" s="552"/>
      <c r="E340" s="552"/>
      <c r="F340" s="552"/>
      <c r="G340" s="552"/>
      <c r="H340" s="552"/>
      <c r="I340" s="552"/>
      <c r="J340" s="552"/>
      <c r="N340" s="604"/>
    </row>
    <row r="341" spans="1:14" x14ac:dyDescent="0.2">
      <c r="A341" s="603"/>
      <c r="B341" s="552"/>
      <c r="C341" s="552"/>
      <c r="D341" s="552"/>
      <c r="E341" s="552"/>
      <c r="F341" s="552"/>
      <c r="G341" s="552"/>
      <c r="H341" s="552"/>
      <c r="I341" s="552"/>
      <c r="J341" s="552"/>
      <c r="N341" s="604"/>
    </row>
    <row r="342" spans="1:14" x14ac:dyDescent="0.2">
      <c r="A342" s="603"/>
      <c r="B342" s="552"/>
      <c r="C342" s="552"/>
      <c r="D342" s="552"/>
      <c r="E342" s="552"/>
      <c r="F342" s="552"/>
      <c r="G342" s="552"/>
      <c r="H342" s="552"/>
      <c r="I342" s="552"/>
      <c r="J342" s="552"/>
      <c r="N342" s="604"/>
    </row>
    <row r="343" spans="1:14" x14ac:dyDescent="0.2">
      <c r="A343" s="603"/>
      <c r="B343" s="552"/>
      <c r="C343" s="552"/>
      <c r="D343" s="552"/>
      <c r="E343" s="552"/>
      <c r="F343" s="552"/>
      <c r="G343" s="552"/>
      <c r="H343" s="552"/>
      <c r="I343" s="552"/>
      <c r="J343" s="552"/>
      <c r="N343" s="604"/>
    </row>
    <row r="344" spans="1:14" x14ac:dyDescent="0.2">
      <c r="A344" s="603"/>
      <c r="B344" s="552"/>
      <c r="C344" s="552"/>
      <c r="D344" s="552"/>
      <c r="E344" s="552"/>
      <c r="F344" s="552"/>
      <c r="G344" s="552"/>
      <c r="H344" s="552"/>
      <c r="I344" s="552"/>
      <c r="J344" s="552"/>
      <c r="N344" s="604"/>
    </row>
    <row r="345" spans="1:14" x14ac:dyDescent="0.2">
      <c r="A345" s="603"/>
      <c r="B345" s="552"/>
      <c r="C345" s="552"/>
      <c r="D345" s="552"/>
      <c r="E345" s="552"/>
      <c r="F345" s="552"/>
      <c r="G345" s="552"/>
      <c r="H345" s="552"/>
      <c r="I345" s="552"/>
      <c r="J345" s="552"/>
      <c r="N345" s="604"/>
    </row>
    <row r="346" spans="1:14" ht="12" thickBot="1" x14ac:dyDescent="0.25">
      <c r="A346" s="605"/>
      <c r="B346" s="606"/>
      <c r="C346" s="606"/>
      <c r="D346" s="606"/>
      <c r="E346" s="606"/>
      <c r="F346" s="606"/>
      <c r="G346" s="606"/>
      <c r="H346" s="606"/>
      <c r="I346" s="606"/>
      <c r="J346" s="606"/>
      <c r="K346" s="606"/>
      <c r="L346" s="606"/>
      <c r="M346" s="606"/>
      <c r="N346" s="607"/>
    </row>
    <row r="347" spans="1:14" x14ac:dyDescent="0.2">
      <c r="E347" s="552"/>
      <c r="F347" s="552"/>
      <c r="G347" s="552"/>
      <c r="H347" s="552"/>
      <c r="I347" s="552"/>
      <c r="J347" s="552"/>
      <c r="N347" s="599"/>
    </row>
    <row r="348" spans="1:14" x14ac:dyDescent="0.2">
      <c r="E348" s="552"/>
      <c r="F348" s="552"/>
      <c r="G348" s="552"/>
      <c r="H348" s="552"/>
      <c r="I348" s="552"/>
      <c r="J348" s="552"/>
      <c r="N348" s="599"/>
    </row>
    <row r="349" spans="1:14" x14ac:dyDescent="0.2">
      <c r="E349" s="552"/>
      <c r="F349" s="552"/>
      <c r="G349" s="552"/>
      <c r="H349" s="552"/>
      <c r="I349" s="552"/>
      <c r="J349" s="552"/>
      <c r="N349" s="599"/>
    </row>
    <row r="350" spans="1:14" x14ac:dyDescent="0.2">
      <c r="E350" s="552"/>
      <c r="F350" s="552"/>
      <c r="G350" s="552"/>
      <c r="H350" s="552"/>
      <c r="I350" s="552"/>
      <c r="J350" s="552"/>
      <c r="N350" s="599"/>
    </row>
    <row r="351" spans="1:14" x14ac:dyDescent="0.2">
      <c r="E351" s="552"/>
      <c r="F351" s="552"/>
      <c r="G351" s="552"/>
      <c r="H351" s="552"/>
      <c r="I351" s="552"/>
      <c r="J351" s="552"/>
      <c r="N351" s="599"/>
    </row>
    <row r="352" spans="1:14" x14ac:dyDescent="0.2">
      <c r="E352" s="552"/>
      <c r="F352" s="552"/>
      <c r="G352" s="552"/>
      <c r="H352" s="552"/>
      <c r="I352" s="552"/>
      <c r="J352" s="552"/>
      <c r="N352" s="599"/>
    </row>
    <row r="353" spans="1:14" x14ac:dyDescent="0.2">
      <c r="E353" s="552"/>
      <c r="F353" s="552"/>
      <c r="G353" s="552"/>
      <c r="H353" s="552"/>
      <c r="I353" s="552"/>
      <c r="J353" s="552"/>
      <c r="N353" s="599"/>
    </row>
    <row r="354" spans="1:14" x14ac:dyDescent="0.2">
      <c r="E354" s="552"/>
      <c r="F354" s="552"/>
      <c r="G354" s="552"/>
      <c r="H354" s="552"/>
      <c r="I354" s="552"/>
      <c r="J354" s="552"/>
      <c r="N354" s="599"/>
    </row>
    <row r="355" spans="1:14" x14ac:dyDescent="0.2">
      <c r="E355" s="552"/>
      <c r="F355" s="552"/>
      <c r="G355" s="552"/>
      <c r="H355" s="552"/>
      <c r="I355" s="552"/>
      <c r="J355" s="552"/>
      <c r="N355" s="599"/>
    </row>
    <row r="356" spans="1:14" x14ac:dyDescent="0.2">
      <c r="E356" s="552"/>
      <c r="F356" s="552"/>
      <c r="G356" s="552"/>
      <c r="H356" s="552"/>
      <c r="I356" s="552"/>
      <c r="J356" s="552"/>
      <c r="N356" s="599"/>
    </row>
    <row r="357" spans="1:14" x14ac:dyDescent="0.2">
      <c r="E357" s="552"/>
      <c r="F357" s="552"/>
      <c r="G357" s="552"/>
      <c r="H357" s="552"/>
      <c r="I357" s="552"/>
      <c r="J357" s="552"/>
      <c r="N357" s="599"/>
    </row>
    <row r="358" spans="1:14" x14ac:dyDescent="0.2">
      <c r="E358" s="552"/>
      <c r="F358" s="552"/>
      <c r="G358" s="552"/>
      <c r="H358" s="552"/>
      <c r="I358" s="552"/>
      <c r="J358" s="552"/>
      <c r="N358" s="599"/>
    </row>
    <row r="359" spans="1:14" x14ac:dyDescent="0.2">
      <c r="E359" s="552"/>
      <c r="F359" s="552"/>
      <c r="G359" s="552"/>
      <c r="H359" s="552"/>
      <c r="I359" s="552"/>
      <c r="J359" s="552"/>
      <c r="N359" s="599"/>
    </row>
    <row r="360" spans="1:14" x14ac:dyDescent="0.2">
      <c r="E360" s="552"/>
      <c r="F360" s="552"/>
      <c r="G360" s="552"/>
      <c r="H360" s="552"/>
      <c r="I360" s="552"/>
      <c r="J360" s="552"/>
      <c r="N360" s="599"/>
    </row>
    <row r="361" spans="1:14" x14ac:dyDescent="0.2">
      <c r="E361" s="552"/>
      <c r="F361" s="552"/>
      <c r="G361" s="552"/>
      <c r="H361" s="552"/>
      <c r="I361" s="552"/>
      <c r="J361" s="552"/>
      <c r="N361" s="599"/>
    </row>
    <row r="362" spans="1:14" x14ac:dyDescent="0.2">
      <c r="E362" s="552"/>
      <c r="F362" s="552"/>
      <c r="G362" s="552"/>
      <c r="H362" s="552"/>
      <c r="I362" s="552"/>
      <c r="J362" s="552"/>
      <c r="N362" s="599"/>
    </row>
    <row r="363" spans="1:14" x14ac:dyDescent="0.2">
      <c r="E363" s="552"/>
      <c r="F363" s="552"/>
      <c r="G363" s="552"/>
      <c r="H363" s="552"/>
      <c r="I363" s="552"/>
      <c r="J363" s="552"/>
      <c r="N363" s="599"/>
    </row>
    <row r="364" spans="1:14" x14ac:dyDescent="0.2">
      <c r="E364" s="552"/>
      <c r="F364" s="552"/>
      <c r="G364" s="552"/>
      <c r="H364" s="552"/>
      <c r="I364" s="552"/>
      <c r="J364" s="552"/>
      <c r="N364" s="599"/>
    </row>
    <row r="365" spans="1:14" ht="12" thickBot="1" x14ac:dyDescent="0.25">
      <c r="E365" s="552"/>
      <c r="F365" s="552"/>
      <c r="G365" s="552"/>
      <c r="H365" s="552"/>
      <c r="I365" s="552"/>
      <c r="J365" s="552"/>
      <c r="N365" s="599"/>
    </row>
    <row r="366" spans="1:14" x14ac:dyDescent="0.2">
      <c r="A366" s="600"/>
      <c r="B366" s="601"/>
      <c r="C366" s="601"/>
      <c r="D366" s="601"/>
      <c r="E366" s="601"/>
      <c r="F366" s="601"/>
      <c r="G366" s="601"/>
      <c r="H366" s="601"/>
      <c r="I366" s="601"/>
      <c r="J366" s="601"/>
      <c r="K366" s="601"/>
      <c r="L366" s="601"/>
      <c r="M366" s="601"/>
      <c r="N366" s="602"/>
    </row>
    <row r="367" spans="1:14" x14ac:dyDescent="0.2">
      <c r="A367" s="603"/>
      <c r="B367" s="552"/>
      <c r="C367" s="552"/>
      <c r="D367" s="552"/>
      <c r="E367" s="552"/>
      <c r="F367" s="552"/>
      <c r="G367" s="552"/>
      <c r="H367" s="552"/>
      <c r="I367" s="552"/>
      <c r="J367" s="552"/>
      <c r="N367" s="604"/>
    </row>
    <row r="368" spans="1:14" x14ac:dyDescent="0.2">
      <c r="A368" s="603"/>
      <c r="B368" s="552"/>
      <c r="C368" s="552"/>
      <c r="D368" s="552"/>
      <c r="E368" s="552"/>
      <c r="F368" s="552"/>
      <c r="G368" s="552"/>
      <c r="H368" s="552"/>
      <c r="I368" s="552"/>
      <c r="J368" s="552"/>
      <c r="N368" s="604"/>
    </row>
    <row r="369" spans="1:14" x14ac:dyDescent="0.2">
      <c r="A369" s="603"/>
      <c r="B369" s="552"/>
      <c r="C369" s="552"/>
      <c r="D369" s="552"/>
      <c r="E369" s="552"/>
      <c r="F369" s="552"/>
      <c r="G369" s="552"/>
      <c r="H369" s="552"/>
      <c r="I369" s="552"/>
      <c r="J369" s="552"/>
      <c r="N369" s="604"/>
    </row>
    <row r="370" spans="1:14" x14ac:dyDescent="0.2">
      <c r="A370" s="603"/>
      <c r="B370" s="552"/>
      <c r="C370" s="552"/>
      <c r="D370" s="552"/>
      <c r="E370" s="552"/>
      <c r="F370" s="552"/>
      <c r="G370" s="552"/>
      <c r="H370" s="552"/>
      <c r="I370" s="552"/>
      <c r="J370" s="552"/>
      <c r="N370" s="604"/>
    </row>
    <row r="371" spans="1:14" x14ac:dyDescent="0.2">
      <c r="A371" s="603"/>
      <c r="B371" s="552"/>
      <c r="C371" s="552"/>
      <c r="D371" s="552"/>
      <c r="E371" s="552"/>
      <c r="F371" s="552"/>
      <c r="G371" s="552"/>
      <c r="H371" s="552"/>
      <c r="I371" s="552"/>
      <c r="J371" s="552"/>
      <c r="N371" s="604"/>
    </row>
    <row r="372" spans="1:14" x14ac:dyDescent="0.2">
      <c r="A372" s="603"/>
      <c r="B372" s="552"/>
      <c r="C372" s="552"/>
      <c r="D372" s="552"/>
      <c r="E372" s="552"/>
      <c r="F372" s="552"/>
      <c r="G372" s="552"/>
      <c r="H372" s="552"/>
      <c r="I372" s="552"/>
      <c r="J372" s="552"/>
      <c r="N372" s="604"/>
    </row>
    <row r="373" spans="1:14" x14ac:dyDescent="0.2">
      <c r="A373" s="603"/>
      <c r="B373" s="552"/>
      <c r="C373" s="552"/>
      <c r="D373" s="552"/>
      <c r="E373" s="552"/>
      <c r="F373" s="552"/>
      <c r="G373" s="552"/>
      <c r="H373" s="552"/>
      <c r="I373" s="552"/>
      <c r="J373" s="552"/>
      <c r="N373" s="604"/>
    </row>
    <row r="374" spans="1:14" ht="12" thickBot="1" x14ac:dyDescent="0.25">
      <c r="A374" s="605"/>
      <c r="B374" s="606"/>
      <c r="C374" s="606"/>
      <c r="D374" s="606"/>
      <c r="E374" s="606"/>
      <c r="F374" s="606"/>
      <c r="G374" s="606"/>
      <c r="H374" s="606"/>
      <c r="I374" s="606"/>
      <c r="J374" s="606"/>
      <c r="K374" s="606"/>
      <c r="L374" s="606"/>
      <c r="M374" s="606"/>
      <c r="N374" s="607"/>
    </row>
    <row r="375" spans="1:14" x14ac:dyDescent="0.2">
      <c r="E375" s="552"/>
      <c r="F375" s="552"/>
      <c r="G375" s="552"/>
      <c r="H375" s="552"/>
      <c r="I375" s="552"/>
      <c r="J375" s="552"/>
      <c r="N375" s="599"/>
    </row>
    <row r="376" spans="1:14" x14ac:dyDescent="0.2">
      <c r="E376" s="552"/>
      <c r="F376" s="552"/>
      <c r="G376" s="552"/>
      <c r="H376" s="552"/>
      <c r="I376" s="552"/>
      <c r="J376" s="552"/>
      <c r="N376" s="599"/>
    </row>
    <row r="377" spans="1:14" x14ac:dyDescent="0.2">
      <c r="E377" s="552"/>
      <c r="F377" s="552"/>
      <c r="G377" s="552"/>
      <c r="H377" s="552"/>
      <c r="I377" s="552"/>
      <c r="J377" s="552"/>
      <c r="N377" s="599"/>
    </row>
    <row r="378" spans="1:14" x14ac:dyDescent="0.2">
      <c r="E378" s="552"/>
      <c r="F378" s="552"/>
      <c r="G378" s="552"/>
      <c r="H378" s="552"/>
      <c r="I378" s="552"/>
      <c r="J378" s="552"/>
      <c r="N378" s="599"/>
    </row>
    <row r="379" spans="1:14" x14ac:dyDescent="0.2">
      <c r="E379" s="552"/>
      <c r="F379" s="552"/>
      <c r="G379" s="552"/>
      <c r="H379" s="552"/>
      <c r="I379" s="552"/>
      <c r="J379" s="552"/>
      <c r="N379" s="599"/>
    </row>
    <row r="380" spans="1:14" x14ac:dyDescent="0.2">
      <c r="E380" s="552"/>
      <c r="F380" s="552"/>
      <c r="G380" s="552"/>
      <c r="H380" s="552"/>
      <c r="I380" s="552"/>
      <c r="J380" s="552"/>
      <c r="N380" s="599"/>
    </row>
    <row r="381" spans="1:14" x14ac:dyDescent="0.2">
      <c r="E381" s="552"/>
      <c r="F381" s="552"/>
      <c r="G381" s="552"/>
      <c r="H381" s="552"/>
      <c r="I381" s="552"/>
      <c r="J381" s="552"/>
      <c r="N381" s="599"/>
    </row>
    <row r="382" spans="1:14" x14ac:dyDescent="0.2">
      <c r="E382" s="552"/>
      <c r="F382" s="552"/>
      <c r="G382" s="552"/>
      <c r="H382" s="552"/>
      <c r="I382" s="552"/>
      <c r="J382" s="552"/>
      <c r="N382" s="599"/>
    </row>
    <row r="383" spans="1:14" ht="12" thickBot="1" x14ac:dyDescent="0.25">
      <c r="E383" s="552"/>
      <c r="F383" s="552"/>
      <c r="G383" s="552"/>
      <c r="H383" s="552"/>
      <c r="I383" s="552"/>
      <c r="J383" s="552"/>
      <c r="N383" s="599"/>
    </row>
    <row r="384" spans="1:14" x14ac:dyDescent="0.2">
      <c r="A384" s="600"/>
      <c r="B384" s="601"/>
      <c r="C384" s="601"/>
      <c r="D384" s="601"/>
      <c r="E384" s="601"/>
      <c r="F384" s="601"/>
      <c r="G384" s="601"/>
      <c r="H384" s="601"/>
      <c r="I384" s="601"/>
      <c r="J384" s="601"/>
      <c r="K384" s="601"/>
      <c r="L384" s="601"/>
      <c r="M384" s="601"/>
      <c r="N384" s="602"/>
    </row>
    <row r="385" spans="1:14" x14ac:dyDescent="0.2">
      <c r="A385" s="603"/>
      <c r="B385" s="552"/>
      <c r="C385" s="552"/>
      <c r="D385" s="552"/>
      <c r="E385" s="552"/>
      <c r="F385" s="552"/>
      <c r="G385" s="552"/>
      <c r="H385" s="552"/>
      <c r="I385" s="552"/>
      <c r="J385" s="552"/>
      <c r="N385" s="604"/>
    </row>
    <row r="386" spans="1:14" x14ac:dyDescent="0.2">
      <c r="A386" s="603"/>
      <c r="B386" s="552"/>
      <c r="C386" s="552"/>
      <c r="D386" s="552"/>
      <c r="E386" s="552"/>
      <c r="F386" s="552"/>
      <c r="G386" s="552"/>
      <c r="H386" s="552"/>
      <c r="I386" s="552"/>
      <c r="J386" s="552"/>
      <c r="N386" s="604"/>
    </row>
    <row r="387" spans="1:14" x14ac:dyDescent="0.2">
      <c r="A387" s="603"/>
      <c r="B387" s="552"/>
      <c r="C387" s="552"/>
      <c r="D387" s="552"/>
      <c r="E387" s="552"/>
      <c r="F387" s="552"/>
      <c r="G387" s="552"/>
      <c r="H387" s="552"/>
      <c r="I387" s="552"/>
      <c r="J387" s="552"/>
      <c r="N387" s="604"/>
    </row>
    <row r="388" spans="1:14" x14ac:dyDescent="0.2">
      <c r="A388" s="603"/>
      <c r="B388" s="552"/>
      <c r="C388" s="552"/>
      <c r="D388" s="552"/>
      <c r="E388" s="552"/>
      <c r="F388" s="552"/>
      <c r="G388" s="552"/>
      <c r="H388" s="552"/>
      <c r="I388" s="552"/>
      <c r="J388" s="552"/>
      <c r="N388" s="604"/>
    </row>
    <row r="389" spans="1:14" x14ac:dyDescent="0.2">
      <c r="A389" s="603"/>
      <c r="B389" s="552"/>
      <c r="C389" s="552"/>
      <c r="D389" s="552"/>
      <c r="E389" s="552"/>
      <c r="F389" s="552"/>
      <c r="G389" s="552"/>
      <c r="H389" s="552"/>
      <c r="I389" s="552"/>
      <c r="J389" s="552"/>
      <c r="N389" s="604"/>
    </row>
    <row r="390" spans="1:14" x14ac:dyDescent="0.2">
      <c r="A390" s="603"/>
      <c r="B390" s="552"/>
      <c r="C390" s="552"/>
      <c r="D390" s="552"/>
      <c r="E390" s="552"/>
      <c r="F390" s="552"/>
      <c r="G390" s="552"/>
      <c r="H390" s="552"/>
      <c r="I390" s="552"/>
      <c r="J390" s="552"/>
      <c r="N390" s="604"/>
    </row>
    <row r="391" spans="1:14" x14ac:dyDescent="0.2">
      <c r="A391" s="603"/>
      <c r="B391" s="552"/>
      <c r="C391" s="552"/>
      <c r="D391" s="552"/>
      <c r="E391" s="552"/>
      <c r="F391" s="552"/>
      <c r="G391" s="552"/>
      <c r="H391" s="552"/>
      <c r="I391" s="552"/>
      <c r="J391" s="552"/>
      <c r="N391" s="604"/>
    </row>
    <row r="392" spans="1:14" ht="12" thickBot="1" x14ac:dyDescent="0.25">
      <c r="A392" s="605"/>
      <c r="B392" s="606"/>
      <c r="C392" s="606"/>
      <c r="D392" s="606"/>
      <c r="E392" s="606"/>
      <c r="F392" s="606"/>
      <c r="G392" s="606"/>
      <c r="H392" s="606"/>
      <c r="I392" s="606"/>
      <c r="J392" s="606"/>
      <c r="K392" s="606"/>
      <c r="L392" s="606"/>
      <c r="M392" s="606"/>
      <c r="N392" s="607"/>
    </row>
    <row r="393" spans="1:14" x14ac:dyDescent="0.2">
      <c r="E393" s="552"/>
      <c r="F393" s="552"/>
      <c r="G393" s="552"/>
      <c r="H393" s="552"/>
      <c r="I393" s="552"/>
      <c r="J393" s="552"/>
      <c r="N393" s="599"/>
    </row>
    <row r="394" spans="1:14" x14ac:dyDescent="0.2">
      <c r="E394" s="552"/>
      <c r="F394" s="552"/>
      <c r="G394" s="552"/>
      <c r="H394" s="552"/>
      <c r="I394" s="552"/>
      <c r="J394" s="552"/>
      <c r="N394" s="599"/>
    </row>
    <row r="395" spans="1:14" x14ac:dyDescent="0.2">
      <c r="E395" s="552"/>
      <c r="F395" s="552"/>
      <c r="G395" s="552"/>
      <c r="H395" s="552"/>
      <c r="I395" s="552"/>
      <c r="J395" s="552"/>
      <c r="N395" s="599"/>
    </row>
    <row r="396" spans="1:14" x14ac:dyDescent="0.2">
      <c r="E396" s="552"/>
      <c r="F396" s="552"/>
      <c r="G396" s="552"/>
      <c r="H396" s="552"/>
      <c r="I396" s="552"/>
      <c r="J396" s="552"/>
      <c r="N396" s="599"/>
    </row>
    <row r="397" spans="1:14" x14ac:dyDescent="0.2">
      <c r="E397" s="552"/>
      <c r="F397" s="552"/>
      <c r="G397" s="552"/>
      <c r="H397" s="552"/>
      <c r="I397" s="552"/>
      <c r="J397" s="552"/>
      <c r="N397" s="599"/>
    </row>
    <row r="398" spans="1:14" x14ac:dyDescent="0.2">
      <c r="E398" s="552"/>
      <c r="F398" s="552"/>
      <c r="G398" s="552"/>
      <c r="H398" s="552"/>
      <c r="I398" s="552"/>
      <c r="J398" s="552"/>
      <c r="N398" s="599"/>
    </row>
    <row r="399" spans="1:14" x14ac:dyDescent="0.2">
      <c r="E399" s="552"/>
      <c r="F399" s="552"/>
      <c r="G399" s="552"/>
      <c r="H399" s="552"/>
      <c r="I399" s="552"/>
      <c r="J399" s="552"/>
      <c r="N399" s="599"/>
    </row>
    <row r="400" spans="1:14" x14ac:dyDescent="0.2">
      <c r="E400" s="552"/>
      <c r="F400" s="552"/>
      <c r="G400" s="552"/>
      <c r="H400" s="552"/>
      <c r="I400" s="552"/>
      <c r="J400" s="552"/>
      <c r="N400" s="599"/>
    </row>
    <row r="401" spans="5:14" x14ac:dyDescent="0.2">
      <c r="E401" s="552"/>
      <c r="F401" s="552"/>
      <c r="G401" s="552"/>
      <c r="H401" s="552"/>
      <c r="I401" s="552"/>
      <c r="J401" s="552"/>
      <c r="N401" s="599"/>
    </row>
    <row r="402" spans="5:14" x14ac:dyDescent="0.2">
      <c r="E402" s="552"/>
      <c r="F402" s="552"/>
      <c r="G402" s="552"/>
      <c r="H402" s="552"/>
      <c r="I402" s="552"/>
      <c r="J402" s="552"/>
      <c r="N402" s="599"/>
    </row>
    <row r="403" spans="5:14" x14ac:dyDescent="0.2">
      <c r="E403" s="552"/>
      <c r="F403" s="552"/>
      <c r="G403" s="552"/>
      <c r="H403" s="552"/>
      <c r="I403" s="552"/>
      <c r="J403" s="552"/>
      <c r="N403" s="599"/>
    </row>
    <row r="404" spans="5:14" x14ac:dyDescent="0.2">
      <c r="E404" s="552"/>
      <c r="F404" s="552"/>
      <c r="G404" s="552"/>
      <c r="H404" s="552"/>
      <c r="I404" s="552"/>
      <c r="J404" s="552"/>
      <c r="N404" s="599"/>
    </row>
    <row r="405" spans="5:14" x14ac:dyDescent="0.2">
      <c r="E405" s="552"/>
      <c r="F405" s="552"/>
      <c r="G405" s="552"/>
      <c r="H405" s="552"/>
      <c r="I405" s="552"/>
      <c r="J405" s="552"/>
      <c r="N405" s="599"/>
    </row>
    <row r="406" spans="5:14" x14ac:dyDescent="0.2">
      <c r="E406" s="552"/>
      <c r="F406" s="552"/>
      <c r="G406" s="552"/>
      <c r="H406" s="552"/>
      <c r="I406" s="552"/>
      <c r="J406" s="552"/>
      <c r="N406" s="599"/>
    </row>
    <row r="407" spans="5:14" x14ac:dyDescent="0.2">
      <c r="E407" s="552"/>
      <c r="F407" s="552"/>
      <c r="G407" s="552"/>
      <c r="H407" s="552"/>
      <c r="I407" s="552"/>
      <c r="J407" s="552"/>
      <c r="N407" s="599"/>
    </row>
    <row r="408" spans="5:14" x14ac:dyDescent="0.2">
      <c r="E408" s="552"/>
      <c r="F408" s="552"/>
      <c r="G408" s="552"/>
      <c r="H408" s="552"/>
      <c r="I408" s="552"/>
      <c r="J408" s="552"/>
      <c r="N408" s="599"/>
    </row>
    <row r="409" spans="5:14" x14ac:dyDescent="0.2">
      <c r="E409" s="552"/>
      <c r="F409" s="552"/>
      <c r="G409" s="552"/>
      <c r="H409" s="552"/>
      <c r="I409" s="552"/>
      <c r="J409" s="552"/>
      <c r="N409" s="599"/>
    </row>
    <row r="410" spans="5:14" x14ac:dyDescent="0.2">
      <c r="E410" s="552"/>
      <c r="F410" s="552"/>
      <c r="G410" s="552"/>
      <c r="H410" s="552"/>
      <c r="I410" s="552"/>
      <c r="J410" s="552"/>
      <c r="N410" s="599"/>
    </row>
    <row r="411" spans="5:14" x14ac:dyDescent="0.2">
      <c r="E411" s="552"/>
      <c r="F411" s="552"/>
      <c r="G411" s="552"/>
      <c r="H411" s="552"/>
      <c r="I411" s="552"/>
      <c r="J411" s="552"/>
      <c r="N411" s="599"/>
    </row>
    <row r="412" spans="5:14" x14ac:dyDescent="0.2">
      <c r="E412" s="552"/>
      <c r="F412" s="552"/>
      <c r="G412" s="552"/>
      <c r="H412" s="552"/>
      <c r="I412" s="552"/>
      <c r="J412" s="552"/>
      <c r="N412" s="599"/>
    </row>
    <row r="413" spans="5:14" x14ac:dyDescent="0.2">
      <c r="E413" s="552"/>
      <c r="F413" s="552"/>
      <c r="G413" s="552"/>
      <c r="H413" s="552"/>
      <c r="I413" s="552"/>
      <c r="J413" s="552"/>
      <c r="N413" s="599"/>
    </row>
    <row r="414" spans="5:14" x14ac:dyDescent="0.2">
      <c r="E414" s="552"/>
      <c r="F414" s="552"/>
      <c r="G414" s="552"/>
      <c r="H414" s="552"/>
      <c r="I414" s="552"/>
      <c r="J414" s="552"/>
      <c r="N414" s="599"/>
    </row>
    <row r="415" spans="5:14" x14ac:dyDescent="0.2">
      <c r="E415" s="552"/>
      <c r="F415" s="552"/>
      <c r="G415" s="552"/>
      <c r="H415" s="552"/>
      <c r="I415" s="552"/>
      <c r="J415" s="552"/>
      <c r="N415" s="599"/>
    </row>
    <row r="416" spans="5:14" x14ac:dyDescent="0.2">
      <c r="E416" s="552"/>
      <c r="F416" s="552"/>
      <c r="G416" s="552"/>
      <c r="H416" s="552"/>
      <c r="I416" s="552"/>
      <c r="J416" s="552"/>
      <c r="N416" s="599"/>
    </row>
    <row r="417" spans="1:14" x14ac:dyDescent="0.2">
      <c r="E417" s="552"/>
      <c r="F417" s="552"/>
      <c r="G417" s="552"/>
      <c r="H417" s="552"/>
      <c r="I417" s="552"/>
      <c r="J417" s="552"/>
      <c r="N417" s="599"/>
    </row>
    <row r="418" spans="1:14" x14ac:dyDescent="0.2">
      <c r="E418" s="552"/>
      <c r="F418" s="552"/>
      <c r="G418" s="552"/>
      <c r="H418" s="552"/>
      <c r="I418" s="552"/>
      <c r="J418" s="552"/>
      <c r="N418" s="599"/>
    </row>
    <row r="419" spans="1:14" ht="12" thickBot="1" x14ac:dyDescent="0.25">
      <c r="E419" s="552"/>
      <c r="F419" s="552"/>
      <c r="G419" s="552"/>
      <c r="H419" s="552"/>
      <c r="I419" s="552"/>
      <c r="J419" s="552"/>
      <c r="N419" s="599"/>
    </row>
    <row r="420" spans="1:14" x14ac:dyDescent="0.2">
      <c r="A420" s="600"/>
      <c r="B420" s="601"/>
      <c r="C420" s="601"/>
      <c r="D420" s="601"/>
      <c r="E420" s="601"/>
      <c r="F420" s="601"/>
      <c r="G420" s="601"/>
      <c r="H420" s="601"/>
      <c r="I420" s="601"/>
      <c r="J420" s="601"/>
      <c r="K420" s="601"/>
      <c r="L420" s="601"/>
      <c r="M420" s="601"/>
      <c r="N420" s="602"/>
    </row>
    <row r="421" spans="1:14" x14ac:dyDescent="0.2">
      <c r="A421" s="603"/>
      <c r="B421" s="552"/>
      <c r="C421" s="552"/>
      <c r="D421" s="552"/>
      <c r="E421" s="552"/>
      <c r="F421" s="552"/>
      <c r="G421" s="552"/>
      <c r="H421" s="552"/>
      <c r="I421" s="552"/>
      <c r="J421" s="552"/>
      <c r="N421" s="604"/>
    </row>
    <row r="422" spans="1:14" x14ac:dyDescent="0.2">
      <c r="A422" s="603"/>
      <c r="B422" s="552"/>
      <c r="C422" s="552"/>
      <c r="D422" s="552"/>
      <c r="E422" s="552"/>
      <c r="F422" s="552"/>
      <c r="G422" s="552"/>
      <c r="H422" s="552"/>
      <c r="I422" s="552"/>
      <c r="J422" s="552"/>
      <c r="N422" s="604"/>
    </row>
    <row r="423" spans="1:14" x14ac:dyDescent="0.2">
      <c r="A423" s="603"/>
      <c r="B423" s="552"/>
      <c r="C423" s="552"/>
      <c r="D423" s="552"/>
      <c r="E423" s="552"/>
      <c r="F423" s="552"/>
      <c r="G423" s="552"/>
      <c r="H423" s="552"/>
      <c r="I423" s="552"/>
      <c r="J423" s="552"/>
      <c r="N423" s="604"/>
    </row>
    <row r="424" spans="1:14" x14ac:dyDescent="0.2">
      <c r="A424" s="603"/>
      <c r="B424" s="552"/>
      <c r="C424" s="552"/>
      <c r="D424" s="552"/>
      <c r="E424" s="552"/>
      <c r="F424" s="552"/>
      <c r="G424" s="552"/>
      <c r="H424" s="552"/>
      <c r="I424" s="552"/>
      <c r="J424" s="552"/>
      <c r="N424" s="604"/>
    </row>
    <row r="425" spans="1:14" x14ac:dyDescent="0.2">
      <c r="A425" s="603"/>
      <c r="B425" s="552"/>
      <c r="C425" s="552"/>
      <c r="D425" s="552"/>
      <c r="E425" s="552"/>
      <c r="F425" s="552"/>
      <c r="G425" s="552"/>
      <c r="H425" s="552"/>
      <c r="I425" s="552"/>
      <c r="J425" s="552"/>
      <c r="N425" s="604"/>
    </row>
    <row r="426" spans="1:14" x14ac:dyDescent="0.2">
      <c r="A426" s="603"/>
      <c r="B426" s="552"/>
      <c r="C426" s="552"/>
      <c r="D426" s="552"/>
      <c r="E426" s="552"/>
      <c r="F426" s="552"/>
      <c r="G426" s="552"/>
      <c r="H426" s="552"/>
      <c r="I426" s="552"/>
      <c r="J426" s="552"/>
      <c r="N426" s="604"/>
    </row>
    <row r="427" spans="1:14" x14ac:dyDescent="0.2">
      <c r="A427" s="603"/>
      <c r="B427" s="552"/>
      <c r="C427" s="552"/>
      <c r="D427" s="552"/>
      <c r="E427" s="552"/>
      <c r="F427" s="552"/>
      <c r="G427" s="552"/>
      <c r="H427" s="552"/>
      <c r="I427" s="552"/>
      <c r="J427" s="552"/>
      <c r="N427" s="604"/>
    </row>
    <row r="428" spans="1:14" x14ac:dyDescent="0.2">
      <c r="A428" s="603"/>
      <c r="B428" s="552"/>
      <c r="C428" s="552"/>
      <c r="D428" s="552"/>
      <c r="E428" s="552"/>
      <c r="F428" s="552"/>
      <c r="G428" s="552"/>
      <c r="H428" s="552"/>
      <c r="I428" s="552"/>
      <c r="J428" s="552"/>
      <c r="N428" s="604"/>
    </row>
    <row r="429" spans="1:14" x14ac:dyDescent="0.2">
      <c r="A429" s="603"/>
      <c r="B429" s="552"/>
      <c r="C429" s="552"/>
      <c r="D429" s="552"/>
      <c r="E429" s="552"/>
      <c r="F429" s="552"/>
      <c r="G429" s="552"/>
      <c r="H429" s="552"/>
      <c r="I429" s="552"/>
      <c r="J429" s="552"/>
      <c r="N429" s="604"/>
    </row>
    <row r="430" spans="1:14" x14ac:dyDescent="0.2">
      <c r="A430" s="603"/>
      <c r="B430" s="552"/>
      <c r="C430" s="552"/>
      <c r="D430" s="552"/>
      <c r="E430" s="552"/>
      <c r="F430" s="552"/>
      <c r="G430" s="552"/>
      <c r="H430" s="552"/>
      <c r="I430" s="552"/>
      <c r="J430" s="552"/>
      <c r="N430" s="604"/>
    </row>
    <row r="431" spans="1:14" x14ac:dyDescent="0.2">
      <c r="A431" s="603"/>
      <c r="B431" s="552"/>
      <c r="C431" s="552"/>
      <c r="D431" s="552"/>
      <c r="E431" s="552"/>
      <c r="F431" s="552"/>
      <c r="G431" s="552"/>
      <c r="H431" s="552"/>
      <c r="I431" s="552"/>
      <c r="J431" s="552"/>
      <c r="N431" s="604"/>
    </row>
    <row r="432" spans="1:14" x14ac:dyDescent="0.2">
      <c r="A432" s="603"/>
      <c r="B432" s="552"/>
      <c r="C432" s="552"/>
      <c r="D432" s="552"/>
      <c r="E432" s="552"/>
      <c r="F432" s="552"/>
      <c r="G432" s="552"/>
      <c r="H432" s="552"/>
      <c r="I432" s="552"/>
      <c r="J432" s="552"/>
      <c r="N432" s="604"/>
    </row>
    <row r="433" spans="1:14" ht="12" thickBot="1" x14ac:dyDescent="0.25">
      <c r="A433" s="605"/>
      <c r="B433" s="606"/>
      <c r="C433" s="606"/>
      <c r="D433" s="606"/>
      <c r="E433" s="606"/>
      <c r="F433" s="606"/>
      <c r="G433" s="606"/>
      <c r="H433" s="606"/>
      <c r="I433" s="606"/>
      <c r="J433" s="606"/>
      <c r="K433" s="606"/>
      <c r="L433" s="606"/>
      <c r="M433" s="606"/>
      <c r="N433" s="607"/>
    </row>
    <row r="434" spans="1:14" x14ac:dyDescent="0.2">
      <c r="A434" s="600"/>
      <c r="B434" s="601"/>
      <c r="C434" s="601"/>
      <c r="D434" s="601"/>
      <c r="E434" s="601"/>
      <c r="F434" s="601"/>
      <c r="G434" s="601"/>
      <c r="H434" s="601"/>
      <c r="I434" s="601"/>
      <c r="J434" s="601"/>
      <c r="K434" s="601"/>
      <c r="L434" s="601"/>
      <c r="M434" s="601"/>
      <c r="N434" s="602"/>
    </row>
    <row r="435" spans="1:14" x14ac:dyDescent="0.2">
      <c r="A435" s="603"/>
      <c r="B435" s="552"/>
      <c r="C435" s="552"/>
      <c r="D435" s="552"/>
      <c r="E435" s="552"/>
      <c r="F435" s="552"/>
      <c r="G435" s="552"/>
      <c r="H435" s="552"/>
      <c r="I435" s="552"/>
      <c r="J435" s="552"/>
      <c r="N435" s="604"/>
    </row>
    <row r="436" spans="1:14" x14ac:dyDescent="0.2">
      <c r="A436" s="603"/>
      <c r="B436" s="552"/>
      <c r="C436" s="552"/>
      <c r="D436" s="552"/>
      <c r="E436" s="552"/>
      <c r="F436" s="552"/>
      <c r="G436" s="552"/>
      <c r="H436" s="552"/>
      <c r="I436" s="552"/>
      <c r="J436" s="552"/>
      <c r="N436" s="604"/>
    </row>
    <row r="437" spans="1:14" x14ac:dyDescent="0.2">
      <c r="A437" s="603"/>
      <c r="B437" s="552"/>
      <c r="C437" s="552"/>
      <c r="D437" s="552"/>
      <c r="E437" s="552"/>
      <c r="F437" s="552"/>
      <c r="G437" s="552"/>
      <c r="H437" s="552"/>
      <c r="I437" s="552"/>
      <c r="J437" s="552"/>
      <c r="N437" s="604"/>
    </row>
    <row r="438" spans="1:14" x14ac:dyDescent="0.2">
      <c r="A438" s="603"/>
      <c r="B438" s="552"/>
      <c r="C438" s="552"/>
      <c r="D438" s="552"/>
      <c r="E438" s="552"/>
      <c r="F438" s="552"/>
      <c r="G438" s="552"/>
      <c r="H438" s="552"/>
      <c r="I438" s="552"/>
      <c r="J438" s="552"/>
      <c r="N438" s="604"/>
    </row>
    <row r="439" spans="1:14" x14ac:dyDescent="0.2">
      <c r="A439" s="603"/>
      <c r="B439" s="552"/>
      <c r="C439" s="552"/>
      <c r="D439" s="552"/>
      <c r="E439" s="552"/>
      <c r="F439" s="552"/>
      <c r="G439" s="552"/>
      <c r="H439" s="552"/>
      <c r="I439" s="552"/>
      <c r="J439" s="552"/>
      <c r="N439" s="604"/>
    </row>
    <row r="440" spans="1:14" x14ac:dyDescent="0.2">
      <c r="A440" s="603"/>
      <c r="B440" s="552"/>
      <c r="C440" s="552"/>
      <c r="D440" s="552"/>
      <c r="E440" s="552"/>
      <c r="F440" s="552"/>
      <c r="G440" s="552"/>
      <c r="H440" s="552"/>
      <c r="I440" s="552"/>
      <c r="J440" s="552"/>
      <c r="N440" s="604"/>
    </row>
    <row r="441" spans="1:14" x14ac:dyDescent="0.2">
      <c r="A441" s="603"/>
      <c r="B441" s="552"/>
      <c r="C441" s="552"/>
      <c r="D441" s="552"/>
      <c r="E441" s="552"/>
      <c r="F441" s="552"/>
      <c r="G441" s="552"/>
      <c r="H441" s="552"/>
      <c r="I441" s="552"/>
      <c r="J441" s="552"/>
      <c r="N441" s="604"/>
    </row>
    <row r="442" spans="1:14" x14ac:dyDescent="0.2">
      <c r="A442" s="603"/>
      <c r="B442" s="552"/>
      <c r="C442" s="552"/>
      <c r="D442" s="552"/>
      <c r="E442" s="552"/>
      <c r="F442" s="552"/>
      <c r="G442" s="552"/>
      <c r="H442" s="552"/>
      <c r="I442" s="552"/>
      <c r="J442" s="552"/>
      <c r="N442" s="604"/>
    </row>
    <row r="443" spans="1:14" x14ac:dyDescent="0.2">
      <c r="A443" s="603"/>
      <c r="B443" s="552"/>
      <c r="C443" s="552"/>
      <c r="D443" s="552"/>
      <c r="E443" s="552"/>
      <c r="F443" s="552"/>
      <c r="G443" s="552"/>
      <c r="H443" s="552"/>
      <c r="I443" s="552"/>
      <c r="J443" s="552"/>
      <c r="N443" s="604"/>
    </row>
    <row r="444" spans="1:14" x14ac:dyDescent="0.2">
      <c r="A444" s="603"/>
      <c r="B444" s="552"/>
      <c r="C444" s="552"/>
      <c r="D444" s="552"/>
      <c r="E444" s="552"/>
      <c r="F444" s="552"/>
      <c r="G444" s="552"/>
      <c r="H444" s="552"/>
      <c r="I444" s="552"/>
      <c r="J444" s="552"/>
      <c r="N444" s="604"/>
    </row>
    <row r="445" spans="1:14" x14ac:dyDescent="0.2">
      <c r="A445" s="603"/>
      <c r="B445" s="552"/>
      <c r="C445" s="552"/>
      <c r="D445" s="552"/>
      <c r="E445" s="552"/>
      <c r="F445" s="552"/>
      <c r="G445" s="552"/>
      <c r="H445" s="552"/>
      <c r="I445" s="552"/>
      <c r="J445" s="552"/>
      <c r="N445" s="604"/>
    </row>
    <row r="446" spans="1:14" x14ac:dyDescent="0.2">
      <c r="A446" s="603"/>
      <c r="B446" s="552"/>
      <c r="C446" s="552"/>
      <c r="D446" s="552"/>
      <c r="E446" s="552"/>
      <c r="F446" s="552"/>
      <c r="G446" s="552"/>
      <c r="H446" s="552"/>
      <c r="I446" s="552"/>
      <c r="J446" s="552"/>
      <c r="N446" s="604"/>
    </row>
    <row r="447" spans="1:14" ht="12" thickBot="1" x14ac:dyDescent="0.25">
      <c r="A447" s="605"/>
      <c r="B447" s="606"/>
      <c r="C447" s="606"/>
      <c r="D447" s="606"/>
      <c r="E447" s="606"/>
      <c r="F447" s="606"/>
      <c r="G447" s="606"/>
      <c r="H447" s="606"/>
      <c r="I447" s="606"/>
      <c r="J447" s="606"/>
      <c r="K447" s="606"/>
      <c r="L447" s="606"/>
      <c r="M447" s="606"/>
      <c r="N447" s="607"/>
    </row>
    <row r="448" spans="1:14" x14ac:dyDescent="0.2">
      <c r="E448" s="552"/>
      <c r="F448" s="552"/>
      <c r="G448" s="552"/>
      <c r="H448" s="552"/>
      <c r="I448" s="552"/>
      <c r="J448" s="552"/>
      <c r="N448" s="599"/>
    </row>
    <row r="449" spans="1:14" x14ac:dyDescent="0.2">
      <c r="E449" s="552"/>
      <c r="F449" s="552"/>
      <c r="G449" s="552"/>
      <c r="H449" s="552"/>
      <c r="I449" s="552"/>
      <c r="J449" s="552"/>
      <c r="N449" s="599"/>
    </row>
    <row r="450" spans="1:14" x14ac:dyDescent="0.2">
      <c r="E450" s="552"/>
      <c r="F450" s="552"/>
      <c r="G450" s="552"/>
      <c r="H450" s="552"/>
      <c r="I450" s="552"/>
      <c r="J450" s="552"/>
      <c r="N450" s="599"/>
    </row>
    <row r="451" spans="1:14" x14ac:dyDescent="0.2">
      <c r="E451" s="552"/>
      <c r="F451" s="552"/>
      <c r="G451" s="552"/>
      <c r="H451" s="552"/>
      <c r="I451" s="552"/>
      <c r="J451" s="552"/>
      <c r="N451" s="599"/>
    </row>
    <row r="452" spans="1:14" x14ac:dyDescent="0.2">
      <c r="E452" s="552"/>
      <c r="F452" s="552"/>
      <c r="G452" s="552"/>
      <c r="H452" s="552"/>
      <c r="I452" s="552"/>
      <c r="J452" s="552"/>
      <c r="N452" s="599"/>
    </row>
    <row r="453" spans="1:14" x14ac:dyDescent="0.2">
      <c r="E453" s="552"/>
      <c r="F453" s="552"/>
      <c r="G453" s="552"/>
      <c r="H453" s="552"/>
      <c r="I453" s="552"/>
      <c r="J453" s="552"/>
      <c r="N453" s="599"/>
    </row>
    <row r="454" spans="1:14" x14ac:dyDescent="0.2">
      <c r="E454" s="552"/>
      <c r="F454" s="552"/>
      <c r="G454" s="552"/>
      <c r="H454" s="552"/>
      <c r="I454" s="552"/>
      <c r="J454" s="552"/>
      <c r="N454" s="599"/>
    </row>
    <row r="455" spans="1:14" x14ac:dyDescent="0.2">
      <c r="E455" s="552"/>
      <c r="F455" s="552"/>
      <c r="G455" s="552"/>
      <c r="H455" s="552"/>
      <c r="I455" s="552"/>
      <c r="J455" s="552"/>
      <c r="N455" s="599"/>
    </row>
    <row r="456" spans="1:14" ht="12" thickBot="1" x14ac:dyDescent="0.25">
      <c r="E456" s="552"/>
      <c r="F456" s="552"/>
      <c r="G456" s="552"/>
      <c r="H456" s="552"/>
      <c r="I456" s="552"/>
      <c r="J456" s="552"/>
      <c r="N456" s="599"/>
    </row>
    <row r="457" spans="1:14" x14ac:dyDescent="0.2">
      <c r="A457" s="600"/>
      <c r="B457" s="601"/>
      <c r="C457" s="601"/>
      <c r="D457" s="601"/>
      <c r="E457" s="601"/>
      <c r="F457" s="601"/>
      <c r="G457" s="601"/>
      <c r="H457" s="601"/>
      <c r="I457" s="601"/>
      <c r="J457" s="601"/>
      <c r="K457" s="601"/>
      <c r="L457" s="601"/>
      <c r="M457" s="601"/>
      <c r="N457" s="602"/>
    </row>
    <row r="458" spans="1:14" x14ac:dyDescent="0.2">
      <c r="A458" s="603"/>
      <c r="B458" s="552"/>
      <c r="C458" s="552"/>
      <c r="D458" s="552"/>
      <c r="E458" s="552"/>
      <c r="F458" s="552"/>
      <c r="G458" s="552"/>
      <c r="H458" s="552"/>
      <c r="I458" s="552"/>
      <c r="J458" s="552"/>
      <c r="N458" s="604"/>
    </row>
    <row r="459" spans="1:14" x14ac:dyDescent="0.2">
      <c r="A459" s="603"/>
      <c r="B459" s="552"/>
      <c r="C459" s="552"/>
      <c r="D459" s="552"/>
      <c r="E459" s="552"/>
      <c r="F459" s="552"/>
      <c r="G459" s="552"/>
      <c r="H459" s="552"/>
      <c r="I459" s="552"/>
      <c r="J459" s="552"/>
      <c r="N459" s="604"/>
    </row>
    <row r="460" spans="1:14" x14ac:dyDescent="0.2">
      <c r="A460" s="603"/>
      <c r="B460" s="552"/>
      <c r="C460" s="552"/>
      <c r="D460" s="552"/>
      <c r="E460" s="552"/>
      <c r="F460" s="552"/>
      <c r="G460" s="552"/>
      <c r="H460" s="552"/>
      <c r="I460" s="552"/>
      <c r="J460" s="552"/>
      <c r="N460" s="604"/>
    </row>
    <row r="461" spans="1:14" x14ac:dyDescent="0.2">
      <c r="A461" s="603"/>
      <c r="B461" s="552"/>
      <c r="C461" s="552"/>
      <c r="D461" s="552"/>
      <c r="E461" s="552"/>
      <c r="F461" s="552"/>
      <c r="G461" s="552"/>
      <c r="H461" s="552"/>
      <c r="I461" s="552"/>
      <c r="J461" s="552"/>
      <c r="N461" s="604"/>
    </row>
    <row r="462" spans="1:14" x14ac:dyDescent="0.2">
      <c r="A462" s="603"/>
      <c r="B462" s="552"/>
      <c r="C462" s="552"/>
      <c r="D462" s="552"/>
      <c r="E462" s="552"/>
      <c r="F462" s="552"/>
      <c r="G462" s="552"/>
      <c r="H462" s="552"/>
      <c r="I462" s="552"/>
      <c r="J462" s="552"/>
      <c r="N462" s="604"/>
    </row>
    <row r="463" spans="1:14" x14ac:dyDescent="0.2">
      <c r="A463" s="603"/>
      <c r="B463" s="552"/>
      <c r="C463" s="552"/>
      <c r="D463" s="552"/>
      <c r="E463" s="552"/>
      <c r="F463" s="552"/>
      <c r="G463" s="552"/>
      <c r="H463" s="552"/>
      <c r="I463" s="552"/>
      <c r="J463" s="552"/>
      <c r="N463" s="604"/>
    </row>
    <row r="464" spans="1:14" x14ac:dyDescent="0.2">
      <c r="A464" s="603"/>
      <c r="B464" s="552"/>
      <c r="C464" s="552"/>
      <c r="D464" s="552"/>
      <c r="E464" s="552"/>
      <c r="F464" s="552"/>
      <c r="G464" s="552"/>
      <c r="H464" s="552"/>
      <c r="I464" s="552"/>
      <c r="J464" s="552"/>
      <c r="N464" s="604"/>
    </row>
    <row r="465" spans="1:14" ht="12" thickBot="1" x14ac:dyDescent="0.25">
      <c r="A465" s="605"/>
      <c r="B465" s="606"/>
      <c r="C465" s="606"/>
      <c r="D465" s="606"/>
      <c r="E465" s="606"/>
      <c r="F465" s="606"/>
      <c r="G465" s="606"/>
      <c r="H465" s="606"/>
      <c r="I465" s="606"/>
      <c r="J465" s="606"/>
      <c r="K465" s="606"/>
      <c r="L465" s="606"/>
      <c r="M465" s="606"/>
      <c r="N465" s="607"/>
    </row>
    <row r="466" spans="1:14" x14ac:dyDescent="0.2">
      <c r="E466" s="552"/>
      <c r="F466" s="552"/>
      <c r="G466" s="552"/>
      <c r="H466" s="552"/>
      <c r="I466" s="552"/>
      <c r="J466" s="552"/>
      <c r="N466" s="599"/>
    </row>
    <row r="467" spans="1:14" x14ac:dyDescent="0.2">
      <c r="E467" s="552"/>
      <c r="F467" s="552"/>
      <c r="G467" s="552"/>
      <c r="H467" s="552"/>
      <c r="I467" s="552"/>
      <c r="J467" s="552"/>
      <c r="N467" s="599"/>
    </row>
    <row r="468" spans="1:14" x14ac:dyDescent="0.2">
      <c r="E468" s="552"/>
      <c r="F468" s="552"/>
      <c r="G468" s="552"/>
      <c r="H468" s="552"/>
      <c r="I468" s="552"/>
      <c r="J468" s="552"/>
      <c r="N468" s="599"/>
    </row>
    <row r="469" spans="1:14" x14ac:dyDescent="0.2">
      <c r="E469" s="552"/>
      <c r="F469" s="552"/>
      <c r="G469" s="552"/>
      <c r="H469" s="552"/>
      <c r="I469" s="552"/>
      <c r="J469" s="552"/>
      <c r="N469" s="599"/>
    </row>
    <row r="470" spans="1:14" x14ac:dyDescent="0.2">
      <c r="E470" s="552"/>
      <c r="F470" s="552"/>
      <c r="G470" s="552"/>
      <c r="H470" s="552"/>
      <c r="I470" s="552"/>
      <c r="J470" s="552"/>
      <c r="N470" s="599"/>
    </row>
    <row r="471" spans="1:14" x14ac:dyDescent="0.2">
      <c r="E471" s="552"/>
      <c r="F471" s="552"/>
      <c r="G471" s="552"/>
      <c r="H471" s="552"/>
      <c r="I471" s="552"/>
      <c r="J471" s="552"/>
      <c r="N471" s="599"/>
    </row>
    <row r="472" spans="1:14" x14ac:dyDescent="0.2">
      <c r="E472" s="552"/>
      <c r="F472" s="552"/>
      <c r="G472" s="552"/>
      <c r="H472" s="552"/>
      <c r="I472" s="552"/>
      <c r="J472" s="552"/>
      <c r="N472" s="599"/>
    </row>
    <row r="473" spans="1:14" x14ac:dyDescent="0.2">
      <c r="E473" s="552"/>
      <c r="F473" s="552"/>
      <c r="G473" s="552"/>
      <c r="H473" s="552"/>
      <c r="I473" s="552"/>
      <c r="J473" s="552"/>
      <c r="N473" s="599"/>
    </row>
    <row r="474" spans="1:14" x14ac:dyDescent="0.2">
      <c r="E474" s="552"/>
      <c r="F474" s="552"/>
      <c r="G474" s="552"/>
      <c r="H474" s="552"/>
      <c r="I474" s="552"/>
      <c r="J474" s="552"/>
      <c r="N474" s="599"/>
    </row>
    <row r="475" spans="1:14" x14ac:dyDescent="0.2">
      <c r="E475" s="552"/>
      <c r="F475" s="552"/>
      <c r="G475" s="552"/>
      <c r="H475" s="552"/>
      <c r="I475" s="552"/>
      <c r="J475" s="552"/>
      <c r="N475" s="599"/>
    </row>
    <row r="476" spans="1:14" x14ac:dyDescent="0.2">
      <c r="E476" s="552"/>
      <c r="F476" s="552"/>
      <c r="G476" s="552"/>
      <c r="H476" s="552"/>
      <c r="I476" s="552"/>
      <c r="J476" s="552"/>
      <c r="N476" s="599"/>
    </row>
    <row r="477" spans="1:14" x14ac:dyDescent="0.2">
      <c r="E477" s="552"/>
      <c r="F477" s="552"/>
      <c r="G477" s="552"/>
      <c r="H477" s="552"/>
      <c r="I477" s="552"/>
      <c r="J477" s="552"/>
      <c r="N477" s="599"/>
    </row>
    <row r="478" spans="1:14" x14ac:dyDescent="0.2">
      <c r="E478" s="552"/>
      <c r="F478" s="552"/>
      <c r="G478" s="552"/>
      <c r="H478" s="552"/>
      <c r="I478" s="552"/>
      <c r="J478" s="552"/>
      <c r="N478" s="599"/>
    </row>
    <row r="479" spans="1:14" x14ac:dyDescent="0.2">
      <c r="E479" s="552"/>
      <c r="F479" s="552"/>
      <c r="G479" s="552"/>
      <c r="H479" s="552"/>
      <c r="I479" s="552"/>
      <c r="J479" s="552"/>
      <c r="N479" s="599"/>
    </row>
    <row r="480" spans="1:14" x14ac:dyDescent="0.2">
      <c r="E480" s="552"/>
      <c r="F480" s="552"/>
      <c r="G480" s="552"/>
      <c r="H480" s="552"/>
      <c r="I480" s="552"/>
      <c r="J480" s="552"/>
      <c r="N480" s="599"/>
    </row>
    <row r="481" spans="5:14" x14ac:dyDescent="0.2">
      <c r="E481" s="552"/>
      <c r="F481" s="552"/>
      <c r="G481" s="552"/>
      <c r="H481" s="552"/>
      <c r="I481" s="552"/>
      <c r="J481" s="552"/>
      <c r="N481" s="599"/>
    </row>
    <row r="482" spans="5:14" x14ac:dyDescent="0.2">
      <c r="E482" s="552"/>
      <c r="F482" s="552"/>
      <c r="G482" s="552"/>
      <c r="H482" s="552"/>
      <c r="I482" s="552"/>
      <c r="J482" s="552"/>
      <c r="N482" s="599"/>
    </row>
    <row r="483" spans="5:14" x14ac:dyDescent="0.2">
      <c r="E483" s="552"/>
      <c r="F483" s="552"/>
      <c r="G483" s="552"/>
      <c r="H483" s="552"/>
      <c r="I483" s="552"/>
      <c r="J483" s="552"/>
      <c r="N483" s="599"/>
    </row>
    <row r="484" spans="5:14" x14ac:dyDescent="0.2">
      <c r="E484" s="552"/>
      <c r="F484" s="552"/>
      <c r="G484" s="552"/>
      <c r="H484" s="552"/>
      <c r="I484" s="552"/>
      <c r="J484" s="552"/>
      <c r="N484" s="599"/>
    </row>
    <row r="485" spans="5:14" x14ac:dyDescent="0.2">
      <c r="E485" s="552"/>
      <c r="F485" s="552"/>
      <c r="G485" s="552"/>
      <c r="H485" s="552"/>
      <c r="I485" s="552"/>
      <c r="J485" s="552"/>
      <c r="N485" s="599"/>
    </row>
    <row r="486" spans="5:14" x14ac:dyDescent="0.2">
      <c r="E486" s="552"/>
      <c r="F486" s="552"/>
      <c r="G486" s="552"/>
      <c r="H486" s="552"/>
      <c r="I486" s="552"/>
      <c r="J486" s="552"/>
      <c r="N486" s="599"/>
    </row>
    <row r="487" spans="5:14" x14ac:dyDescent="0.2">
      <c r="E487" s="552"/>
      <c r="F487" s="552"/>
      <c r="G487" s="552"/>
      <c r="H487" s="552"/>
      <c r="I487" s="552"/>
      <c r="J487" s="552"/>
      <c r="N487" s="599"/>
    </row>
    <row r="488" spans="5:14" x14ac:dyDescent="0.2">
      <c r="E488" s="552"/>
      <c r="F488" s="552"/>
      <c r="G488" s="552"/>
      <c r="H488" s="552"/>
      <c r="I488" s="552"/>
      <c r="J488" s="552"/>
      <c r="N488" s="599"/>
    </row>
    <row r="489" spans="5:14" x14ac:dyDescent="0.2">
      <c r="E489" s="552"/>
      <c r="F489" s="552"/>
      <c r="G489" s="552"/>
      <c r="H489" s="552"/>
      <c r="I489" s="552"/>
      <c r="J489" s="552"/>
      <c r="N489" s="599"/>
    </row>
    <row r="490" spans="5:14" x14ac:dyDescent="0.2">
      <c r="E490" s="552"/>
      <c r="F490" s="552"/>
      <c r="G490" s="552"/>
      <c r="H490" s="552"/>
      <c r="I490" s="552"/>
      <c r="J490" s="552"/>
      <c r="N490" s="599"/>
    </row>
    <row r="491" spans="5:14" x14ac:dyDescent="0.2">
      <c r="E491" s="552"/>
      <c r="F491" s="552"/>
      <c r="G491" s="552"/>
      <c r="H491" s="552"/>
      <c r="I491" s="552"/>
      <c r="J491" s="552"/>
      <c r="N491" s="599"/>
    </row>
    <row r="492" spans="5:14" x14ac:dyDescent="0.2">
      <c r="E492" s="552"/>
      <c r="F492" s="552"/>
      <c r="G492" s="552"/>
      <c r="H492" s="552"/>
      <c r="I492" s="552"/>
      <c r="J492" s="552"/>
      <c r="N492" s="599"/>
    </row>
    <row r="493" spans="5:14" x14ac:dyDescent="0.2">
      <c r="E493" s="552"/>
      <c r="F493" s="552"/>
      <c r="G493" s="552"/>
      <c r="H493" s="552"/>
      <c r="I493" s="552"/>
      <c r="J493" s="552"/>
      <c r="N493" s="599"/>
    </row>
    <row r="494" spans="5:14" x14ac:dyDescent="0.2">
      <c r="E494" s="552"/>
      <c r="F494" s="552"/>
      <c r="G494" s="552"/>
      <c r="H494" s="552"/>
      <c r="I494" s="552"/>
      <c r="J494" s="552"/>
      <c r="N494" s="599"/>
    </row>
    <row r="495" spans="5:14" x14ac:dyDescent="0.2">
      <c r="E495" s="552"/>
      <c r="F495" s="552"/>
      <c r="G495" s="552"/>
      <c r="H495" s="552"/>
      <c r="I495" s="552"/>
      <c r="J495" s="552"/>
      <c r="N495" s="599"/>
    </row>
    <row r="496" spans="5:14" x14ac:dyDescent="0.2">
      <c r="E496" s="552"/>
      <c r="F496" s="552"/>
      <c r="G496" s="552"/>
      <c r="H496" s="552"/>
      <c r="I496" s="552"/>
      <c r="J496" s="552"/>
      <c r="N496" s="599"/>
    </row>
    <row r="497" spans="5:14" x14ac:dyDescent="0.2">
      <c r="E497" s="552"/>
      <c r="F497" s="552"/>
      <c r="G497" s="552"/>
      <c r="H497" s="552"/>
      <c r="I497" s="552"/>
      <c r="J497" s="552"/>
      <c r="N497" s="599"/>
    </row>
    <row r="498" spans="5:14" x14ac:dyDescent="0.2">
      <c r="E498" s="552"/>
      <c r="F498" s="552"/>
      <c r="G498" s="552"/>
      <c r="H498" s="552"/>
      <c r="I498" s="552"/>
      <c r="J498" s="552"/>
      <c r="N498" s="599"/>
    </row>
    <row r="506" spans="5:14" x14ac:dyDescent="0.2">
      <c r="F506" s="550">
        <v>415162</v>
      </c>
    </row>
    <row r="538" spans="1:14" ht="12" thickBot="1" x14ac:dyDescent="0.25"/>
    <row r="539" spans="1:14" x14ac:dyDescent="0.2">
      <c r="A539" s="600"/>
      <c r="B539" s="601"/>
      <c r="C539" s="601"/>
      <c r="D539" s="601"/>
      <c r="E539" s="601"/>
      <c r="F539" s="601"/>
      <c r="G539" s="601"/>
      <c r="H539" s="601"/>
      <c r="I539" s="601"/>
      <c r="J539" s="939"/>
      <c r="K539" s="601"/>
      <c r="L539" s="601"/>
      <c r="M539" s="601"/>
      <c r="N539" s="602"/>
    </row>
    <row r="540" spans="1:14" x14ac:dyDescent="0.2">
      <c r="A540" s="603"/>
      <c r="B540" s="552"/>
      <c r="C540" s="552"/>
      <c r="D540" s="552"/>
      <c r="E540" s="552"/>
      <c r="F540" s="552"/>
      <c r="G540" s="552"/>
      <c r="H540" s="552"/>
      <c r="I540" s="552"/>
      <c r="N540" s="604"/>
    </row>
    <row r="541" spans="1:14" x14ac:dyDescent="0.2">
      <c r="A541" s="603"/>
      <c r="B541" s="552"/>
      <c r="C541" s="552"/>
      <c r="D541" s="552"/>
      <c r="E541" s="552"/>
      <c r="F541" s="552"/>
      <c r="G541" s="552"/>
      <c r="H541" s="552"/>
      <c r="I541" s="552"/>
      <c r="N541" s="604"/>
    </row>
    <row r="542" spans="1:14" x14ac:dyDescent="0.2">
      <c r="A542" s="603"/>
      <c r="B542" s="552"/>
      <c r="C542" s="552"/>
      <c r="D542" s="552"/>
      <c r="E542" s="552"/>
      <c r="F542" s="552"/>
      <c r="G542" s="552"/>
      <c r="H542" s="552"/>
      <c r="I542" s="552"/>
      <c r="N542" s="604"/>
    </row>
    <row r="543" spans="1:14" x14ac:dyDescent="0.2">
      <c r="A543" s="603"/>
      <c r="B543" s="552"/>
      <c r="C543" s="552"/>
      <c r="D543" s="552"/>
      <c r="E543" s="552"/>
      <c r="F543" s="552"/>
      <c r="G543" s="552"/>
      <c r="H543" s="552"/>
      <c r="I543" s="552"/>
      <c r="N543" s="604"/>
    </row>
    <row r="544" spans="1:14" x14ac:dyDescent="0.2">
      <c r="A544" s="603"/>
      <c r="B544" s="552"/>
      <c r="C544" s="552"/>
      <c r="D544" s="552"/>
      <c r="E544" s="552"/>
      <c r="F544" s="552"/>
      <c r="G544" s="552"/>
      <c r="H544" s="552"/>
      <c r="I544" s="552"/>
      <c r="N544" s="604"/>
    </row>
    <row r="545" spans="1:14" x14ac:dyDescent="0.2">
      <c r="A545" s="603"/>
      <c r="B545" s="552"/>
      <c r="C545" s="552"/>
      <c r="D545" s="552"/>
      <c r="E545" s="552"/>
      <c r="F545" s="552"/>
      <c r="G545" s="552"/>
      <c r="H545" s="552"/>
      <c r="I545" s="552"/>
      <c r="N545" s="604"/>
    </row>
    <row r="546" spans="1:14" ht="12" thickBot="1" x14ac:dyDescent="0.25">
      <c r="A546" s="605"/>
      <c r="B546" s="606"/>
      <c r="C546" s="606"/>
      <c r="D546" s="606"/>
      <c r="E546" s="606"/>
      <c r="F546" s="606"/>
      <c r="G546" s="606"/>
      <c r="H546" s="606"/>
      <c r="I546" s="606"/>
      <c r="J546" s="940"/>
      <c r="K546" s="606"/>
      <c r="L546" s="606"/>
      <c r="M546" s="606"/>
      <c r="N546" s="607"/>
    </row>
    <row r="547" spans="1:14" x14ac:dyDescent="0.2">
      <c r="A547" s="600"/>
      <c r="B547" s="601"/>
      <c r="C547" s="601"/>
      <c r="D547" s="601"/>
      <c r="E547" s="601"/>
      <c r="F547" s="601"/>
      <c r="G547" s="601"/>
      <c r="H547" s="601"/>
      <c r="I547" s="601"/>
      <c r="J547" s="939"/>
      <c r="K547" s="601"/>
      <c r="L547" s="601"/>
      <c r="M547" s="601"/>
      <c r="N547" s="602"/>
    </row>
    <row r="548" spans="1:14" x14ac:dyDescent="0.2">
      <c r="A548" s="603"/>
      <c r="B548" s="552"/>
      <c r="C548" s="552"/>
      <c r="D548" s="552"/>
      <c r="E548" s="552"/>
      <c r="F548" s="552"/>
      <c r="G548" s="552"/>
      <c r="H548" s="552"/>
      <c r="I548" s="552"/>
      <c r="N548" s="604"/>
    </row>
    <row r="549" spans="1:14" x14ac:dyDescent="0.2">
      <c r="A549" s="603"/>
      <c r="B549" s="552"/>
      <c r="C549" s="552"/>
      <c r="D549" s="552"/>
      <c r="E549" s="552"/>
      <c r="F549" s="552"/>
      <c r="G549" s="552"/>
      <c r="H549" s="552"/>
      <c r="I549" s="552"/>
      <c r="N549" s="604"/>
    </row>
    <row r="550" spans="1:14" ht="12" thickBot="1" x14ac:dyDescent="0.25">
      <c r="A550" s="605"/>
      <c r="B550" s="606"/>
      <c r="C550" s="606"/>
      <c r="D550" s="606"/>
      <c r="E550" s="606"/>
      <c r="F550" s="606"/>
      <c r="G550" s="606"/>
      <c r="H550" s="606"/>
      <c r="I550" s="606"/>
      <c r="J550" s="940"/>
      <c r="K550" s="606"/>
      <c r="L550" s="606"/>
      <c r="M550" s="606"/>
      <c r="N550" s="607"/>
    </row>
  </sheetData>
  <mergeCells count="52">
    <mergeCell ref="M1:N1"/>
    <mergeCell ref="A65:A67"/>
    <mergeCell ref="N65:N67"/>
    <mergeCell ref="C66:C67"/>
    <mergeCell ref="A68:A71"/>
    <mergeCell ref="N68:N71"/>
    <mergeCell ref="C70:C71"/>
    <mergeCell ref="A54:A60"/>
    <mergeCell ref="N54:N60"/>
    <mergeCell ref="C56:C57"/>
    <mergeCell ref="C59:C60"/>
    <mergeCell ref="A61:N61"/>
    <mergeCell ref="A40:A46"/>
    <mergeCell ref="N40:N46"/>
    <mergeCell ref="C42:C43"/>
    <mergeCell ref="C45:C46"/>
    <mergeCell ref="A47:A53"/>
    <mergeCell ref="N47:N53"/>
    <mergeCell ref="C49:C50"/>
    <mergeCell ref="C52:C53"/>
    <mergeCell ref="A22:A30"/>
    <mergeCell ref="N22:N30"/>
    <mergeCell ref="C24:C27"/>
    <mergeCell ref="C29:C30"/>
    <mergeCell ref="A31:A39"/>
    <mergeCell ref="N31:N39"/>
    <mergeCell ref="C33:C36"/>
    <mergeCell ref="C38:C39"/>
    <mergeCell ref="A14:A21"/>
    <mergeCell ref="N14:N21"/>
    <mergeCell ref="C15:C18"/>
    <mergeCell ref="C20:C21"/>
    <mergeCell ref="I7:I9"/>
    <mergeCell ref="G7:H7"/>
    <mergeCell ref="G8:G9"/>
    <mergeCell ref="H8:H9"/>
    <mergeCell ref="J7:J9"/>
    <mergeCell ref="K7:M7"/>
    <mergeCell ref="A10:B10"/>
    <mergeCell ref="A5:N5"/>
    <mergeCell ref="A6:A9"/>
    <mergeCell ref="B6:B9"/>
    <mergeCell ref="C6:C9"/>
    <mergeCell ref="D6:H6"/>
    <mergeCell ref="D7:D9"/>
    <mergeCell ref="E7:E9"/>
    <mergeCell ref="F7:F9"/>
    <mergeCell ref="K8:K9"/>
    <mergeCell ref="L8:L9"/>
    <mergeCell ref="M8:M9"/>
    <mergeCell ref="I6:M6"/>
    <mergeCell ref="N6:N9"/>
  </mergeCells>
  <printOptions horizontalCentered="1"/>
  <pageMargins left="0.11811023622047245" right="0.19685039370078741" top="0.59055118110236227" bottom="0.31496062992125984" header="0.23622047244094491" footer="7.874015748031496E-2"/>
  <pageSetup paperSize="9" scale="60" firstPageNumber="51" orientation="landscape" useFirstPageNumber="1" r:id="rId1"/>
  <headerFooter alignWithMargins="0">
    <oddHeader>&amp;C&amp;"Arial,Kursywa"Informacja o kształtowaniu się Wieloletniej prognozy finansowej Województwa Zachodniopomorskiego na lata 2013-2036 w I półroczu 2013 roku - załączniki
___________________________________________________________________________________</oddHeader>
    <oddFooter>&amp;C&amp;8&amp;P</oddFooter>
  </headerFooter>
  <rowBreaks count="3" manualBreakCount="3">
    <brk id="30" max="13" man="1"/>
    <brk id="53" max="13" man="1"/>
    <brk id="7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zał. nr 2</vt:lpstr>
      <vt:lpstr>Drogi</vt:lpstr>
      <vt:lpstr>Polityka społeczna i rozwój prz</vt:lpstr>
      <vt:lpstr>Ochrona zdrowia</vt:lpstr>
      <vt:lpstr>Oświata</vt:lpstr>
      <vt:lpstr>Administracja</vt:lpstr>
      <vt:lpstr>Kultura</vt:lpstr>
      <vt:lpstr>Rolnictwo i Ochrona środowiska</vt:lpstr>
      <vt:lpstr>Kultura fizyczna i turystyka</vt:lpstr>
      <vt:lpstr>Planowanie przestrzenne</vt:lpstr>
      <vt:lpstr>Arkusz1</vt:lpstr>
      <vt:lpstr>Administracja!Obszar_wydruku</vt:lpstr>
      <vt:lpstr>Drogi!Obszar_wydruku</vt:lpstr>
      <vt:lpstr>Kultura!Obszar_wydruku</vt:lpstr>
      <vt:lpstr>'Kultura fizyczna i turystyka'!Obszar_wydruku</vt:lpstr>
      <vt:lpstr>'Ochrona zdrowia'!Obszar_wydruku</vt:lpstr>
      <vt:lpstr>Oświata!Obszar_wydruku</vt:lpstr>
      <vt:lpstr>'Planowanie przestrzenne'!Obszar_wydruku</vt:lpstr>
      <vt:lpstr>'Polityka społeczna i rozwój prz'!Obszar_wydruku</vt:lpstr>
      <vt:lpstr>'Rolnictwo i Ochrona środowiska'!Obszar_wydruku</vt:lpstr>
      <vt:lpstr>'zał. nr 2'!Obszar_wydruku</vt:lpstr>
      <vt:lpstr>Administracja!Tytuły_wydruku</vt:lpstr>
      <vt:lpstr>Drogi!Tytuły_wydruku</vt:lpstr>
      <vt:lpstr>Kultura!Tytuły_wydruku</vt:lpstr>
      <vt:lpstr>'Kultura fizyczna i turystyka'!Tytuły_wydruku</vt:lpstr>
      <vt:lpstr>'Ochrona zdrowia'!Tytuły_wydruku</vt:lpstr>
      <vt:lpstr>Oświata!Tytuły_wydruku</vt:lpstr>
      <vt:lpstr>'Planowanie przestrzenne'!Tytuły_wydruku</vt:lpstr>
      <vt:lpstr>'Polityka społeczna i rozwój prz'!Tytuły_wydruku</vt:lpstr>
      <vt:lpstr>'Rolnictwo i Ochrona środowiska'!Tytuły_wydruku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2013-08-28T06:57:20Z</cp:lastPrinted>
  <dcterms:created xsi:type="dcterms:W3CDTF">2013-04-19T09:23:32Z</dcterms:created>
  <dcterms:modified xsi:type="dcterms:W3CDTF">2013-10-14T09:54:59Z</dcterms:modified>
</cp:coreProperties>
</file>